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920" yWindow="2700" windowWidth="34200" windowHeight="19900" activeTab="9"/>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Filing Period Map" state="visible" r:id="rId23"/>
    <sheet sheetId="21" name="Mapping Audit" state="visible" r:id="rId24"/>
    <sheet sheetId="22" name="Source Ledger" state="visible" r:id="rId25"/>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fullCalcOnLoad="1" forceFullCalc="1" calcOnSave="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F24" authorId="0">
      <text>
        <r>
          <t/>
        </r>
      </text>
    </comment>
    <comment ref="G24" authorId="0">
      <text>
        <r>
          <t/>
        </r>
      </text>
    </comment>
    <comment ref="H24" authorId="0">
      <text>
        <r>
          <t/>
        </r>
      </text>
    </comment>
    <comment ref="I24" authorId="0">
      <text>
        <r>
          <t/>
        </r>
      </text>
    </comment>
    <comment ref="J24" authorId="0">
      <text>
        <r>
          <t/>
        </r>
      </text>
    </comment>
    <comment ref="K24" authorId="0">
      <text>
        <r>
          <t/>
        </r>
      </text>
    </comment>
    <comment ref="L24" authorId="0">
      <text>
        <r>
          <t/>
        </r>
      </text>
    </comment>
    <comment ref="M24" authorId="0">
      <text>
        <r>
          <t/>
        </r>
      </text>
    </comment>
    <comment ref="N24" authorId="0">
      <text>
        <r>
          <t/>
        </r>
      </text>
    </comment>
    <comment ref="O24" authorId="0">
      <text>
        <r>
          <t/>
        </r>
      </text>
    </comment>
    <comment ref="P24" authorId="0">
      <text>
        <r>
          <t/>
        </r>
      </text>
    </comment>
    <comment ref="Q24" authorId="0">
      <text>
        <r>
          <t/>
        </r>
      </text>
    </comment>
    <comment ref="R24" authorId="0">
      <text>
        <r>
          <t/>
        </r>
      </text>
    </comment>
    <comment ref="S24" authorId="0">
      <text>
        <r>
          <t/>
        </r>
      </text>
    </comment>
    <comment ref="T24" authorId="0">
      <text>
        <r>
          <t/>
        </r>
      </text>
    </comment>
    <comment ref="U24" authorId="0">
      <text>
        <r>
          <t/>
        </r>
      </text>
    </comment>
    <comment ref="F25" authorId="0">
      <text>
        <r>
          <t/>
        </r>
      </text>
    </comment>
    <comment ref="G25" authorId="0">
      <text>
        <r>
          <t/>
        </r>
      </text>
    </comment>
    <comment ref="H25" authorId="0">
      <text>
        <r>
          <t/>
        </r>
      </text>
    </comment>
    <comment ref="I25" authorId="0">
      <text>
        <r>
          <t/>
        </r>
      </text>
    </comment>
    <comment ref="J25" authorId="0">
      <text>
        <r>
          <t/>
        </r>
      </text>
    </comment>
    <comment ref="K25" authorId="0">
      <text>
        <r>
          <t/>
        </r>
      </text>
    </comment>
    <comment ref="L25" authorId="0">
      <text>
        <r>
          <t/>
        </r>
      </text>
    </comment>
    <comment ref="M25" authorId="0">
      <text>
        <r>
          <t/>
        </r>
      </text>
    </comment>
    <comment ref="N25" authorId="0">
      <text>
        <r>
          <t/>
        </r>
      </text>
    </comment>
    <comment ref="O25" authorId="0">
      <text>
        <r>
          <t/>
        </r>
      </text>
    </comment>
    <comment ref="P25" authorId="0">
      <text>
        <r>
          <t/>
        </r>
      </text>
    </comment>
    <comment ref="Q25" authorId="0">
      <text>
        <r>
          <t/>
        </r>
      </text>
    </comment>
    <comment ref="R25" authorId="0">
      <text>
        <r>
          <t/>
        </r>
      </text>
    </comment>
    <comment ref="S25" authorId="0">
      <text>
        <r>
          <t/>
        </r>
      </text>
    </comment>
    <comment ref="T25" authorId="0">
      <text>
        <r>
          <t/>
        </r>
      </text>
    </comment>
    <comment ref="U25" authorId="0">
      <text>
        <r>
          <t/>
        </r>
      </text>
    </comment>
    <comment ref="C26" authorId="0">
      <text>
        <r>
          <t/>
        </r>
      </text>
    </comment>
    <comment ref="F26" authorId="0">
      <text>
        <r>
          <t/>
        </r>
      </text>
    </comment>
    <comment ref="G26" authorId="0">
      <text>
        <r>
          <t/>
        </r>
      </text>
    </comment>
    <comment ref="H26" authorId="0">
      <text>
        <r>
          <t/>
        </r>
      </text>
    </comment>
    <comment ref="I26" authorId="0">
      <text>
        <r>
          <t/>
        </r>
      </text>
    </comment>
    <comment ref="J26" authorId="0">
      <text>
        <r>
          <t/>
        </r>
      </text>
    </comment>
    <comment ref="K26" authorId="0">
      <text>
        <r>
          <t/>
        </r>
      </text>
    </comment>
    <comment ref="L26" authorId="0">
      <text>
        <r>
          <t/>
        </r>
      </text>
    </comment>
    <comment ref="M26" authorId="0">
      <text>
        <r>
          <t/>
        </r>
      </text>
    </comment>
    <comment ref="N26" authorId="0">
      <text>
        <r>
          <t/>
        </r>
      </text>
    </comment>
    <comment ref="O26" authorId="0">
      <text>
        <r>
          <t/>
        </r>
      </text>
    </comment>
    <comment ref="P26" authorId="0">
      <text>
        <r>
          <t/>
        </r>
      </text>
    </comment>
    <comment ref="Q26" authorId="0">
      <text>
        <r>
          <t/>
        </r>
      </text>
    </comment>
    <comment ref="R26" authorId="0">
      <text>
        <r>
          <t/>
        </r>
      </text>
    </comment>
    <comment ref="S26" authorId="0">
      <text>
        <r>
          <t/>
        </r>
      </text>
    </comment>
    <comment ref="T26" authorId="0">
      <text>
        <r>
          <t/>
        </r>
      </text>
    </comment>
    <comment ref="U26" authorId="0">
      <text>
        <r>
          <t/>
        </r>
      </text>
    </comment>
    <comment ref="F28" authorId="0">
      <text>
        <r>
          <t/>
        </r>
      </text>
    </comment>
    <comment ref="G28" authorId="0">
      <text>
        <r>
          <t/>
        </r>
      </text>
    </comment>
    <comment ref="H28" authorId="0">
      <text>
        <r>
          <t/>
        </r>
      </text>
    </comment>
    <comment ref="I28" authorId="0">
      <text>
        <r>
          <t/>
        </r>
      </text>
    </comment>
    <comment ref="J28" authorId="0">
      <text>
        <r>
          <t/>
        </r>
      </text>
    </comment>
    <comment ref="K28" authorId="0">
      <text>
        <r>
          <t/>
        </r>
      </text>
    </comment>
    <comment ref="L28" authorId="0">
      <text>
        <r>
          <t/>
        </r>
      </text>
    </comment>
    <comment ref="M28" authorId="0">
      <text>
        <r>
          <t/>
        </r>
      </text>
    </comment>
    <comment ref="N28" authorId="0">
      <text>
        <r>
          <t/>
        </r>
      </text>
    </comment>
    <comment ref="O28" authorId="0">
      <text>
        <r>
          <t/>
        </r>
      </text>
    </comment>
    <comment ref="P28" authorId="0">
      <text>
        <r>
          <t/>
        </r>
      </text>
    </comment>
    <comment ref="Q28" authorId="0">
      <text>
        <r>
          <t/>
        </r>
      </text>
    </comment>
    <comment ref="R28" authorId="0">
      <text>
        <r>
          <t/>
        </r>
      </text>
    </comment>
    <comment ref="S28" authorId="0">
      <text>
        <r>
          <t/>
        </r>
      </text>
    </comment>
    <comment ref="T28" authorId="0">
      <text>
        <r>
          <t/>
        </r>
      </text>
    </comment>
    <comment ref="U28" authorId="0">
      <text>
        <r>
          <t/>
        </r>
      </text>
    </comment>
    <comment ref="F29" authorId="0">
      <text>
        <r>
          <rPr>
            <b/>
          </rPr>
          <t xml:space="preserve">EDGAR Mapper:
</t>
        </r>
        <r>
          <t>Cost of Goods Sold maps directly to Cost of Goods and Services Sold.</t>
        </r>
      </text>
    </comment>
    <comment ref="G29" authorId="0">
      <text>
        <r>
          <rPr>
            <b/>
          </rPr>
          <t xml:space="preserve">EDGAR Mapper:
</t>
        </r>
        <r>
          <t>Cost of Goods Sold maps directly to Cost of Goods and Services Sold.</t>
        </r>
      </text>
    </comment>
    <comment ref="H29" authorId="0">
      <text>
        <r>
          <rPr>
            <b/>
          </rPr>
          <t xml:space="preserve">EDGAR Mapper:
</t>
        </r>
        <r>
          <t>Cost of Goods Sold maps directly to Cost of Goods and Services Sold.</t>
        </r>
      </text>
    </comment>
    <comment ref="I29" authorId="0">
      <text>
        <r>
          <t/>
        </r>
      </text>
    </comment>
    <comment ref="J29" authorId="0">
      <text>
        <r>
          <t/>
        </r>
      </text>
    </comment>
    <comment ref="K29" authorId="0">
      <text>
        <r>
          <rPr>
            <b/>
          </rPr>
          <t xml:space="preserve">EDGAR Mapper:
</t>
        </r>
        <r>
          <t>Cost of Goods Sold maps directly to Cost of Goods and Services Sold.</t>
        </r>
      </text>
    </comment>
    <comment ref="L29" authorId="0">
      <text>
        <r>
          <rPr>
            <b/>
          </rPr>
          <t xml:space="preserve">EDGAR Mapper:
</t>
        </r>
        <r>
          <t>Cost of Goods Sold maps directly to Cost of Goods and Services Sold.</t>
        </r>
      </text>
    </comment>
    <comment ref="M29" authorId="0">
      <text>
        <r>
          <rPr>
            <b/>
          </rPr>
          <t xml:space="preserve">EDGAR Mapper:
</t>
        </r>
        <r>
          <t>Cost of Goods Sold maps directly to Cost of Goods and Services Sold.</t>
        </r>
      </text>
    </comment>
    <comment ref="N29" authorId="0">
      <text>
        <r>
          <t/>
        </r>
      </text>
    </comment>
    <comment ref="O29" authorId="0">
      <text>
        <r>
          <t/>
        </r>
      </text>
    </comment>
    <comment ref="P29" authorId="0">
      <text>
        <r>
          <rPr>
            <b/>
          </rPr>
          <t xml:space="preserve">EDGAR Mapper:
</t>
        </r>
        <r>
          <t>Cost of Goods Sold maps directly to Cost of Goods and Services Sold.</t>
        </r>
      </text>
    </comment>
    <comment ref="Q29" authorId="0">
      <text>
        <r>
          <rPr>
            <b/>
          </rPr>
          <t xml:space="preserve">EDGAR Mapper:
</t>
        </r>
        <r>
          <t>Cost of Goods Sold maps directly to Cost of Goods and Services Sold.</t>
        </r>
      </text>
    </comment>
    <comment ref="R29" authorId="0">
      <text>
        <r>
          <rPr>
            <b/>
          </rPr>
          <t xml:space="preserve">EDGAR Mapper:
</t>
        </r>
        <r>
          <t>Cost of Goods Sold maps directly to Cost of Goods and Services Sold.</t>
        </r>
      </text>
    </comment>
    <comment ref="S29" authorId="0">
      <text>
        <r>
          <t/>
        </r>
      </text>
    </comment>
    <comment ref="T29" authorId="0">
      <text>
        <r>
          <t/>
        </r>
      </text>
    </comment>
    <comment ref="U29" authorId="0">
      <text>
        <r>
          <rPr>
            <b/>
          </rPr>
          <t xml:space="preserve">EDGAR Mapper:
</t>
        </r>
        <r>
          <t>Cost of Goods Sold maps directly to Cost of Goods and Services Sold.</t>
        </r>
      </text>
    </comment>
    <comment ref="F30" authorId="0">
      <text>
        <r>
          <t/>
        </r>
      </text>
    </comment>
    <comment ref="G30" authorId="0">
      <text>
        <r>
          <t/>
        </r>
      </text>
    </comment>
    <comment ref="H30" authorId="0">
      <text>
        <r>
          <t/>
        </r>
      </text>
    </comment>
    <comment ref="I30" authorId="0">
      <text>
        <r>
          <t/>
        </r>
      </text>
    </comment>
    <comment ref="J30" authorId="0">
      <text>
        <r>
          <t/>
        </r>
      </text>
    </comment>
    <comment ref="K30" authorId="0">
      <text>
        <r>
          <t/>
        </r>
      </text>
    </comment>
    <comment ref="L30" authorId="0">
      <text>
        <r>
          <t/>
        </r>
      </text>
    </comment>
    <comment ref="M30" authorId="0">
      <text>
        <r>
          <t/>
        </r>
      </text>
    </comment>
    <comment ref="N30" authorId="0">
      <text>
        <r>
          <t/>
        </r>
      </text>
    </comment>
    <comment ref="O30" authorId="0">
      <text>
        <r>
          <t/>
        </r>
      </text>
    </comment>
    <comment ref="P30" authorId="0">
      <text>
        <r>
          <t/>
        </r>
      </text>
    </comment>
    <comment ref="Q30" authorId="0">
      <text>
        <r>
          <t/>
        </r>
      </text>
    </comment>
    <comment ref="R30" authorId="0">
      <text>
        <r>
          <t/>
        </r>
      </text>
    </comment>
    <comment ref="S30" authorId="0">
      <text>
        <r>
          <t/>
        </r>
      </text>
    </comment>
    <comment ref="T30" authorId="0">
      <text>
        <r>
          <t/>
        </r>
      </text>
    </comment>
    <comment ref="U30" authorId="0">
      <text>
        <r>
          <t/>
        </r>
      </text>
    </comment>
    <comment ref="C32" authorId="0">
      <text>
        <r>
          <rPr>
            <b/>
          </rPr>
          <t xml:space="preserve">EDGAR Mapper:
</t>
        </r>
        <r>
          <t>Selling, General &amp; Administration (SG&amp;A) includes Selling General and Administrative expense.</t>
        </r>
      </text>
    </comment>
    <comment ref="F32" authorId="0">
      <text>
        <r>
          <rPr>
            <b/>
          </rPr>
          <t xml:space="preserve">EDGAR Mapper:
</t>
        </r>
        <r>
          <t>Selling, General &amp; Administration (SG&amp;A) maps directly to Selling General and Administrative expense.</t>
        </r>
      </text>
    </comment>
    <comment ref="G32" authorId="0">
      <text>
        <r>
          <rPr>
            <b/>
          </rPr>
          <t xml:space="preserve">EDGAR Mapper:
</t>
        </r>
        <r>
          <t>Selling, General &amp; Administration (SG&amp;A) maps directly to Selling General and Administrative expense.</t>
        </r>
      </text>
    </comment>
    <comment ref="H32" authorId="0">
      <text>
        <r>
          <rPr>
            <b/>
          </rPr>
          <t xml:space="preserve">EDGAR Mapper:
</t>
        </r>
        <r>
          <t>Selling, General &amp; Administration (SG&amp;A) maps directly to Selling General and Administrative expense.</t>
        </r>
      </text>
    </comment>
    <comment ref="I32" authorId="0">
      <text>
        <r>
          <t/>
        </r>
      </text>
    </comment>
    <comment ref="J32" authorId="0">
      <text>
        <r>
          <t/>
        </r>
      </text>
    </comment>
    <comment ref="K32" authorId="0">
      <text>
        <r>
          <rPr>
            <b/>
          </rPr>
          <t xml:space="preserve">EDGAR Mapper:
</t>
        </r>
        <r>
          <t>Selling, General &amp; Administration (SG&amp;A) maps directly to Selling General and Administrative expense.</t>
        </r>
      </text>
    </comment>
    <comment ref="L32" authorId="0">
      <text>
        <r>
          <rPr>
            <b/>
          </rPr>
          <t xml:space="preserve">EDGAR Mapper:
</t>
        </r>
        <r>
          <t>Selling, General &amp; Administration (SG&amp;A) maps directly to Selling General and Administrative expense.</t>
        </r>
      </text>
    </comment>
    <comment ref="M32" authorId="0">
      <text>
        <r>
          <rPr>
            <b/>
          </rPr>
          <t xml:space="preserve">EDGAR Mapper:
</t>
        </r>
        <r>
          <t>Selling, General &amp; Administration (SG&amp;A) maps directly to Selling General and Administrative expense.</t>
        </r>
      </text>
    </comment>
    <comment ref="N32" authorId="0">
      <text>
        <r>
          <t/>
        </r>
      </text>
    </comment>
    <comment ref="O32" authorId="0">
      <text>
        <r>
          <t/>
        </r>
      </text>
    </comment>
    <comment ref="P32" authorId="0">
      <text>
        <r>
          <rPr>
            <b/>
          </rPr>
          <t xml:space="preserve">EDGAR Mapper:
</t>
        </r>
        <r>
          <t>Selling, General &amp; Administration (SG&amp;A) maps directly to Selling General and Administrative expense.</t>
        </r>
      </text>
    </comment>
    <comment ref="Q32" authorId="0">
      <text>
        <r>
          <rPr>
            <b/>
          </rPr>
          <t xml:space="preserve">EDGAR Mapper:
</t>
        </r>
        <r>
          <t>Selling, General &amp; Administration (SG&amp;A) maps directly to Selling General and Administrative expense.</t>
        </r>
      </text>
    </comment>
    <comment ref="R32" authorId="0">
      <text>
        <r>
          <rPr>
            <b/>
          </rPr>
          <t xml:space="preserve">EDGAR Mapper:
</t>
        </r>
        <r>
          <t>Selling, General &amp; Administration (SG&amp;A) maps directly to Selling General and Administrative expense.</t>
        </r>
      </text>
    </comment>
    <comment ref="S32" authorId="0">
      <text>
        <r>
          <t/>
        </r>
      </text>
    </comment>
    <comment ref="T32" authorId="0">
      <text>
        <r>
          <t/>
        </r>
      </text>
    </comment>
    <comment ref="U32" authorId="0">
      <text>
        <r>
          <rPr>
            <b/>
          </rPr>
          <t xml:space="preserve">EDGAR Mapper:
</t>
        </r>
        <r>
          <t>Selling, General &amp; Administration (SG&amp;A) maps directly to Selling General and Administrative expense.</t>
        </r>
      </text>
    </comment>
    <comment ref="F33" authorId="0">
      <text>
        <r>
          <t/>
        </r>
      </text>
    </comment>
    <comment ref="G33" authorId="0">
      <text>
        <r>
          <t/>
        </r>
      </text>
    </comment>
    <comment ref="H33" authorId="0">
      <text>
        <r>
          <t/>
        </r>
      </text>
    </comment>
    <comment ref="I33" authorId="0">
      <text>
        <r>
          <t/>
        </r>
      </text>
    </comment>
    <comment ref="J33" authorId="0">
      <text>
        <r>
          <t/>
        </r>
      </text>
    </comment>
    <comment ref="K33" authorId="0">
      <text>
        <r>
          <t/>
        </r>
      </text>
    </comment>
    <comment ref="L33" authorId="0">
      <text>
        <r>
          <t/>
        </r>
      </text>
    </comment>
    <comment ref="M33" authorId="0">
      <text>
        <r>
          <t/>
        </r>
      </text>
    </comment>
    <comment ref="N33" authorId="0">
      <text>
        <r>
          <t/>
        </r>
      </text>
    </comment>
    <comment ref="O33" authorId="0">
      <text>
        <r>
          <t/>
        </r>
      </text>
    </comment>
    <comment ref="P33" authorId="0">
      <text>
        <r>
          <t/>
        </r>
      </text>
    </comment>
    <comment ref="Q33" authorId="0">
      <text>
        <r>
          <t/>
        </r>
      </text>
    </comment>
    <comment ref="R33" authorId="0">
      <text>
        <r>
          <t/>
        </r>
      </text>
    </comment>
    <comment ref="S33" authorId="0">
      <text>
        <r>
          <t/>
        </r>
      </text>
    </comment>
    <comment ref="T33" authorId="0">
      <text>
        <r>
          <t/>
        </r>
      </text>
    </comment>
    <comment ref="U33" authorId="0">
      <text>
        <r>
          <t/>
        </r>
      </text>
    </comment>
    <comment ref="C34" authorId="0">
      <text>
        <r>
          <rPr>
            <color theme="1"/>
            <scheme val="minor"/>
            <sz val="11"/>
            <rFont val="Calibri"/>
          </rP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t>
        </r>
      </text>
    </comment>
    <comment ref="F34" authorId="0">
      <text>
        <r>
          <t/>
        </r>
      </text>
    </comment>
    <comment ref="G34" authorId="0">
      <text>
        <r>
          <t/>
        </r>
      </text>
    </comment>
    <comment ref="H34" authorId="0">
      <text>
        <r>
          <t/>
        </r>
      </text>
    </comment>
    <comment ref="I34" authorId="0">
      <text>
        <r>
          <t/>
        </r>
      </text>
    </comment>
    <comment ref="J34" authorId="0">
      <text>
        <r>
          <t/>
        </r>
      </text>
    </comment>
    <comment ref="K34" authorId="0">
      <text>
        <r>
          <t/>
        </r>
      </text>
    </comment>
    <comment ref="L34" authorId="0">
      <text>
        <r>
          <t/>
        </r>
      </text>
    </comment>
    <comment ref="M34" authorId="0">
      <text>
        <r>
          <t/>
        </r>
      </text>
    </comment>
    <comment ref="N34" authorId="0">
      <text>
        <r>
          <t/>
        </r>
      </text>
    </comment>
    <comment ref="O34" authorId="0">
      <text>
        <r>
          <t/>
        </r>
      </text>
    </comment>
    <comment ref="P34" authorId="0">
      <text>
        <r>
          <t/>
        </r>
      </text>
    </comment>
    <comment ref="Q34" authorId="0">
      <text>
        <r>
          <t/>
        </r>
      </text>
    </comment>
    <comment ref="R34" authorId="0">
      <text>
        <r>
          <t/>
        </r>
      </text>
    </comment>
    <comment ref="S34" authorId="0">
      <text>
        <r>
          <t/>
        </r>
      </text>
    </comment>
    <comment ref="T34" authorId="0">
      <text>
        <r>
          <t/>
        </r>
      </text>
    </comment>
    <comment ref="U34" authorId="0">
      <text>
        <r>
          <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Other Operating Income (Expense) maps directly to Other Cost and expense Operating.
Other Operating Income (Expense) includes Confirmed invoices paid.</t>
        </r>
      </text>
    </comment>
    <comment ref="F35" authorId="0">
      <text>
        <r>
          <rPr>
            <b/>
          </rPr>
          <t xml:space="preserve">EDGAR Mapper:
</t>
        </r>
        <r>
          <t>Other Operating Income (Expense) maps directly to Other Cost and expense Operating.</t>
        </r>
      </text>
    </comment>
    <comment ref="G35" authorId="0">
      <text>
        <r>
          <rPr>
            <b/>
          </rPr>
          <t xml:space="preserve">EDGAR Mapper:
</t>
        </r>
        <r>
          <t>Other Operating Income (Expense) maps directly to Other Cost and expense Operating.</t>
        </r>
      </text>
    </comment>
    <comment ref="H35" authorId="0">
      <text>
        <r>
          <rPr>
            <b/>
          </rPr>
          <t xml:space="preserve">EDGAR Mapper:
</t>
        </r>
        <r>
          <t>Other Operating Income (Expense) maps directly to Other Cost and expense Operating.</t>
        </r>
      </text>
    </comment>
    <comment ref="I35" authorId="0">
      <text>
        <r>
          <t/>
        </r>
      </text>
    </comment>
    <comment ref="J35" authorId="0">
      <text>
        <r>
          <t/>
        </r>
      </text>
    </comment>
    <comment ref="K35" authorId="0">
      <text>
        <r>
          <rPr>
            <b/>
          </rPr>
          <t xml:space="preserve">EDGAR Mapper:
</t>
        </r>
        <r>
          <t>Other Operating Income (Expense) maps directly to Other Cost and expense Operating.</t>
        </r>
      </text>
    </comment>
    <comment ref="L35" authorId="0">
      <text>
        <r>
          <t/>
        </r>
      </text>
    </comment>
    <comment ref="M35" authorId="0">
      <text>
        <r>
          <t/>
        </r>
      </text>
    </comment>
    <comment ref="N35" authorId="0">
      <text>
        <r>
          <rPr>
            <b/>
          </rPr>
          <t xml:space="preserve">EDGAR Mapper:
</t>
        </r>
        <r>
          <t>Other Operating Income (Expense) includes Confirmed invoices paid.</t>
        </r>
      </text>
    </comment>
    <comment ref="O35" authorId="0">
      <text>
        <r>
          <t/>
        </r>
      </text>
    </comment>
    <comment ref="P35" authorId="0">
      <text>
        <r>
          <t/>
        </r>
      </text>
    </comment>
    <comment ref="Q35" authorId="0">
      <text>
        <r>
          <t/>
        </r>
      </text>
    </comment>
    <comment ref="R35" authorId="0">
      <text>
        <r>
          <t/>
        </r>
      </text>
    </comment>
    <comment ref="S35" authorId="0">
      <text>
        <r>
          <rPr>
            <b/>
          </rPr>
          <t xml:space="preserve">EDGAR Mapper:
</t>
        </r>
        <r>
          <t>Other Operating Income (Expense) includes Confirmed invoices paid.</t>
        </r>
      </text>
    </comment>
    <comment ref="T35" authorId="0">
      <text>
        <r>
          <t/>
        </r>
      </text>
    </comment>
    <comment ref="U35" authorId="0">
      <text>
        <r>
          <t/>
        </r>
      </text>
    </comment>
    <comment ref="F36" authorId="0">
      <text>
        <r>
          <t/>
        </r>
      </text>
    </comment>
    <comment ref="G36" authorId="0">
      <text>
        <r>
          <t/>
        </r>
      </text>
    </comment>
    <comment ref="H36" authorId="0">
      <text>
        <r>
          <t/>
        </r>
      </text>
    </comment>
    <comment ref="I36" authorId="0">
      <text>
        <r>
          <t/>
        </r>
      </text>
    </comment>
    <comment ref="J36" authorId="0">
      <text>
        <r>
          <t/>
        </r>
      </text>
    </comment>
    <comment ref="K36" authorId="0">
      <text>
        <r>
          <t/>
        </r>
      </text>
    </comment>
    <comment ref="L36" authorId="0">
      <text>
        <r>
          <t/>
        </r>
      </text>
    </comment>
    <comment ref="M36" authorId="0">
      <text>
        <r>
          <t/>
        </r>
      </text>
    </comment>
    <comment ref="N36" authorId="0">
      <text>
        <r>
          <t/>
        </r>
      </text>
    </comment>
    <comment ref="O36" authorId="0">
      <text>
        <r>
          <t/>
        </r>
      </text>
    </comment>
    <comment ref="P36" authorId="0">
      <text>
        <r>
          <t/>
        </r>
      </text>
    </comment>
    <comment ref="Q36" authorId="0">
      <text>
        <r>
          <t/>
        </r>
      </text>
    </comment>
    <comment ref="R36" authorId="0">
      <text>
        <r>
          <t/>
        </r>
      </text>
    </comment>
    <comment ref="S36" authorId="0">
      <text>
        <r>
          <t/>
        </r>
      </text>
    </comment>
    <comment ref="T36" authorId="0">
      <text>
        <r>
          <t/>
        </r>
      </text>
    </comment>
    <comment ref="U36" authorId="0">
      <text>
        <r>
          <t/>
        </r>
      </text>
    </comment>
    <comment ref="F38" authorId="0">
      <text>
        <r>
          <rPr>
            <b/>
          </rPr>
          <t xml:space="preserve">EDGAR Mapper:
</t>
        </r>
        <r>
          <t>Interest Income maps directly to Investment income Interest.</t>
        </r>
      </text>
    </comment>
    <comment ref="G38" authorId="0">
      <text>
        <r>
          <rPr>
            <b/>
          </rPr>
          <t xml:space="preserve">EDGAR Mapper:
</t>
        </r>
        <r>
          <t>Interest Income maps directly to Investment income Interest.</t>
        </r>
      </text>
    </comment>
    <comment ref="H38" authorId="0">
      <text>
        <r>
          <rPr>
            <b/>
          </rPr>
          <t xml:space="preserve">EDGAR Mapper:
</t>
        </r>
        <r>
          <t>Interest Income maps directly to Investment income Interest.</t>
        </r>
      </text>
    </comment>
    <comment ref="I38" authorId="0">
      <text>
        <r>
          <t/>
        </r>
      </text>
    </comment>
    <comment ref="J38" authorId="0">
      <text>
        <r>
          <t/>
        </r>
      </text>
    </comment>
    <comment ref="K38" authorId="0">
      <text>
        <r>
          <rPr>
            <b/>
          </rPr>
          <t xml:space="preserve">EDGAR Mapper:
</t>
        </r>
        <r>
          <t>Interest Income maps directly to Investment income Interest.</t>
        </r>
      </text>
    </comment>
    <comment ref="L38" authorId="0">
      <text>
        <r>
          <rPr>
            <b/>
          </rPr>
          <t xml:space="preserve">EDGAR Mapper:
</t>
        </r>
        <r>
          <t>Interest Income maps directly to Investment income Interest.</t>
        </r>
      </text>
    </comment>
    <comment ref="M38" authorId="0">
      <text>
        <r>
          <rPr>
            <b/>
          </rPr>
          <t xml:space="preserve">EDGAR Mapper:
</t>
        </r>
        <r>
          <t>Interest Income maps directly to Investment income Interest.</t>
        </r>
      </text>
    </comment>
    <comment ref="N38" authorId="0">
      <text>
        <r>
          <t/>
        </r>
      </text>
    </comment>
    <comment ref="O38" authorId="0">
      <text>
        <r>
          <t/>
        </r>
      </text>
    </comment>
    <comment ref="P38" authorId="0">
      <text>
        <r>
          <rPr>
            <b/>
          </rPr>
          <t xml:space="preserve">EDGAR Mapper:
</t>
        </r>
        <r>
          <t>Interest Income maps directly to Investment income Interest.</t>
        </r>
      </text>
    </comment>
    <comment ref="Q38" authorId="0">
      <text>
        <r>
          <rPr>
            <b/>
          </rPr>
          <t xml:space="preserve">EDGAR Mapper:
</t>
        </r>
        <r>
          <t>Interest Income maps directly to Investment income Interest.</t>
        </r>
      </text>
    </comment>
    <comment ref="R38" authorId="0">
      <text>
        <r>
          <rPr>
            <b/>
          </rPr>
          <t xml:space="preserve">EDGAR Mapper:
</t>
        </r>
        <r>
          <t>Interest Income maps directly to Investment income Interest.</t>
        </r>
      </text>
    </comment>
    <comment ref="S38" authorId="0">
      <text>
        <r>
          <t/>
        </r>
      </text>
    </comment>
    <comment ref="T38" authorId="0">
      <text>
        <r>
          <t/>
        </r>
      </text>
    </comment>
    <comment ref="U38" authorId="0">
      <text>
        <r>
          <rPr>
            <b/>
          </rPr>
          <t xml:space="preserve">EDGAR Mapper:
</t>
        </r>
        <r>
          <t>Interest Income maps directly to Investment income Interest.</t>
        </r>
      </text>
    </comment>
    <comment ref="F39" authorId="0">
      <text>
        <r>
          <rPr>
            <b/>
          </rPr>
          <t xml:space="preserve">EDGAR Mapper:
</t>
        </r>
        <r>
          <t>Interest (Expense) maps directly to Interest expense.</t>
        </r>
      </text>
    </comment>
    <comment ref="G39" authorId="0">
      <text>
        <r>
          <rPr>
            <b/>
          </rPr>
          <t xml:space="preserve">EDGAR Mapper:
</t>
        </r>
        <r>
          <t>Interest (Expense) maps directly to Interest expense Nonoperating.</t>
        </r>
      </text>
    </comment>
    <comment ref="H39" authorId="0">
      <text>
        <r>
          <rPr>
            <b/>
          </rPr>
          <t xml:space="preserve">EDGAR Mapper:
</t>
        </r>
        <r>
          <t>Interest (Expense) maps directly to Interest expense Nonoperating.</t>
        </r>
      </text>
    </comment>
    <comment ref="I39" authorId="0">
      <text>
        <r>
          <t/>
        </r>
      </text>
    </comment>
    <comment ref="J39" authorId="0">
      <text>
        <r>
          <t/>
        </r>
      </text>
    </comment>
    <comment ref="K39" authorId="0">
      <text>
        <r>
          <rPr>
            <b/>
          </rPr>
          <t xml:space="preserve">EDGAR Mapper:
</t>
        </r>
        <r>
          <t>Interest (Expense) maps directly to Interest expense Nonoperating.</t>
        </r>
      </text>
    </comment>
    <comment ref="L39" authorId="0">
      <text>
        <r>
          <rPr>
            <b/>
          </rPr>
          <t xml:space="preserve">EDGAR Mapper:
</t>
        </r>
        <r>
          <t>Interest (Expense) maps directly to Interest expense Nonoperating.</t>
        </r>
      </text>
    </comment>
    <comment ref="M39" authorId="0">
      <text>
        <r>
          <rPr>
            <b/>
          </rPr>
          <t xml:space="preserve">EDGAR Mapper:
</t>
        </r>
        <r>
          <t>Interest (Expense) maps directly to Interest expense Nonoperating.</t>
        </r>
      </text>
    </comment>
    <comment ref="N39" authorId="0">
      <text>
        <r>
          <t/>
        </r>
      </text>
    </comment>
    <comment ref="O39" authorId="0">
      <text>
        <r>
          <t/>
        </r>
      </text>
    </comment>
    <comment ref="P39" authorId="0">
      <text>
        <r>
          <rPr>
            <b/>
          </rPr>
          <t xml:space="preserve">EDGAR Mapper:
</t>
        </r>
        <r>
          <t>Interest (Expense) maps directly to Interest expense Nonoperating.</t>
        </r>
      </text>
    </comment>
    <comment ref="Q39" authorId="0">
      <text>
        <r>
          <rPr>
            <b/>
          </rPr>
          <t xml:space="preserve">EDGAR Mapper:
</t>
        </r>
        <r>
          <t>Interest (Expense) maps directly to Interest expense Nonoperating.</t>
        </r>
      </text>
    </comment>
    <comment ref="R39" authorId="0">
      <text>
        <r>
          <rPr>
            <b/>
          </rPr>
          <t xml:space="preserve">EDGAR Mapper:
</t>
        </r>
        <r>
          <t>Interest (Expense) maps directly to Interest expense Nonoperating.</t>
        </r>
      </text>
    </comment>
    <comment ref="S39" authorId="0">
      <text>
        <r>
          <t/>
        </r>
      </text>
    </comment>
    <comment ref="T39" authorId="0">
      <text>
        <r>
          <t/>
        </r>
      </text>
    </comment>
    <comment ref="U39" authorId="0">
      <text>
        <r>
          <rPr>
            <b/>
          </rPr>
          <t xml:space="preserve">EDGAR Mapper:
</t>
        </r>
        <r>
          <t>Interest (Expense) maps directly to Interest expense Nonoperating.</t>
        </r>
      </text>
    </comment>
    <comment ref="F40" authorId="0">
      <text>
        <r>
          <t/>
        </r>
      </text>
    </comment>
    <comment ref="G40" authorId="0">
      <text>
        <r>
          <t/>
        </r>
      </text>
    </comment>
    <comment ref="H40" authorId="0">
      <text>
        <r>
          <t/>
        </r>
      </text>
    </comment>
    <comment ref="I40" authorId="0">
      <text>
        <r>
          <t/>
        </r>
      </text>
    </comment>
    <comment ref="J40" authorId="0">
      <text>
        <r>
          <t/>
        </r>
      </text>
    </comment>
    <comment ref="K40" authorId="0">
      <text>
        <r>
          <t/>
        </r>
      </text>
    </comment>
    <comment ref="L40" authorId="0">
      <text>
        <r>
          <t/>
        </r>
      </text>
    </comment>
    <comment ref="M40" authorId="0">
      <text>
        <r>
          <t/>
        </r>
      </text>
    </comment>
    <comment ref="N40" authorId="0">
      <text>
        <r>
          <t/>
        </r>
      </text>
    </comment>
    <comment ref="O40" authorId="0">
      <text>
        <r>
          <t/>
        </r>
      </text>
    </comment>
    <comment ref="P40" authorId="0">
      <text>
        <r>
          <t/>
        </r>
      </text>
    </comment>
    <comment ref="Q40" authorId="0">
      <text>
        <r>
          <t/>
        </r>
      </text>
    </comment>
    <comment ref="R40" authorId="0">
      <text>
        <r>
          <t/>
        </r>
      </text>
    </comment>
    <comment ref="S40" authorId="0">
      <text>
        <r>
          <t/>
        </r>
      </text>
    </comment>
    <comment ref="T40" authorId="0">
      <text>
        <r>
          <t/>
        </r>
      </text>
    </comment>
    <comment ref="U40" authorId="0">
      <text>
        <r>
          <t/>
        </r>
      </text>
    </comment>
    <comment ref="C41" authorId="0">
      <text>
        <r>
          <rPr>
            <b/>
          </rPr>
          <t xml:space="preserve">EDGAR Mapper:
</t>
        </r>
        <r>
          <t>Other Non-Operating Income (Expense) includes Other Nonoperating income expense.</t>
        </r>
      </text>
    </comment>
    <comment ref="F41" authorId="0">
      <text>
        <r>
          <rPr>
            <b/>
          </rPr>
          <t xml:space="preserve">EDGAR Mapper:
</t>
        </r>
        <r>
          <t>Other Non-Operating Income (Expense) maps directly to Other Nonoperating income expense.</t>
        </r>
      </text>
    </comment>
    <comment ref="G41" authorId="0">
      <text>
        <r>
          <rPr>
            <b/>
          </rPr>
          <t xml:space="preserve">EDGAR Mapper:
</t>
        </r>
        <r>
          <t>Other Non-Operating Income (Expense) maps directly to Other Nonoperating income expense.</t>
        </r>
      </text>
    </comment>
    <comment ref="H41" authorId="0">
      <text>
        <r>
          <rPr>
            <b/>
          </rPr>
          <t xml:space="preserve">EDGAR Mapper:
</t>
        </r>
        <r>
          <t>Other Non-Operating Income (Expense) maps directly to Other Nonoperating income expense.</t>
        </r>
      </text>
    </comment>
    <comment ref="I41" authorId="0">
      <text>
        <r>
          <t/>
        </r>
      </text>
    </comment>
    <comment ref="J41" authorId="0">
      <text>
        <r>
          <t/>
        </r>
      </text>
    </comment>
    <comment ref="K41" authorId="0">
      <text>
        <r>
          <rPr>
            <b/>
          </rPr>
          <t xml:space="preserve">EDGAR Mapper:
</t>
        </r>
        <r>
          <t>Other Non-Operating Income (Expense) maps directly to Other Nonoperating income expense.</t>
        </r>
      </text>
    </comment>
    <comment ref="L41" authorId="0">
      <text>
        <r>
          <rPr>
            <b/>
          </rPr>
          <t xml:space="preserve">EDGAR Mapper:
</t>
        </r>
        <r>
          <t>Other Non-Operating Income (Expense) maps directly to Other Nonoperating income expense.</t>
        </r>
      </text>
    </comment>
    <comment ref="M41" authorId="0">
      <text>
        <r>
          <rPr>
            <b/>
          </rPr>
          <t xml:space="preserve">EDGAR Mapper:
</t>
        </r>
        <r>
          <t>Other Non-Operating Income (Expense) maps directly to Other Nonoperating income expense.</t>
        </r>
      </text>
    </comment>
    <comment ref="N41" authorId="0">
      <text>
        <r>
          <t/>
        </r>
      </text>
    </comment>
    <comment ref="O41" authorId="0">
      <text>
        <r>
          <t/>
        </r>
      </text>
    </comment>
    <comment ref="P41" authorId="0">
      <text>
        <r>
          <rPr>
            <b/>
          </rPr>
          <t xml:space="preserve">EDGAR Mapper:
</t>
        </r>
        <r>
          <t>Other Non-Operating Income (Expense) maps directly to Other Nonoperating income expense.</t>
        </r>
      </text>
    </comment>
    <comment ref="Q41" authorId="0">
      <text>
        <r>
          <rPr>
            <b/>
          </rPr>
          <t xml:space="preserve">EDGAR Mapper:
</t>
        </r>
        <r>
          <t>Other Non-Operating Income (Expense) maps directly to Other Nonoperating income expense.</t>
        </r>
      </text>
    </comment>
    <comment ref="R41" authorId="0">
      <text>
        <r>
          <rPr>
            <b/>
          </rPr>
          <t xml:space="preserve">EDGAR Mapper:
</t>
        </r>
        <r>
          <t xml:space="preserve">======
ID#AAABbnJBV08
Microsoft Office User    (2025-01-14 21:09:38)
Brian Otaszewski: Loss on extinguishment of debt
EDGAR Mapper:
Other Non-Operating Income (Expense) maps directly to Other Nonoperating income expense.</t>
        </r>
      </text>
    </comment>
    <comment ref="S41" authorId="0">
      <text>
        <r>
          <t/>
        </r>
      </text>
    </comment>
    <comment ref="T41" authorId="0">
      <text>
        <r>
          <t/>
        </r>
      </text>
    </comment>
    <comment ref="U41" authorId="0">
      <text>
        <r>
          <rPr>
            <b/>
          </rPr>
          <t xml:space="preserve">EDGAR Mapper:
</t>
        </r>
        <r>
          <t>Other Non-Operating Income (Expense) maps directly to Other Nonoperating income expense.</t>
        </r>
      </text>
    </comment>
    <comment ref="F42" authorId="0">
      <text>
        <r>
          <t/>
        </r>
      </text>
    </comment>
    <comment ref="G42" authorId="0">
      <text>
        <r>
          <t/>
        </r>
      </text>
    </comment>
    <comment ref="H42" authorId="0">
      <text>
        <r>
          <t/>
        </r>
      </text>
    </comment>
    <comment ref="I42" authorId="0">
      <text>
        <r>
          <t/>
        </r>
      </text>
    </comment>
    <comment ref="J42" authorId="0">
      <text>
        <r>
          <t/>
        </r>
      </text>
    </comment>
    <comment ref="K42" authorId="0">
      <text>
        <r>
          <t/>
        </r>
      </text>
    </comment>
    <comment ref="L42" authorId="0">
      <text>
        <r>
          <t/>
        </r>
      </text>
    </comment>
    <comment ref="M42" authorId="0">
      <text>
        <r>
          <t/>
        </r>
      </text>
    </comment>
    <comment ref="N42" authorId="0">
      <text>
        <r>
          <t/>
        </r>
      </text>
    </comment>
    <comment ref="O42" authorId="0">
      <text>
        <r>
          <t/>
        </r>
      </text>
    </comment>
    <comment ref="P42" authorId="0">
      <text>
        <r>
          <t/>
        </r>
      </text>
    </comment>
    <comment ref="Q42" authorId="0">
      <text>
        <r>
          <t/>
        </r>
      </text>
    </comment>
    <comment ref="R42" authorId="0">
      <text>
        <r>
          <t/>
        </r>
      </text>
    </comment>
    <comment ref="S42" authorId="0">
      <text>
        <r>
          <t/>
        </r>
      </text>
    </comment>
    <comment ref="T42" authorId="0">
      <text>
        <r>
          <t/>
        </r>
      </text>
    </comment>
    <comment ref="U42" authorId="0">
      <text>
        <r>
          <t/>
        </r>
      </text>
    </comment>
    <comment ref="F44" authorId="0">
      <text>
        <r>
          <rPr>
            <b/>
          </rPr>
          <t xml:space="preserve">EDGAR Mapper:
</t>
        </r>
        <r>
          <t>Income Tax Benefit (Expense) maps directly to income Tax expense Benefit.</t>
        </r>
      </text>
    </comment>
    <comment ref="G44" authorId="0">
      <text>
        <r>
          <rPr>
            <b/>
          </rPr>
          <t xml:space="preserve">EDGAR Mapper:
</t>
        </r>
        <r>
          <t>Income Tax Benefit (Expense) maps directly to income Tax expense Benefit.</t>
        </r>
      </text>
    </comment>
    <comment ref="H44" authorId="0">
      <text>
        <r>
          <rPr>
            <b/>
          </rPr>
          <t xml:space="preserve">EDGAR Mapper:
</t>
        </r>
        <r>
          <t>Income Tax Benefit (Expense) maps directly to income Tax expense Benefit.</t>
        </r>
      </text>
    </comment>
    <comment ref="I44" authorId="0">
      <text>
        <r>
          <t/>
        </r>
      </text>
    </comment>
    <comment ref="J44" authorId="0">
      <text>
        <r>
          <t/>
        </r>
      </text>
    </comment>
    <comment ref="K44" authorId="0">
      <text>
        <r>
          <rPr>
            <b/>
          </rPr>
          <t xml:space="preserve">EDGAR Mapper:
</t>
        </r>
        <r>
          <t>Income Tax Benefit (Expense) maps directly to income Tax expense Benefit.</t>
        </r>
      </text>
    </comment>
    <comment ref="L44" authorId="0">
      <text>
        <r>
          <rPr>
            <b/>
          </rPr>
          <t xml:space="preserve">EDGAR Mapper:
</t>
        </r>
        <r>
          <t>Income Tax Benefit (Expense) maps directly to income Tax expense Benefit.</t>
        </r>
      </text>
    </comment>
    <comment ref="M44" authorId="0">
      <text>
        <r>
          <rPr>
            <b/>
          </rPr>
          <t xml:space="preserve">EDGAR Mapper:
</t>
        </r>
        <r>
          <t>Income Tax Benefit (Expense) maps directly to income Tax expense Benefit.</t>
        </r>
      </text>
    </comment>
    <comment ref="N44" authorId="0">
      <text>
        <r>
          <t/>
        </r>
      </text>
    </comment>
    <comment ref="O44" authorId="0">
      <text>
        <r>
          <t/>
        </r>
      </text>
    </comment>
    <comment ref="P44" authorId="0">
      <text>
        <r>
          <rPr>
            <b/>
          </rPr>
          <t xml:space="preserve">EDGAR Mapper:
</t>
        </r>
        <r>
          <t>Income Tax Benefit (Expense) maps directly to income Tax expense Benefit.</t>
        </r>
      </text>
    </comment>
    <comment ref="Q44" authorId="0">
      <text>
        <r>
          <rPr>
            <b/>
          </rPr>
          <t xml:space="preserve">EDGAR Mapper:
</t>
        </r>
        <r>
          <t>Income Tax Benefit (Expense) maps directly to income Tax expense Benefit.</t>
        </r>
      </text>
    </comment>
    <comment ref="R44" authorId="0">
      <text>
        <r>
          <rPr>
            <b/>
          </rPr>
          <t xml:space="preserve">EDGAR Mapper:
</t>
        </r>
        <r>
          <t>Income Tax Benefit (Expense) maps directly to income Tax expense Benefit.</t>
        </r>
      </text>
    </comment>
    <comment ref="S44" authorId="0">
      <text>
        <r>
          <t/>
        </r>
      </text>
    </comment>
    <comment ref="T44" authorId="0">
      <text>
        <r>
          <t/>
        </r>
      </text>
    </comment>
    <comment ref="U44" authorId="0">
      <text>
        <r>
          <rPr>
            <b/>
          </rPr>
          <t xml:space="preserve">EDGAR Mapper:
</t>
        </r>
        <r>
          <t>Income Tax Benefit (Expense) maps directly to income Tax expense Benefit.</t>
        </r>
      </text>
    </comment>
    <comment ref="F45" authorId="0">
      <text>
        <r>
          <t/>
        </r>
      </text>
    </comment>
    <comment ref="G45" authorId="0">
      <text>
        <r>
          <t/>
        </r>
      </text>
    </comment>
    <comment ref="H45" authorId="0">
      <text>
        <r>
          <t/>
        </r>
      </text>
    </comment>
    <comment ref="I45" authorId="0">
      <text>
        <r>
          <t/>
        </r>
      </text>
    </comment>
    <comment ref="J45" authorId="0">
      <text>
        <r>
          <t/>
        </r>
      </text>
    </comment>
    <comment ref="K45" authorId="0">
      <text>
        <r>
          <t/>
        </r>
      </text>
    </comment>
    <comment ref="L45" authorId="0">
      <text>
        <r>
          <t/>
        </r>
      </text>
    </comment>
    <comment ref="M45" authorId="0">
      <text>
        <r>
          <t/>
        </r>
      </text>
    </comment>
    <comment ref="N45" authorId="0">
      <text>
        <r>
          <t/>
        </r>
      </text>
    </comment>
    <comment ref="O45" authorId="0">
      <text>
        <r>
          <t/>
        </r>
      </text>
    </comment>
    <comment ref="P45" authorId="0">
      <text>
        <r>
          <t/>
        </r>
      </text>
    </comment>
    <comment ref="Q45" authorId="0">
      <text>
        <r>
          <t/>
        </r>
      </text>
    </comment>
    <comment ref="R45" authorId="0">
      <text>
        <r>
          <t/>
        </r>
      </text>
    </comment>
    <comment ref="S45" authorId="0">
      <text>
        <r>
          <t/>
        </r>
      </text>
    </comment>
    <comment ref="T45" authorId="0">
      <text>
        <r>
          <t/>
        </r>
      </text>
    </comment>
    <comment ref="U45" authorId="0">
      <text>
        <r>
          <t/>
        </r>
      </text>
    </comment>
    <comment ref="F47" authorId="0">
      <text>
        <r>
          <t/>
        </r>
      </text>
    </comment>
    <comment ref="G47" authorId="0">
      <text>
        <r>
          <t/>
        </r>
      </text>
    </comment>
    <comment ref="H47" authorId="0">
      <text>
        <r>
          <t/>
        </r>
      </text>
    </comment>
    <comment ref="I47" authorId="0">
      <text>
        <r>
          <t/>
        </r>
      </text>
    </comment>
    <comment ref="J47" authorId="0">
      <text>
        <r>
          <t/>
        </r>
      </text>
    </comment>
    <comment ref="K47" authorId="0">
      <text>
        <r>
          <t/>
        </r>
      </text>
    </comment>
    <comment ref="L47" authorId="0">
      <text>
        <r>
          <t/>
        </r>
      </text>
    </comment>
    <comment ref="M47" authorId="0">
      <text>
        <r>
          <t/>
        </r>
      </text>
    </comment>
    <comment ref="N47" authorId="0">
      <text>
        <r>
          <t/>
        </r>
      </text>
    </comment>
    <comment ref="O47" authorId="0">
      <text>
        <r>
          <t/>
        </r>
      </text>
    </comment>
    <comment ref="P47" authorId="0">
      <text>
        <r>
          <t/>
        </r>
      </text>
    </comment>
    <comment ref="Q47" authorId="0">
      <text>
        <r>
          <t/>
        </r>
      </text>
    </comment>
    <comment ref="R47" authorId="0">
      <text>
        <r>
          <t/>
        </r>
      </text>
    </comment>
    <comment ref="S47" authorId="0">
      <text>
        <r>
          <t/>
        </r>
      </text>
    </comment>
    <comment ref="T47" authorId="0">
      <text>
        <r>
          <t/>
        </r>
      </text>
    </comment>
    <comment ref="U47" authorId="0">
      <text>
        <r>
          <t/>
        </r>
      </text>
    </comment>
    <comment ref="C48" authorId="0">
      <text>
        <r>
          <rPr>
            <color theme="1"/>
            <scheme val="minor"/>
            <sz val="11"/>
            <rFont val="Calibri"/>
          </rP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t>
        </r>
      </text>
    </comment>
    <comment ref="F48" authorId="0">
      <text>
        <r>
          <rPr>
            <b/>
          </rPr>
          <t xml:space="preserve">EDGAR Mapper:
</t>
        </r>
        <r>
          <t>Post-Tax Adjustments maps directly to income loss From Equity Method Investments.</t>
        </r>
      </text>
    </comment>
    <comment ref="G48" authorId="0">
      <text>
        <r>
          <rPr>
            <b/>
          </rPr>
          <t xml:space="preserve">EDGAR Mapper:
</t>
        </r>
        <r>
          <t>Post-Tax Adjustments maps directly to income loss From Equity Method Investments.</t>
        </r>
      </text>
    </comment>
    <comment ref="H48" authorId="0">
      <text>
        <r>
          <t xml:space="preserve">======
ID#AAABbnJBV1k
Lilianna Ruby    (2025-01-14 21:09:38)
Orchard Supply Hardware charges, U.S. and Canada closing charges, Mexico impairment charge, non-core activities charges</t>
        </r>
      </text>
    </comment>
    <comment ref="I48" authorId="0">
      <text>
        <r>
          <t xml:space="preserve">======
ID#AAABbnJBV1s
Lilianna Ruby    (2025-01-14 21:09:38)
Canadian goodwill impairment, Orchard Supply Hardware charges, U.S. &amp; Canada store closure charges, Mexico impairment charges, non-core activities charges, Project Specialists Interiors charge</t>
        </r>
      </text>
    </comment>
    <comment ref="J48" authorId="0">
      <text>
        <r>
          <t/>
        </r>
      </text>
    </comment>
    <comment ref="K48" authorId="0">
      <text>
        <r>
          <rPr>
            <b/>
          </rPr>
          <t xml:space="preserve">EDGAR Mapper:
</t>
        </r>
        <r>
          <t xml:space="preserve">======
ID#AAABbnJBV1o
Lilianna Ruby    (2025-01-14 21:09:38)
Mexico adjustments
EDGAR Mapper:
Post-Tax Adjustments maps directly to income loss From Equity Method Investments.</t>
        </r>
      </text>
    </comment>
    <comment ref="L48" authorId="0">
      <text>
        <r>
          <rPr>
            <b/>
          </rPr>
          <t xml:space="preserve">EDGAR Mapper:
</t>
        </r>
        <r>
          <t xml:space="preserve">======
ID#AAABbnJBV1A
Lilianna Ruby    (2025-01-14 21:09:38)
Mexico adjustments
EDGAR Mapper:
Post-Tax Adjustments maps directly to income loss From Equity Method Investments.</t>
        </r>
      </text>
    </comment>
    <comment ref="M48" authorId="0">
      <text>
        <r>
          <rPr>
            <b/>
          </rPr>
          <t xml:space="preserve">EDGAR Mapper:
</t>
        </r>
        <r>
          <t xml:space="preserve">======
ID#AAABbnJBVy0
Lilianna Ruby    (2025-01-14 21:09:38)
2019 Canada restructuring
EDGAR Mapper:
Post-Tax Adjustments maps directly to income loss From Equity Method Investments.</t>
        </r>
      </text>
    </comment>
    <comment ref="N48" authorId="0">
      <text>
        <r>
          <t xml:space="preserve">======
ID#AAABbnJBV1g
Lilianna Ruby    (2025-01-14 21:09:38)
Mexico adjustments and 2019 Canada restructuring</t>
        </r>
      </text>
    </comment>
    <comment ref="O48" authorId="0">
      <text>
        <r>
          <t/>
        </r>
      </text>
    </comment>
    <comment ref="P48" authorId="0">
      <text>
        <r>
          <rPr>
            <b/>
          </rPr>
          <t xml:space="preserve">EDGAR Mapper:
</t>
        </r>
        <r>
          <t xml:space="preserve">======
ID#AAABbnJBVzs
Lilianna Ruby    (2025-01-14 21:09:38)
Canada restructuring
EDGAR Mapper:
Post-Tax Adjustments maps directly to income loss From Equity Method Investments.</t>
        </r>
      </text>
    </comment>
    <comment ref="Q48" authorId="0">
      <text>
        <r>
          <rPr>
            <b/>
          </rPr>
          <t xml:space="preserve">EDGAR Mapper:
</t>
        </r>
        <r>
          <t xml:space="preserve">======
ID#AAABbnJBVx8
Lilianna Ruby    (2025-01-14 21:09:38)
Canada restructuring
EDGAR Mapper:
Post-Tax Adjustments maps directly to income loss From Equity Method Investments.</t>
        </r>
      </text>
    </comment>
    <comment ref="R48" authorId="0">
      <text>
        <r>
          <rPr>
            <b/>
          </rPr>
          <t xml:space="preserve">EDGAR Mapper:
</t>
        </r>
        <r>
          <t>Post-Tax Adjustments maps directly to income loss From Equity Method Investments.</t>
        </r>
      </text>
    </comment>
    <comment ref="S48" authorId="0">
      <text>
        <r>
          <t/>
        </r>
      </text>
    </comment>
    <comment ref="T48" authorId="0">
      <text>
        <r>
          <t/>
        </r>
      </text>
    </comment>
    <comment ref="U48" authorId="0">
      <text>
        <r>
          <rPr>
            <b/>
          </rPr>
          <t xml:space="preserve">EDGAR Mapper:
</t>
        </r>
        <r>
          <t>Post-Tax Adjustments maps directly to income loss From Equity Method Investments.</t>
        </r>
      </text>
    </comment>
    <comment ref="C49" authorId="0">
      <text>
        <r>
          <t/>
        </r>
      </text>
    </comment>
    <comment ref="F49" authorId="0">
      <text>
        <r>
          <t/>
        </r>
      </text>
    </comment>
    <comment ref="G49" authorId="0">
      <text>
        <r>
          <t/>
        </r>
      </text>
    </comment>
    <comment ref="H49" authorId="0">
      <text>
        <r>
          <t/>
        </r>
      </text>
    </comment>
    <comment ref="I49" authorId="0">
      <text>
        <r>
          <t/>
        </r>
      </text>
    </comment>
    <comment ref="J49" authorId="0">
      <text>
        <r>
          <t/>
        </r>
      </text>
    </comment>
    <comment ref="K49" authorId="0">
      <text>
        <r>
          <t/>
        </r>
      </text>
    </comment>
    <comment ref="L49" authorId="0">
      <text>
        <r>
          <t/>
        </r>
      </text>
    </comment>
    <comment ref="M49" authorId="0">
      <text>
        <r>
          <t/>
        </r>
      </text>
    </comment>
    <comment ref="N49" authorId="0">
      <text>
        <r>
          <t/>
        </r>
      </text>
    </comment>
    <comment ref="O49" authorId="0">
      <text>
        <r>
          <t/>
        </r>
      </text>
    </comment>
    <comment ref="P49" authorId="0">
      <text>
        <r>
          <t/>
        </r>
      </text>
    </comment>
    <comment ref="Q49" authorId="0">
      <text>
        <r>
          <t/>
        </r>
      </text>
    </comment>
    <comment ref="R49" authorId="0">
      <text>
        <r>
          <t/>
        </r>
      </text>
    </comment>
    <comment ref="S49" authorId="0">
      <text>
        <r>
          <t/>
        </r>
      </text>
    </comment>
    <comment ref="T49" authorId="0">
      <text>
        <r>
          <t/>
        </r>
      </text>
    </comment>
    <comment ref="U49" authorId="0">
      <text>
        <r>
          <t/>
        </r>
      </text>
    </comment>
    <comment ref="C50" authorId="0">
      <text>
        <r>
          <rPr>
            <b/>
          </rPr>
          <t xml:space="preserve">EDGAR Mapper:
</t>
        </r>
        <r>
          <t>Income (Loss) due to Non-Controlling Interest includes net income loss Attributable To Noncontrolling Interest.</t>
        </r>
      </text>
    </comment>
    <comment ref="F50" authorId="0">
      <text>
        <r>
          <rPr>
            <b/>
          </rPr>
          <t xml:space="preserve">EDGAR Mapper:
</t>
        </r>
        <r>
          <t>Income (Loss) due to Non-Controlling Interest maps directly to net income loss Attributable To Noncontrolling Interest.</t>
        </r>
      </text>
    </comment>
    <comment ref="G50" authorId="0">
      <text>
        <r>
          <rPr>
            <b/>
          </rPr>
          <t xml:space="preserve">EDGAR Mapper:
</t>
        </r>
        <r>
          <t>Income (Loss) due to Non-Controlling Interest maps directly to net income loss Attributable To Noncontrolling Interest.</t>
        </r>
      </text>
    </comment>
    <comment ref="H50" authorId="0">
      <text>
        <r>
          <rPr>
            <b/>
          </rPr>
          <t xml:space="preserve">EDGAR Mapper:
</t>
        </r>
        <r>
          <t>Income (Loss) due to Non-Controlling Interest maps directly to net income loss Attributable To Noncontrolling Interest.</t>
        </r>
      </text>
    </comment>
    <comment ref="I50" authorId="0">
      <text>
        <r>
          <t/>
        </r>
      </text>
    </comment>
    <comment ref="J50" authorId="0">
      <text>
        <r>
          <t/>
        </r>
      </text>
    </comment>
    <comment ref="K50" authorId="0">
      <text>
        <r>
          <rPr>
            <b/>
          </rPr>
          <t xml:space="preserve">EDGAR Mapper:
</t>
        </r>
        <r>
          <t>Income (Loss) due to Non-Controlling Interest maps directly to net income loss Attributable To Noncontrolling Interest.</t>
        </r>
      </text>
    </comment>
    <comment ref="L50" authorId="0">
      <text>
        <r>
          <rPr>
            <b/>
          </rPr>
          <t xml:space="preserve">EDGAR Mapper:
</t>
        </r>
        <r>
          <t>Income (Loss) due to Non-Controlling Interest maps directly to net income loss Attributable To Noncontrolling Interest.</t>
        </r>
      </text>
    </comment>
    <comment ref="M50" authorId="0">
      <text>
        <r>
          <rPr>
            <b/>
          </rPr>
          <t xml:space="preserve">EDGAR Mapper:
</t>
        </r>
        <r>
          <t>Income (Loss) due to Non-Controlling Interest maps directly to net income loss Attributable To Noncontrolling Interest.</t>
        </r>
      </text>
    </comment>
    <comment ref="N50" authorId="0">
      <text>
        <r>
          <t/>
        </r>
      </text>
    </comment>
    <comment ref="O50" authorId="0">
      <text>
        <r>
          <t/>
        </r>
      </text>
    </comment>
    <comment ref="P50" authorId="0">
      <text>
        <r>
          <rPr>
            <b/>
          </rPr>
          <t xml:space="preserve">EDGAR Mapper:
</t>
        </r>
        <r>
          <t>Income (Loss) due to Non-Controlling Interest maps directly to net income loss Attributable To Noncontrolling Interest.</t>
        </r>
      </text>
    </comment>
    <comment ref="Q50" authorId="0">
      <text>
        <r>
          <rPr>
            <b/>
          </rPr>
          <t xml:space="preserve">EDGAR Mapper:
</t>
        </r>
        <r>
          <t>Income (Loss) due to Non-Controlling Interest maps directly to net income loss Attributable To Noncontrolling Interest.</t>
        </r>
      </text>
    </comment>
    <comment ref="R50" authorId="0">
      <text>
        <r>
          <rPr>
            <b/>
          </rPr>
          <t xml:space="preserve">EDGAR Mapper:
</t>
        </r>
        <r>
          <t>Income (Loss) due to Non-Controlling Interest maps directly to net income loss Attributable To Noncontrolling Interest.</t>
        </r>
      </text>
    </comment>
    <comment ref="S50" authorId="0">
      <text>
        <r>
          <t/>
        </r>
      </text>
    </comment>
    <comment ref="T50" authorId="0">
      <text>
        <r>
          <t/>
        </r>
      </text>
    </comment>
    <comment ref="U50" authorId="0">
      <text>
        <r>
          <rPr>
            <b/>
          </rPr>
          <t xml:space="preserve">EDGAR Mapper:
</t>
        </r>
        <r>
          <t>Income (Loss) due to Non-Controlling Interest maps directly to net income loss Attributable To Noncontrolling Interest.</t>
        </r>
      </text>
    </comment>
    <comment ref="W50" authorId="0">
      <text>
        <r>
          <rPr>
            <color theme="1"/>
            <scheme val="minor"/>
            <sz val="11"/>
            <rFont val="Calibri"/>
          </rPr>
          <t xml:space="preserve">======
ID#AAABbnJBVzY
Lilianna    (2025-01-14 21:09:38)
Net earnings allocable to participating securities</t>
        </r>
      </text>
    </comment>
    <comment ref="F51" authorId="0">
      <text>
        <r>
          <t/>
        </r>
      </text>
    </comment>
    <comment ref="G51" authorId="0">
      <text>
        <r>
          <t/>
        </r>
      </text>
    </comment>
    <comment ref="H51" authorId="0">
      <text>
        <r>
          <t/>
        </r>
      </text>
    </comment>
    <comment ref="I51" authorId="0">
      <text>
        <r>
          <t/>
        </r>
      </text>
    </comment>
    <comment ref="J51" authorId="0">
      <text>
        <r>
          <t/>
        </r>
      </text>
    </comment>
    <comment ref="K51" authorId="0">
      <text>
        <r>
          <t/>
        </r>
      </text>
    </comment>
    <comment ref="L51" authorId="0">
      <text>
        <r>
          <t/>
        </r>
      </text>
    </comment>
    <comment ref="M51" authorId="0">
      <text>
        <r>
          <t/>
        </r>
      </text>
    </comment>
    <comment ref="N51" authorId="0">
      <text>
        <r>
          <t/>
        </r>
      </text>
    </comment>
    <comment ref="O51" authorId="0">
      <text>
        <r>
          <t/>
        </r>
      </text>
    </comment>
    <comment ref="P51" authorId="0">
      <text>
        <r>
          <t/>
        </r>
      </text>
    </comment>
    <comment ref="Q51" authorId="0">
      <text>
        <r>
          <t/>
        </r>
      </text>
    </comment>
    <comment ref="R51" authorId="0">
      <text>
        <r>
          <t/>
        </r>
      </text>
    </comment>
    <comment ref="S51" authorId="0">
      <text>
        <r>
          <t/>
        </r>
      </text>
    </comment>
    <comment ref="T51" authorId="0">
      <text>
        <r>
          <t/>
        </r>
      </text>
    </comment>
    <comment ref="U51" authorId="0">
      <text>
        <r>
          <t/>
        </r>
      </text>
    </comment>
    <comment ref="F53" authorId="0">
      <text>
        <r>
          <t/>
        </r>
      </text>
    </comment>
    <comment ref="G53" authorId="0">
      <text>
        <r>
          <t/>
        </r>
      </text>
    </comment>
    <comment ref="H53" authorId="0">
      <text>
        <r>
          <t/>
        </r>
      </text>
    </comment>
    <comment ref="I53" authorId="0">
      <text>
        <r>
          <t/>
        </r>
      </text>
    </comment>
    <comment ref="J53" authorId="0">
      <text>
        <r>
          <t/>
        </r>
      </text>
    </comment>
    <comment ref="K53" authorId="0">
      <text>
        <r>
          <t/>
        </r>
      </text>
    </comment>
    <comment ref="L53" authorId="0">
      <text>
        <r>
          <t/>
        </r>
      </text>
    </comment>
    <comment ref="M53" authorId="0">
      <text>
        <r>
          <t/>
        </r>
      </text>
    </comment>
    <comment ref="N53" authorId="0">
      <text>
        <r>
          <t/>
        </r>
      </text>
    </comment>
    <comment ref="O53" authorId="0">
      <text>
        <r>
          <t/>
        </r>
      </text>
    </comment>
    <comment ref="P53" authorId="0">
      <text>
        <r>
          <t/>
        </r>
      </text>
    </comment>
    <comment ref="Q53" authorId="0">
      <text>
        <r>
          <t/>
        </r>
      </text>
    </comment>
    <comment ref="R53" authorId="0">
      <text>
        <r>
          <t/>
        </r>
      </text>
    </comment>
    <comment ref="S53" authorId="0">
      <text>
        <r>
          <t/>
        </r>
      </text>
    </comment>
    <comment ref="T53" authorId="0">
      <text>
        <r>
          <t/>
        </r>
      </text>
    </comment>
    <comment ref="U53" authorId="0">
      <text>
        <r>
          <t/>
        </r>
      </text>
    </comment>
    <comment ref="F54" authorId="0">
      <text>
        <r>
          <t/>
        </r>
      </text>
    </comment>
    <comment ref="G54" authorId="0">
      <text>
        <r>
          <t/>
        </r>
      </text>
    </comment>
    <comment ref="H54" authorId="0">
      <text>
        <r>
          <t/>
        </r>
      </text>
    </comment>
    <comment ref="I54" authorId="0">
      <text>
        <r>
          <t/>
        </r>
      </text>
    </comment>
    <comment ref="J54" authorId="0">
      <text>
        <r>
          <t/>
        </r>
      </text>
    </comment>
    <comment ref="K54" authorId="0">
      <text>
        <r>
          <t/>
        </r>
      </text>
    </comment>
    <comment ref="L54" authorId="0">
      <text>
        <r>
          <t/>
        </r>
      </text>
    </comment>
    <comment ref="M54" authorId="0">
      <text>
        <r>
          <t/>
        </r>
      </text>
    </comment>
    <comment ref="N54" authorId="0">
      <text>
        <r>
          <t/>
        </r>
      </text>
    </comment>
    <comment ref="O54" authorId="0">
      <text>
        <r>
          <t/>
        </r>
      </text>
    </comment>
    <comment ref="P54" authorId="0">
      <text>
        <r>
          <t/>
        </r>
      </text>
    </comment>
    <comment ref="Q54" authorId="0">
      <text>
        <r>
          <t/>
        </r>
      </text>
    </comment>
    <comment ref="R54" authorId="0">
      <text>
        <r>
          <t/>
        </r>
      </text>
    </comment>
    <comment ref="S54" authorId="0">
      <text>
        <r>
          <t/>
        </r>
      </text>
    </comment>
    <comment ref="T54" authorId="0">
      <text>
        <r>
          <t/>
        </r>
      </text>
    </comment>
    <comment ref="U54" authorId="0">
      <text>
        <r>
          <t/>
        </r>
      </text>
    </comment>
    <comment ref="F56" authorId="0">
      <text>
        <r>
          <t/>
        </r>
      </text>
    </comment>
    <comment ref="G56" authorId="0">
      <text>
        <r>
          <t/>
        </r>
      </text>
    </comment>
    <comment ref="H56" authorId="0">
      <text>
        <r>
          <t/>
        </r>
      </text>
    </comment>
    <comment ref="I56" authorId="0">
      <text>
        <r>
          <t/>
        </r>
      </text>
    </comment>
    <comment ref="J56" authorId="0">
      <text>
        <r>
          <t/>
        </r>
      </text>
    </comment>
    <comment ref="K56" authorId="0">
      <text>
        <r>
          <t/>
        </r>
      </text>
    </comment>
    <comment ref="L56" authorId="0">
      <text>
        <r>
          <t/>
        </r>
      </text>
    </comment>
    <comment ref="M56" authorId="0">
      <text>
        <r>
          <t/>
        </r>
      </text>
    </comment>
    <comment ref="N56" authorId="0">
      <text>
        <r>
          <t/>
        </r>
      </text>
    </comment>
    <comment ref="O56" authorId="0">
      <text>
        <r>
          <t/>
        </r>
      </text>
    </comment>
    <comment ref="P56" authorId="0">
      <text>
        <r>
          <t/>
        </r>
      </text>
    </comment>
    <comment ref="Q56" authorId="0">
      <text>
        <r>
          <t/>
        </r>
      </text>
    </comment>
    <comment ref="R56" authorId="0">
      <text>
        <r>
          <t/>
        </r>
      </text>
    </comment>
    <comment ref="S56" authorId="0">
      <text>
        <r>
          <t/>
        </r>
      </text>
    </comment>
    <comment ref="T56" authorId="0">
      <text>
        <r>
          <t/>
        </r>
      </text>
    </comment>
    <comment ref="U56" authorId="0">
      <text>
        <r>
          <t/>
        </r>
      </text>
    </comment>
    <comment ref="F57" authorId="0">
      <text>
        <r>
          <t/>
        </r>
      </text>
    </comment>
    <comment ref="G57" authorId="0">
      <text>
        <r>
          <t/>
        </r>
      </text>
    </comment>
    <comment ref="H57" authorId="0">
      <text>
        <r>
          <t/>
        </r>
      </text>
    </comment>
    <comment ref="I57" authorId="0">
      <text>
        <r>
          <t/>
        </r>
      </text>
    </comment>
    <comment ref="J57" authorId="0">
      <text>
        <r>
          <t/>
        </r>
      </text>
    </comment>
    <comment ref="K57" authorId="0">
      <text>
        <r>
          <t/>
        </r>
      </text>
    </comment>
    <comment ref="L57" authorId="0">
      <text>
        <r>
          <t/>
        </r>
      </text>
    </comment>
    <comment ref="M57" authorId="0">
      <text>
        <r>
          <t/>
        </r>
      </text>
    </comment>
    <comment ref="N57" authorId="0">
      <text>
        <r>
          <t/>
        </r>
      </text>
    </comment>
    <comment ref="O57" authorId="0">
      <text>
        <r>
          <t/>
        </r>
      </text>
    </comment>
    <comment ref="P57" authorId="0">
      <text>
        <r>
          <t/>
        </r>
      </text>
    </comment>
    <comment ref="Q57" authorId="0">
      <text>
        <r>
          <t/>
        </r>
      </text>
    </comment>
    <comment ref="R57" authorId="0">
      <text>
        <r>
          <t/>
        </r>
      </text>
    </comment>
    <comment ref="S57" authorId="0">
      <text>
        <r>
          <t/>
        </r>
      </text>
    </comment>
    <comment ref="T57" authorId="0">
      <text>
        <r>
          <t/>
        </r>
      </text>
    </comment>
    <comment ref="U57" authorId="0">
      <text>
        <r>
          <t/>
        </r>
      </text>
    </comment>
    <comment ref="F59" authorId="0">
      <text>
        <r>
          <t/>
        </r>
      </text>
    </comment>
    <comment ref="G59" authorId="0">
      <text>
        <r>
          <t/>
        </r>
      </text>
    </comment>
    <comment ref="H59" authorId="0">
      <text>
        <r>
          <t/>
        </r>
      </text>
    </comment>
    <comment ref="I59" authorId="0">
      <text>
        <r>
          <t/>
        </r>
      </text>
    </comment>
    <comment ref="J59" authorId="0">
      <text>
        <r>
          <t/>
        </r>
      </text>
    </comment>
    <comment ref="K59" authorId="0">
      <text>
        <r>
          <t/>
        </r>
      </text>
    </comment>
    <comment ref="L59" authorId="0">
      <text>
        <r>
          <t/>
        </r>
      </text>
    </comment>
    <comment ref="M59" authorId="0">
      <text>
        <r>
          <t/>
        </r>
      </text>
    </comment>
    <comment ref="N59" authorId="0">
      <text>
        <r>
          <t/>
        </r>
      </text>
    </comment>
    <comment ref="O59" authorId="0">
      <text>
        <r>
          <t/>
        </r>
      </text>
    </comment>
    <comment ref="P59" authorId="0">
      <text>
        <r>
          <t/>
        </r>
      </text>
    </comment>
    <comment ref="Q59" authorId="0">
      <text>
        <r>
          <t/>
        </r>
      </text>
    </comment>
    <comment ref="R59" authorId="0">
      <text>
        <r>
          <t/>
        </r>
      </text>
    </comment>
    <comment ref="S59" authorId="0">
      <text>
        <r>
          <t/>
        </r>
      </text>
    </comment>
    <comment ref="T59" authorId="0">
      <text>
        <r>
          <t/>
        </r>
      </text>
    </comment>
    <comment ref="U59" authorId="0">
      <text>
        <r>
          <t/>
        </r>
      </text>
    </comment>
    <comment ref="F60" authorId="0">
      <text>
        <r>
          <t/>
        </r>
      </text>
    </comment>
    <comment ref="G60" authorId="0">
      <text>
        <r>
          <t/>
        </r>
      </text>
    </comment>
    <comment ref="H60" authorId="0">
      <text>
        <r>
          <t/>
        </r>
      </text>
    </comment>
    <comment ref="I60" authorId="0">
      <text>
        <r>
          <t/>
        </r>
      </text>
    </comment>
    <comment ref="J60" authorId="0">
      <text>
        <r>
          <t/>
        </r>
      </text>
    </comment>
    <comment ref="K60" authorId="0">
      <text>
        <r>
          <t/>
        </r>
      </text>
    </comment>
    <comment ref="L60" authorId="0">
      <text>
        <r>
          <t/>
        </r>
      </text>
    </comment>
    <comment ref="M60" authorId="0">
      <text>
        <r>
          <t/>
        </r>
      </text>
    </comment>
    <comment ref="N60" authorId="0">
      <text>
        <r>
          <t/>
        </r>
      </text>
    </comment>
    <comment ref="O60" authorId="0">
      <text>
        <r>
          <t/>
        </r>
      </text>
    </comment>
    <comment ref="P60" authorId="0">
      <text>
        <r>
          <t/>
        </r>
      </text>
    </comment>
    <comment ref="Q60" authorId="0">
      <text>
        <r>
          <t/>
        </r>
      </text>
    </comment>
    <comment ref="R60" authorId="0">
      <text>
        <r>
          <t/>
        </r>
      </text>
    </comment>
    <comment ref="S60" authorId="0">
      <text>
        <r>
          <t/>
        </r>
      </text>
    </comment>
    <comment ref="T60" authorId="0">
      <text>
        <r>
          <t/>
        </r>
      </text>
    </comment>
    <comment ref="U60" authorId="0">
      <text>
        <r>
          <t/>
        </r>
      </text>
    </comment>
    <comment ref="F61" authorId="0">
      <text>
        <r>
          <t/>
        </r>
      </text>
    </comment>
    <comment ref="G61" authorId="0">
      <text>
        <r>
          <t/>
        </r>
      </text>
    </comment>
    <comment ref="H61" authorId="0">
      <text>
        <r>
          <t/>
        </r>
      </text>
    </comment>
    <comment ref="I61" authorId="0">
      <text>
        <r>
          <t/>
        </r>
      </text>
    </comment>
    <comment ref="J61" authorId="0">
      <text>
        <r>
          <t/>
        </r>
      </text>
    </comment>
    <comment ref="K61" authorId="0">
      <text>
        <r>
          <t/>
        </r>
      </text>
    </comment>
    <comment ref="L61" authorId="0">
      <text>
        <r>
          <t/>
        </r>
      </text>
    </comment>
    <comment ref="M61" authorId="0">
      <text>
        <r>
          <t/>
        </r>
      </text>
    </comment>
    <comment ref="N61" authorId="0">
      <text>
        <r>
          <t/>
        </r>
      </text>
    </comment>
    <comment ref="O61" authorId="0">
      <text>
        <r>
          <t/>
        </r>
      </text>
    </comment>
    <comment ref="P61" authorId="0">
      <text>
        <r>
          <t/>
        </r>
      </text>
    </comment>
    <comment ref="Q61" authorId="0">
      <text>
        <r>
          <t/>
        </r>
      </text>
    </comment>
    <comment ref="R61" authorId="0">
      <text>
        <r>
          <t/>
        </r>
      </text>
    </comment>
    <comment ref="S61" authorId="0">
      <text>
        <r>
          <t/>
        </r>
      </text>
    </comment>
    <comment ref="T61" authorId="0">
      <text>
        <r>
          <t/>
        </r>
      </text>
    </comment>
    <comment ref="U61" authorId="0">
      <text>
        <r>
          <t/>
        </r>
      </text>
    </comment>
    <comment ref="F63" authorId="0">
      <text>
        <r>
          <t/>
        </r>
      </text>
    </comment>
    <comment ref="G63" authorId="0">
      <text>
        <r>
          <t/>
        </r>
      </text>
    </comment>
    <comment ref="H63" authorId="0">
      <text>
        <r>
          <t/>
        </r>
      </text>
    </comment>
    <comment ref="I63" authorId="0">
      <text>
        <r>
          <t/>
        </r>
      </text>
    </comment>
    <comment ref="J63" authorId="0">
      <text>
        <r>
          <t/>
        </r>
      </text>
    </comment>
    <comment ref="K63" authorId="0">
      <text>
        <r>
          <t/>
        </r>
      </text>
    </comment>
    <comment ref="L63" authorId="0">
      <text>
        <r>
          <t/>
        </r>
      </text>
    </comment>
    <comment ref="M63" authorId="0">
      <text>
        <r>
          <t/>
        </r>
      </text>
    </comment>
    <comment ref="N63" authorId="0">
      <text>
        <r>
          <t/>
        </r>
      </text>
    </comment>
    <comment ref="O63" authorId="0">
      <text>
        <r>
          <t/>
        </r>
      </text>
    </comment>
    <comment ref="P63" authorId="0">
      <text>
        <r>
          <t/>
        </r>
      </text>
    </comment>
    <comment ref="Q63" authorId="0">
      <text>
        <r>
          <t/>
        </r>
      </text>
    </comment>
    <comment ref="R63" authorId="0">
      <text>
        <r>
          <t/>
        </r>
      </text>
    </comment>
    <comment ref="S63" authorId="0">
      <text>
        <r>
          <t/>
        </r>
      </text>
    </comment>
    <comment ref="T63" authorId="0">
      <text>
        <r>
          <t/>
        </r>
      </text>
    </comment>
    <comment ref="U63" authorId="0">
      <text>
        <r>
          <t/>
        </r>
      </text>
    </comment>
    <comment ref="F66" authorId="0">
      <text>
        <r>
          <t/>
        </r>
      </text>
    </comment>
    <comment ref="G66" authorId="0">
      <text>
        <r>
          <t/>
        </r>
      </text>
    </comment>
    <comment ref="H66" authorId="0">
      <text>
        <r>
          <t/>
        </r>
      </text>
    </comment>
    <comment ref="I66" authorId="0">
      <text>
        <r>
          <t/>
        </r>
      </text>
    </comment>
    <comment ref="J66" authorId="0">
      <text>
        <r>
          <t/>
        </r>
      </text>
    </comment>
    <comment ref="K66" authorId="0">
      <text>
        <r>
          <t/>
        </r>
      </text>
    </comment>
    <comment ref="L66" authorId="0">
      <text>
        <r>
          <t/>
        </r>
      </text>
    </comment>
    <comment ref="M66" authorId="0">
      <text>
        <r>
          <t/>
        </r>
      </text>
    </comment>
    <comment ref="N66" authorId="0">
      <text>
        <r>
          <t/>
        </r>
      </text>
    </comment>
    <comment ref="O66" authorId="0">
      <text>
        <r>
          <t/>
        </r>
      </text>
    </comment>
    <comment ref="P66" authorId="0">
      <text>
        <r>
          <t/>
        </r>
      </text>
    </comment>
    <comment ref="Q66" authorId="0">
      <text>
        <r>
          <t/>
        </r>
      </text>
    </comment>
    <comment ref="R66" authorId="0">
      <text>
        <r>
          <t/>
        </r>
      </text>
    </comment>
    <comment ref="S66" authorId="0">
      <text>
        <r>
          <t/>
        </r>
      </text>
    </comment>
    <comment ref="T66" authorId="0">
      <text>
        <r>
          <t/>
        </r>
      </text>
    </comment>
    <comment ref="U66" authorId="0">
      <text>
        <r>
          <t/>
        </r>
      </text>
    </comment>
    <comment ref="F67" authorId="0">
      <text>
        <r>
          <t/>
        </r>
      </text>
    </comment>
    <comment ref="G67" authorId="0">
      <text>
        <r>
          <t/>
        </r>
      </text>
    </comment>
    <comment ref="H67" authorId="0">
      <text>
        <r>
          <t/>
        </r>
      </text>
    </comment>
    <comment ref="I67" authorId="0">
      <text>
        <r>
          <t/>
        </r>
      </text>
    </comment>
    <comment ref="J67" authorId="0">
      <text>
        <r>
          <t/>
        </r>
      </text>
    </comment>
    <comment ref="K67" authorId="0">
      <text>
        <r>
          <t/>
        </r>
      </text>
    </comment>
    <comment ref="L67" authorId="0">
      <text>
        <r>
          <t/>
        </r>
      </text>
    </comment>
    <comment ref="M67" authorId="0">
      <text>
        <r>
          <t/>
        </r>
      </text>
    </comment>
    <comment ref="N67" authorId="0">
      <text>
        <r>
          <t/>
        </r>
      </text>
    </comment>
    <comment ref="O67" authorId="0">
      <text>
        <r>
          <t/>
        </r>
      </text>
    </comment>
    <comment ref="P67" authorId="0">
      <text>
        <r>
          <t/>
        </r>
      </text>
    </comment>
    <comment ref="Q67" authorId="0">
      <text>
        <r>
          <t/>
        </r>
      </text>
    </comment>
    <comment ref="R67" authorId="0">
      <text>
        <r>
          <t/>
        </r>
      </text>
    </comment>
    <comment ref="S67" authorId="0">
      <text>
        <r>
          <t/>
        </r>
      </text>
    </comment>
    <comment ref="T67" authorId="0">
      <text>
        <r>
          <t/>
        </r>
      </text>
    </comment>
    <comment ref="U67" authorId="0">
      <text>
        <r>
          <t/>
        </r>
      </text>
    </comment>
    <comment ref="F68" authorId="0">
      <text>
        <r>
          <t/>
        </r>
      </text>
    </comment>
    <comment ref="G68" authorId="0">
      <text>
        <r>
          <t/>
        </r>
      </text>
    </comment>
    <comment ref="H68" authorId="0">
      <text>
        <r>
          <t/>
        </r>
      </text>
    </comment>
    <comment ref="I68" authorId="0">
      <text>
        <r>
          <t/>
        </r>
      </text>
    </comment>
    <comment ref="J68" authorId="0">
      <text>
        <r>
          <t/>
        </r>
      </text>
    </comment>
    <comment ref="K68" authorId="0">
      <text>
        <r>
          <t/>
        </r>
      </text>
    </comment>
    <comment ref="L68" authorId="0">
      <text>
        <r>
          <t/>
        </r>
      </text>
    </comment>
    <comment ref="M68" authorId="0">
      <text>
        <r>
          <t/>
        </r>
      </text>
    </comment>
    <comment ref="N68" authorId="0">
      <text>
        <r>
          <t/>
        </r>
      </text>
    </comment>
    <comment ref="O68" authorId="0">
      <text>
        <r>
          <t/>
        </r>
      </text>
    </comment>
    <comment ref="P68" authorId="0">
      <text>
        <r>
          <t/>
        </r>
      </text>
    </comment>
    <comment ref="Q68" authorId="0">
      <text>
        <r>
          <t/>
        </r>
      </text>
    </comment>
    <comment ref="R68" authorId="0">
      <text>
        <r>
          <t/>
        </r>
      </text>
    </comment>
    <comment ref="S68" authorId="0">
      <text>
        <r>
          <t/>
        </r>
      </text>
    </comment>
    <comment ref="T68" authorId="0">
      <text>
        <r>
          <t/>
        </r>
      </text>
    </comment>
    <comment ref="U68" authorId="0">
      <text>
        <r>
          <t/>
        </r>
      </text>
    </comment>
    <comment ref="F69" authorId="0">
      <text>
        <r>
          <t/>
        </r>
      </text>
    </comment>
    <comment ref="G69" authorId="0">
      <text>
        <r>
          <t/>
        </r>
      </text>
    </comment>
    <comment ref="H69" authorId="0">
      <text>
        <r>
          <t/>
        </r>
      </text>
    </comment>
    <comment ref="I69" authorId="0">
      <text>
        <r>
          <t/>
        </r>
      </text>
    </comment>
    <comment ref="J69" authorId="0">
      <text>
        <r>
          <t/>
        </r>
      </text>
    </comment>
    <comment ref="K69" authorId="0">
      <text>
        <r>
          <t/>
        </r>
      </text>
    </comment>
    <comment ref="L69" authorId="0">
      <text>
        <r>
          <t/>
        </r>
      </text>
    </comment>
    <comment ref="M69" authorId="0">
      <text>
        <r>
          <t/>
        </r>
      </text>
    </comment>
    <comment ref="N69" authorId="0">
      <text>
        <r>
          <t/>
        </r>
      </text>
    </comment>
    <comment ref="O69" authorId="0">
      <text>
        <r>
          <t/>
        </r>
      </text>
    </comment>
    <comment ref="P69" authorId="0">
      <text>
        <r>
          <t/>
        </r>
      </text>
    </comment>
    <comment ref="Q69" authorId="0">
      <text>
        <r>
          <t/>
        </r>
      </text>
    </comment>
    <comment ref="R69" authorId="0">
      <text>
        <r>
          <t/>
        </r>
      </text>
    </comment>
    <comment ref="S69" authorId="0">
      <text>
        <r>
          <t/>
        </r>
      </text>
    </comment>
    <comment ref="T69" authorId="0">
      <text>
        <r>
          <t/>
        </r>
      </text>
    </comment>
    <comment ref="U69" authorId="0">
      <text>
        <r>
          <t/>
        </r>
      </text>
    </comment>
    <comment ref="F70" authorId="0">
      <text>
        <r>
          <t/>
        </r>
      </text>
    </comment>
    <comment ref="G70" authorId="0">
      <text>
        <r>
          <t/>
        </r>
      </text>
    </comment>
    <comment ref="H70" authorId="0">
      <text>
        <r>
          <t/>
        </r>
      </text>
    </comment>
    <comment ref="I70" authorId="0">
      <text>
        <r>
          <t/>
        </r>
      </text>
    </comment>
    <comment ref="J70" authorId="0">
      <text>
        <r>
          <t/>
        </r>
      </text>
    </comment>
    <comment ref="K70" authorId="0">
      <text>
        <r>
          <t/>
        </r>
      </text>
    </comment>
    <comment ref="L70" authorId="0">
      <text>
        <r>
          <t/>
        </r>
      </text>
    </comment>
    <comment ref="M70" authorId="0">
      <text>
        <r>
          <t/>
        </r>
      </text>
    </comment>
    <comment ref="N70" authorId="0">
      <text>
        <r>
          <t/>
        </r>
      </text>
    </comment>
    <comment ref="O70" authorId="0">
      <text>
        <r>
          <t/>
        </r>
      </text>
    </comment>
    <comment ref="P70" authorId="0">
      <text>
        <r>
          <t/>
        </r>
      </text>
    </comment>
    <comment ref="Q70" authorId="0">
      <text>
        <r>
          <t/>
        </r>
      </text>
    </comment>
    <comment ref="R70" authorId="0">
      <text>
        <r>
          <t/>
        </r>
      </text>
    </comment>
    <comment ref="S70" authorId="0">
      <text>
        <r>
          <t/>
        </r>
      </text>
    </comment>
    <comment ref="T70" authorId="0">
      <text>
        <r>
          <t/>
        </r>
      </text>
    </comment>
    <comment ref="U70" authorId="0">
      <text>
        <r>
          <t/>
        </r>
      </text>
    </comment>
    <comment ref="F71" authorId="0">
      <text>
        <r>
          <t/>
        </r>
      </text>
    </comment>
    <comment ref="G71" authorId="0">
      <text>
        <r>
          <t/>
        </r>
      </text>
    </comment>
    <comment ref="H71" authorId="0">
      <text>
        <r>
          <t/>
        </r>
      </text>
    </comment>
    <comment ref="I71" authorId="0">
      <text>
        <r>
          <t/>
        </r>
      </text>
    </comment>
    <comment ref="J71" authorId="0">
      <text>
        <r>
          <t/>
        </r>
      </text>
    </comment>
    <comment ref="K71" authorId="0">
      <text>
        <r>
          <t/>
        </r>
      </text>
    </comment>
    <comment ref="L71" authorId="0">
      <text>
        <r>
          <t/>
        </r>
      </text>
    </comment>
    <comment ref="M71" authorId="0">
      <text>
        <r>
          <t/>
        </r>
      </text>
    </comment>
    <comment ref="N71" authorId="0">
      <text>
        <r>
          <t/>
        </r>
      </text>
    </comment>
    <comment ref="O71" authorId="0">
      <text>
        <r>
          <t/>
        </r>
      </text>
    </comment>
    <comment ref="P71" authorId="0">
      <text>
        <r>
          <t/>
        </r>
      </text>
    </comment>
    <comment ref="Q71" authorId="0">
      <text>
        <r>
          <t/>
        </r>
      </text>
    </comment>
    <comment ref="R71" authorId="0">
      <text>
        <r>
          <t/>
        </r>
      </text>
    </comment>
    <comment ref="S71" authorId="0">
      <text>
        <r>
          <t/>
        </r>
      </text>
    </comment>
    <comment ref="T71" authorId="0">
      <text>
        <r>
          <t/>
        </r>
      </text>
    </comment>
    <comment ref="U71" authorId="0">
      <text>
        <r>
          <t/>
        </r>
      </text>
    </comment>
    <comment ref="F108" authorId="0">
      <text>
        <r>
          <t/>
        </r>
      </text>
    </comment>
    <comment ref="G108" authorId="0">
      <text>
        <r>
          <t/>
        </r>
      </text>
    </comment>
    <comment ref="H108" authorId="0">
      <text>
        <r>
          <t/>
        </r>
      </text>
    </comment>
    <comment ref="I108" authorId="0">
      <text>
        <r>
          <t/>
        </r>
      </text>
    </comment>
    <comment ref="J108" authorId="0">
      <text>
        <r>
          <t/>
        </r>
      </text>
    </comment>
    <comment ref="K108" authorId="0">
      <text>
        <r>
          <t/>
        </r>
      </text>
    </comment>
    <comment ref="L108" authorId="0">
      <text>
        <r>
          <t/>
        </r>
      </text>
    </comment>
    <comment ref="M108" authorId="0">
      <text>
        <r>
          <t/>
        </r>
      </text>
    </comment>
    <comment ref="N108" authorId="0">
      <text>
        <r>
          <t/>
        </r>
      </text>
    </comment>
    <comment ref="O108" authorId="0">
      <text>
        <r>
          <t/>
        </r>
      </text>
    </comment>
    <comment ref="P108" authorId="0">
      <text>
        <r>
          <t/>
        </r>
      </text>
    </comment>
    <comment ref="Q108" authorId="0">
      <text>
        <r>
          <t/>
        </r>
      </text>
    </comment>
    <comment ref="R108" authorId="0">
      <text>
        <r>
          <t/>
        </r>
      </text>
    </comment>
    <comment ref="S108" authorId="0">
      <text>
        <r>
          <t/>
        </r>
      </text>
    </comment>
    <comment ref="T108" authorId="0">
      <text>
        <r>
          <t/>
        </r>
      </text>
    </comment>
    <comment ref="U108" authorId="0">
      <text>
        <r>
          <t/>
        </r>
      </text>
    </comment>
    <comment ref="F109" authorId="0">
      <text>
        <r>
          <t/>
        </r>
      </text>
    </comment>
    <comment ref="G109" authorId="0">
      <text>
        <r>
          <t/>
        </r>
      </text>
    </comment>
    <comment ref="H109" authorId="0">
      <text>
        <r>
          <t/>
        </r>
      </text>
    </comment>
    <comment ref="I109" authorId="0">
      <text>
        <r>
          <t/>
        </r>
      </text>
    </comment>
    <comment ref="J109" authorId="0">
      <text>
        <r>
          <t/>
        </r>
      </text>
    </comment>
    <comment ref="K109" authorId="0">
      <text>
        <r>
          <t/>
        </r>
      </text>
    </comment>
    <comment ref="L109" authorId="0">
      <text>
        <r>
          <t/>
        </r>
      </text>
    </comment>
    <comment ref="M109" authorId="0">
      <text>
        <r>
          <t/>
        </r>
      </text>
    </comment>
    <comment ref="N109" authorId="0">
      <text>
        <r>
          <t/>
        </r>
      </text>
    </comment>
    <comment ref="O109" authorId="0">
      <text>
        <r>
          <t/>
        </r>
      </text>
    </comment>
    <comment ref="P109" authorId="0">
      <text>
        <r>
          <t/>
        </r>
      </text>
    </comment>
    <comment ref="Q109" authorId="0">
      <text>
        <r>
          <t/>
        </r>
      </text>
    </comment>
    <comment ref="R109" authorId="0">
      <text>
        <r>
          <t/>
        </r>
      </text>
    </comment>
    <comment ref="S109" authorId="0">
      <text>
        <r>
          <t/>
        </r>
      </text>
    </comment>
    <comment ref="T109" authorId="0">
      <text>
        <r>
          <t/>
        </r>
      </text>
    </comment>
    <comment ref="U109" authorId="0">
      <text>
        <r>
          <t/>
        </r>
      </text>
    </comment>
    <comment ref="F110" authorId="0">
      <text>
        <r>
          <t/>
        </r>
      </text>
    </comment>
    <comment ref="G110" authorId="0">
      <text>
        <r>
          <t/>
        </r>
      </text>
    </comment>
    <comment ref="H110" authorId="0">
      <text>
        <r>
          <t/>
        </r>
      </text>
    </comment>
    <comment ref="I110" authorId="0">
      <text>
        <r>
          <t/>
        </r>
      </text>
    </comment>
    <comment ref="J110" authorId="0">
      <text>
        <r>
          <t/>
        </r>
      </text>
    </comment>
    <comment ref="K110" authorId="0">
      <text>
        <r>
          <t/>
        </r>
      </text>
    </comment>
    <comment ref="L110" authorId="0">
      <text>
        <r>
          <t/>
        </r>
      </text>
    </comment>
    <comment ref="M110" authorId="0">
      <text>
        <r>
          <t/>
        </r>
      </text>
    </comment>
    <comment ref="N110" authorId="0">
      <text>
        <r>
          <t/>
        </r>
      </text>
    </comment>
    <comment ref="O110" authorId="0">
      <text>
        <r>
          <t/>
        </r>
      </text>
    </comment>
    <comment ref="P110" authorId="0">
      <text>
        <r>
          <t/>
        </r>
      </text>
    </comment>
    <comment ref="Q110" authorId="0">
      <text>
        <r>
          <t/>
        </r>
      </text>
    </comment>
    <comment ref="R110" authorId="0">
      <text>
        <r>
          <t/>
        </r>
      </text>
    </comment>
    <comment ref="S110" authorId="0">
      <text>
        <r>
          <t/>
        </r>
      </text>
    </comment>
    <comment ref="T110" authorId="0">
      <text>
        <r>
          <t/>
        </r>
      </text>
    </comment>
    <comment ref="U110" authorId="0">
      <text>
        <r>
          <t/>
        </r>
      </text>
    </comment>
    <comment ref="F111" authorId="0">
      <text>
        <r>
          <t/>
        </r>
      </text>
    </comment>
    <comment ref="G111" authorId="0">
      <text>
        <r>
          <t/>
        </r>
      </text>
    </comment>
    <comment ref="H111" authorId="0">
      <text>
        <r>
          <t/>
        </r>
      </text>
    </comment>
    <comment ref="I111" authorId="0">
      <text>
        <r>
          <t/>
        </r>
      </text>
    </comment>
    <comment ref="J111" authorId="0">
      <text>
        <r>
          <t/>
        </r>
      </text>
    </comment>
    <comment ref="K111" authorId="0">
      <text>
        <r>
          <t/>
        </r>
      </text>
    </comment>
    <comment ref="L111" authorId="0">
      <text>
        <r>
          <t/>
        </r>
      </text>
    </comment>
    <comment ref="M111" authorId="0">
      <text>
        <r>
          <t/>
        </r>
      </text>
    </comment>
    <comment ref="N111" authorId="0">
      <text>
        <r>
          <t/>
        </r>
      </text>
    </comment>
    <comment ref="O111" authorId="0">
      <text>
        <r>
          <t/>
        </r>
      </text>
    </comment>
    <comment ref="P111" authorId="0">
      <text>
        <r>
          <t/>
        </r>
      </text>
    </comment>
    <comment ref="Q111" authorId="0">
      <text>
        <r>
          <t/>
        </r>
      </text>
    </comment>
    <comment ref="R111" authorId="0">
      <text>
        <r>
          <t/>
        </r>
      </text>
    </comment>
    <comment ref="S111" authorId="0">
      <text>
        <r>
          <t/>
        </r>
      </text>
    </comment>
    <comment ref="T111" authorId="0">
      <text>
        <r>
          <t/>
        </r>
      </text>
    </comment>
    <comment ref="U111" authorId="0">
      <text>
        <r>
          <t/>
        </r>
      </text>
    </comment>
    <comment ref="F112" authorId="0">
      <text>
        <r>
          <t/>
        </r>
      </text>
    </comment>
    <comment ref="G112" authorId="0">
      <text>
        <r>
          <t/>
        </r>
      </text>
    </comment>
    <comment ref="H112" authorId="0">
      <text>
        <r>
          <t/>
        </r>
      </text>
    </comment>
    <comment ref="I112" authorId="0">
      <text>
        <r>
          <t/>
        </r>
      </text>
    </comment>
    <comment ref="J112" authorId="0">
      <text>
        <r>
          <t/>
        </r>
      </text>
    </comment>
    <comment ref="K112" authorId="0">
      <text>
        <r>
          <t/>
        </r>
      </text>
    </comment>
    <comment ref="L112" authorId="0">
      <text>
        <r>
          <t/>
        </r>
      </text>
    </comment>
    <comment ref="M112" authorId="0">
      <text>
        <r>
          <t/>
        </r>
      </text>
    </comment>
    <comment ref="N112" authorId="0">
      <text>
        <r>
          <t/>
        </r>
      </text>
    </comment>
    <comment ref="O112" authorId="0">
      <text>
        <r>
          <t/>
        </r>
      </text>
    </comment>
    <comment ref="P112" authorId="0">
      <text>
        <r>
          <t/>
        </r>
      </text>
    </comment>
    <comment ref="Q112" authorId="0">
      <text>
        <r>
          <t/>
        </r>
      </text>
    </comment>
    <comment ref="R112" authorId="0">
      <text>
        <r>
          <t/>
        </r>
      </text>
    </comment>
    <comment ref="S112" authorId="0">
      <text>
        <r>
          <t/>
        </r>
      </text>
    </comment>
    <comment ref="T112" authorId="0">
      <text>
        <r>
          <t/>
        </r>
      </text>
    </comment>
    <comment ref="U112" authorId="0">
      <text>
        <r>
          <t/>
        </r>
      </text>
    </comment>
    <comment ref="F114" authorId="0">
      <text>
        <r>
          <t/>
        </r>
      </text>
    </comment>
    <comment ref="G114" authorId="0">
      <text>
        <r>
          <t/>
        </r>
      </text>
    </comment>
    <comment ref="H114" authorId="0">
      <text>
        <r>
          <t/>
        </r>
      </text>
    </comment>
    <comment ref="I114" authorId="0">
      <text>
        <r>
          <t/>
        </r>
      </text>
    </comment>
    <comment ref="J114" authorId="0">
      <text>
        <r>
          <t/>
        </r>
      </text>
    </comment>
    <comment ref="K114" authorId="0">
      <text>
        <r>
          <t/>
        </r>
      </text>
    </comment>
    <comment ref="L114" authorId="0">
      <text>
        <r>
          <t/>
        </r>
      </text>
    </comment>
    <comment ref="M114" authorId="0">
      <text>
        <r>
          <t/>
        </r>
      </text>
    </comment>
    <comment ref="N114" authorId="0">
      <text>
        <r>
          <t/>
        </r>
      </text>
    </comment>
    <comment ref="O114" authorId="0">
      <text>
        <r>
          <t/>
        </r>
      </text>
    </comment>
    <comment ref="P114" authorId="0">
      <text>
        <r>
          <t/>
        </r>
      </text>
    </comment>
    <comment ref="Q114" authorId="0">
      <text>
        <r>
          <t/>
        </r>
      </text>
    </comment>
    <comment ref="R114" authorId="0">
      <text>
        <r>
          <t/>
        </r>
      </text>
    </comment>
    <comment ref="S114" authorId="0">
      <text>
        <r>
          <t/>
        </r>
      </text>
    </comment>
    <comment ref="T114" authorId="0">
      <text>
        <r>
          <t/>
        </r>
      </text>
    </comment>
    <comment ref="U114" authorId="0">
      <text>
        <r>
          <t/>
        </r>
      </text>
    </comment>
    <comment ref="F115" authorId="0">
      <text>
        <r>
          <t/>
        </r>
      </text>
    </comment>
    <comment ref="G115" authorId="0">
      <text>
        <r>
          <t/>
        </r>
      </text>
    </comment>
    <comment ref="H115" authorId="0">
      <text>
        <r>
          <t/>
        </r>
      </text>
    </comment>
    <comment ref="I115" authorId="0">
      <text>
        <r>
          <t/>
        </r>
      </text>
    </comment>
    <comment ref="J115" authorId="0">
      <text>
        <r>
          <t/>
        </r>
      </text>
    </comment>
    <comment ref="K115" authorId="0">
      <text>
        <r>
          <t/>
        </r>
      </text>
    </comment>
    <comment ref="L115" authorId="0">
      <text>
        <r>
          <t/>
        </r>
      </text>
    </comment>
    <comment ref="M115" authorId="0">
      <text>
        <r>
          <t/>
        </r>
      </text>
    </comment>
    <comment ref="N115" authorId="0">
      <text>
        <r>
          <t/>
        </r>
      </text>
    </comment>
    <comment ref="O115" authorId="0">
      <text>
        <r>
          <t/>
        </r>
      </text>
    </comment>
    <comment ref="P115" authorId="0">
      <text>
        <r>
          <t/>
        </r>
      </text>
    </comment>
    <comment ref="Q115" authorId="0">
      <text>
        <r>
          <t/>
        </r>
      </text>
    </comment>
    <comment ref="R115" authorId="0">
      <text>
        <r>
          <t/>
        </r>
      </text>
    </comment>
    <comment ref="S115" authorId="0">
      <text>
        <r>
          <t/>
        </r>
      </text>
    </comment>
    <comment ref="T115" authorId="0">
      <text>
        <r>
          <t/>
        </r>
      </text>
    </comment>
    <comment ref="U115" authorId="0">
      <text>
        <r>
          <t/>
        </r>
      </text>
    </comment>
    <comment ref="F116" authorId="0">
      <text>
        <r>
          <t/>
        </r>
      </text>
    </comment>
    <comment ref="G116" authorId="0">
      <text>
        <r>
          <t/>
        </r>
      </text>
    </comment>
    <comment ref="H116" authorId="0">
      <text>
        <r>
          <t/>
        </r>
      </text>
    </comment>
    <comment ref="I116" authorId="0">
      <text>
        <r>
          <t/>
        </r>
      </text>
    </comment>
    <comment ref="J116" authorId="0">
      <text>
        <r>
          <t/>
        </r>
      </text>
    </comment>
    <comment ref="K116" authorId="0">
      <text>
        <r>
          <t/>
        </r>
      </text>
    </comment>
    <comment ref="L116" authorId="0">
      <text>
        <r>
          <t/>
        </r>
      </text>
    </comment>
    <comment ref="M116" authorId="0">
      <text>
        <r>
          <t/>
        </r>
      </text>
    </comment>
    <comment ref="N116" authorId="0">
      <text>
        <r>
          <t/>
        </r>
      </text>
    </comment>
    <comment ref="O116" authorId="0">
      <text>
        <r>
          <t/>
        </r>
      </text>
    </comment>
    <comment ref="P116" authorId="0">
      <text>
        <r>
          <t/>
        </r>
      </text>
    </comment>
    <comment ref="Q116" authorId="0">
      <text>
        <r>
          <t/>
        </r>
      </text>
    </comment>
    <comment ref="R116" authorId="0">
      <text>
        <r>
          <t/>
        </r>
      </text>
    </comment>
    <comment ref="S116" authorId="0">
      <text>
        <r>
          <t/>
        </r>
      </text>
    </comment>
    <comment ref="T116" authorId="0">
      <text>
        <r>
          <t/>
        </r>
      </text>
    </comment>
    <comment ref="U116" authorId="0">
      <text>
        <r>
          <t/>
        </r>
      </text>
    </comment>
    <comment ref="F118" authorId="0">
      <text>
        <r>
          <t/>
        </r>
      </text>
    </comment>
    <comment ref="G118" authorId="0">
      <text>
        <r>
          <t/>
        </r>
      </text>
    </comment>
    <comment ref="H118" authorId="0">
      <text>
        <r>
          <t/>
        </r>
      </text>
    </comment>
    <comment ref="I118" authorId="0">
      <text>
        <r>
          <t/>
        </r>
      </text>
    </comment>
    <comment ref="J118" authorId="0">
      <text>
        <r>
          <t/>
        </r>
      </text>
    </comment>
    <comment ref="K118" authorId="0">
      <text>
        <r>
          <t/>
        </r>
      </text>
    </comment>
    <comment ref="L118" authorId="0">
      <text>
        <r>
          <t/>
        </r>
      </text>
    </comment>
    <comment ref="M118" authorId="0">
      <text>
        <r>
          <t/>
        </r>
      </text>
    </comment>
    <comment ref="N118" authorId="0">
      <text>
        <r>
          <t/>
        </r>
      </text>
    </comment>
    <comment ref="O118" authorId="0">
      <text>
        <r>
          <t/>
        </r>
      </text>
    </comment>
    <comment ref="P118" authorId="0">
      <text>
        <r>
          <t/>
        </r>
      </text>
    </comment>
    <comment ref="Q118" authorId="0">
      <text>
        <r>
          <t/>
        </r>
      </text>
    </comment>
    <comment ref="R118" authorId="0">
      <text>
        <r>
          <t/>
        </r>
      </text>
    </comment>
    <comment ref="S118" authorId="0">
      <text>
        <r>
          <t/>
        </r>
      </text>
    </comment>
    <comment ref="T118" authorId="0">
      <text>
        <r>
          <t/>
        </r>
      </text>
    </comment>
    <comment ref="U118" authorId="0">
      <text>
        <r>
          <t/>
        </r>
      </text>
    </comment>
    <comment ref="C120" authorId="0">
      <text>
        <r>
          <rPr>
            <b/>
          </rPr>
          <t xml:space="preserve">EDGAR Mapper:
</t>
        </r>
        <r>
          <t>Cash &amp; Cash Equivalents includes Cash and Cash Equivalents At Carrying Value and Other Short Term Investments.</t>
        </r>
      </text>
    </comment>
    <comment ref="F120" authorId="0">
      <text>
        <r>
          <t/>
        </r>
      </text>
    </comment>
    <comment ref="G120" authorId="0">
      <text>
        <r>
          <t/>
        </r>
      </text>
    </comment>
    <comment ref="H120" authorId="0">
      <text>
        <r>
          <t/>
        </r>
      </text>
    </comment>
    <comment ref="I120" authorId="0">
      <text>
        <r>
          <t/>
        </r>
      </text>
    </comment>
    <comment ref="J120" authorId="0">
      <text>
        <r>
          <t/>
        </r>
      </text>
    </comment>
    <comment ref="K120" authorId="0">
      <text>
        <r>
          <t/>
        </r>
      </text>
    </comment>
    <comment ref="L120" authorId="0">
      <text>
        <r>
          <t/>
        </r>
      </text>
    </comment>
    <comment ref="M120" authorId="0">
      <text>
        <r>
          <t/>
        </r>
      </text>
    </comment>
    <comment ref="N120" authorId="0">
      <text>
        <r>
          <t/>
        </r>
      </text>
    </comment>
    <comment ref="O120" authorId="0">
      <text>
        <r>
          <t/>
        </r>
      </text>
    </comment>
    <comment ref="P120" authorId="0">
      <text>
        <r>
          <rPr>
            <b/>
          </rPr>
          <t xml:space="preserve">EDGAR Mapper:
</t>
        </r>
        <r>
          <t>Cash &amp; Cash Equivalents includes Cash and Cash Equivalents At Carrying Value and Other Short Term Investments.</t>
        </r>
      </text>
    </comment>
    <comment ref="Q120" authorId="0">
      <text>
        <r>
          <rPr>
            <b/>
          </rPr>
          <t xml:space="preserve">EDGAR Mapper:
</t>
        </r>
        <r>
          <t>Cash &amp; Cash Equivalents includes Cash and Cash Equivalents At Carrying Value and Other Short Term Investments.</t>
        </r>
      </text>
    </comment>
    <comment ref="R120" authorId="0">
      <text>
        <r>
          <rPr>
            <b/>
          </rPr>
          <t xml:space="preserve">EDGAR Mapper:
</t>
        </r>
        <r>
          <t>Cash &amp; Cash Equivalents includes Cash and Cash Equivalents At Carrying Value and Other Short Term Investments.</t>
        </r>
      </text>
    </comment>
    <comment ref="S120" authorId="0">
      <text>
        <r>
          <rPr>
            <b/>
          </rPr>
          <t xml:space="preserve">EDGAR Mapper:
</t>
        </r>
        <r>
          <t>Cash &amp; Cash Equivalents includes Cash and Cash Equivalents At Carrying Value and Other Short Term Investments.</t>
        </r>
      </text>
    </comment>
    <comment ref="T120" authorId="0">
      <text>
        <r>
          <t/>
        </r>
      </text>
    </comment>
    <comment ref="U120" authorId="0">
      <text>
        <r>
          <t/>
        </r>
      </text>
    </comment>
    <comment ref="Y120" authorId="0">
      <text/>
    </comment>
    <comment ref="Z120" authorId="0">
      <text/>
    </comment>
    <comment ref="AD120" authorId="0">
      <text/>
    </comment>
    <comment ref="AE120" authorId="0">
      <text/>
    </comment>
    <comment ref="C121" authorId="0">
      <text>
        <r>
          <rPr>
            <b/>
          </rPr>
          <t xml:space="preserve">EDGAR Mapper:
</t>
        </r>
        <r>
          <t>Accounts Receivable maps directly to Accounts Receivable, after Allowance for Credit Loss, Current.</t>
        </r>
      </text>
    </comment>
    <comment ref="F121" authorId="0">
      <text>
        <r>
          <rPr>
            <b/>
          </rPr>
          <t xml:space="preserve">EDGAR Mapper:
</t>
        </r>
        <r>
          <t>Accounts Receivable maps directly to Accounts Receivable, after Allowance for Credit Loss, Current.</t>
        </r>
      </text>
    </comment>
    <comment ref="G121" authorId="0">
      <text>
        <r>
          <rPr>
            <b/>
          </rPr>
          <t xml:space="preserve">EDGAR Mapper:
</t>
        </r>
        <r>
          <t>Accounts Receivable maps directly to Accounts Receivable, after Allowance for Credit Loss, Current.</t>
        </r>
      </text>
    </comment>
    <comment ref="H121" authorId="0">
      <text>
        <r>
          <rPr>
            <b/>
          </rPr>
          <t xml:space="preserve">EDGAR Mapper:
</t>
        </r>
        <r>
          <t>Accounts Receivable maps directly to Accounts Receivable, after Allowance for Credit Loss, Current.</t>
        </r>
      </text>
    </comment>
    <comment ref="I121" authorId="0">
      <text>
        <r>
          <rPr>
            <b/>
          </rPr>
          <t xml:space="preserve">EDGAR Mapper:
</t>
        </r>
        <r>
          <t>Accounts Receivable maps directly to Accounts Receivable, after Allowance for Credit Loss, Current.</t>
        </r>
      </text>
    </comment>
    <comment ref="J121" authorId="0">
      <text>
        <r>
          <t/>
        </r>
      </text>
    </comment>
    <comment ref="K121" authorId="0">
      <text>
        <r>
          <rPr>
            <b/>
          </rPr>
          <t xml:space="preserve">EDGAR Mapper:
</t>
        </r>
        <r>
          <t>Accounts Receivable maps directly to Accounts Receivable, after Allowance for Credit Loss, Current.</t>
        </r>
      </text>
    </comment>
    <comment ref="L121" authorId="0">
      <text>
        <r>
          <rPr>
            <b/>
          </rPr>
          <t xml:space="preserve">EDGAR Mapper:
</t>
        </r>
        <r>
          <t>Accounts Receivable maps directly to Accounts Receivable, after Allowance for Credit Loss, Current.</t>
        </r>
      </text>
    </comment>
    <comment ref="M121" authorId="0">
      <text>
        <r>
          <rPr>
            <b/>
          </rPr>
          <t xml:space="preserve">EDGAR Mapper:
</t>
        </r>
        <r>
          <t>Accounts Receivable maps directly to Accounts Receivable, after Allowance for Credit Loss, Current.</t>
        </r>
      </text>
    </comment>
    <comment ref="N121" authorId="0">
      <text>
        <r>
          <rPr>
            <b/>
          </rPr>
          <t xml:space="preserve">EDGAR Mapper:
</t>
        </r>
        <r>
          <t>Accounts Receivable maps directly to Accounts Receivable, after Allowance for Credit Loss, Current.</t>
        </r>
      </text>
    </comment>
    <comment ref="O121" authorId="0">
      <text>
        <r>
          <t/>
        </r>
      </text>
    </comment>
    <comment ref="P121" authorId="0">
      <text>
        <r>
          <rPr>
            <b/>
          </rPr>
          <t xml:space="preserve">EDGAR Mapper:
</t>
        </r>
        <r>
          <t>Accounts Receivable maps directly to Accounts Receivable, after Allowance for Credit Loss, Current.</t>
        </r>
      </text>
    </comment>
    <comment ref="Q121" authorId="0">
      <text>
        <r>
          <rPr>
            <b/>
          </rPr>
          <t xml:space="preserve">EDGAR Mapper:
</t>
        </r>
        <r>
          <t>Accounts Receivable maps directly to Accounts Receivable, after Allowance for Credit Loss, Current.</t>
        </r>
      </text>
    </comment>
    <comment ref="R121" authorId="0">
      <text>
        <r>
          <rPr>
            <b/>
          </rPr>
          <t xml:space="preserve">EDGAR Mapper:
</t>
        </r>
        <r>
          <t>Accounts Receivable maps directly to Accounts Receivable, after Allowance for Credit Loss, Current.</t>
        </r>
      </text>
    </comment>
    <comment ref="S121" authorId="0">
      <text>
        <r>
          <rPr>
            <b/>
          </rPr>
          <t xml:space="preserve">EDGAR Mapper:
</t>
        </r>
        <r>
          <t>Accounts Receivable maps directly to Accounts Receivable, after Allowance for Credit Loss, Current.</t>
        </r>
      </text>
    </comment>
    <comment ref="T121" authorId="0">
      <text>
        <r>
          <t/>
        </r>
      </text>
    </comment>
    <comment ref="U121" authorId="0">
      <text>
        <r>
          <rPr>
            <b/>
          </rPr>
          <t xml:space="preserve">EDGAR Mapper:
</t>
        </r>
        <r>
          <t>Accounts Receivable maps directly to Accounts Receivable, after Allowance for Credit Loss, Current.</t>
        </r>
      </text>
    </comment>
    <comment ref="F122" authorId="0">
      <text>
        <r>
          <rPr>
            <b/>
          </rPr>
          <t xml:space="preserve">EDGAR Mapper:
</t>
        </r>
        <r>
          <t>Inventory maps directly to Inventory net.</t>
        </r>
      </text>
    </comment>
    <comment ref="G122" authorId="0">
      <text>
        <r>
          <rPr>
            <b/>
          </rPr>
          <t xml:space="preserve">EDGAR Mapper:
</t>
        </r>
        <r>
          <t>Inventory maps directly to Inventory net.</t>
        </r>
      </text>
    </comment>
    <comment ref="H122" authorId="0">
      <text>
        <r>
          <rPr>
            <b/>
          </rPr>
          <t xml:space="preserve">EDGAR Mapper:
</t>
        </r>
        <r>
          <t>Inventory maps directly to Inventory net.</t>
        </r>
      </text>
    </comment>
    <comment ref="I122" authorId="0">
      <text>
        <r>
          <rPr>
            <b/>
          </rPr>
          <t xml:space="preserve">EDGAR Mapper:
</t>
        </r>
        <r>
          <t>Inventory maps directly to Inventory net.</t>
        </r>
      </text>
    </comment>
    <comment ref="J122" authorId="0">
      <text>
        <r>
          <t/>
        </r>
      </text>
    </comment>
    <comment ref="K122" authorId="0">
      <text>
        <r>
          <rPr>
            <b/>
          </rPr>
          <t xml:space="preserve">EDGAR Mapper:
</t>
        </r>
        <r>
          <t>Inventory maps directly to Inventory net.</t>
        </r>
      </text>
    </comment>
    <comment ref="L122" authorId="0">
      <text>
        <r>
          <rPr>
            <b/>
          </rPr>
          <t xml:space="preserve">EDGAR Mapper:
</t>
        </r>
        <r>
          <t>Inventory maps directly to Inventory net.</t>
        </r>
      </text>
    </comment>
    <comment ref="M122" authorId="0">
      <text>
        <r>
          <rPr>
            <b/>
          </rPr>
          <t xml:space="preserve">EDGAR Mapper:
</t>
        </r>
        <r>
          <t>Inventory maps directly to Inventory net.</t>
        </r>
      </text>
    </comment>
    <comment ref="N122" authorId="0">
      <text>
        <r>
          <rPr>
            <b/>
          </rPr>
          <t xml:space="preserve">EDGAR Mapper:
</t>
        </r>
        <r>
          <t>Inventory maps directly to Inventory net.</t>
        </r>
      </text>
    </comment>
    <comment ref="O122" authorId="0">
      <text>
        <r>
          <t/>
        </r>
      </text>
    </comment>
    <comment ref="P122" authorId="0">
      <text>
        <r>
          <rPr>
            <b/>
          </rPr>
          <t xml:space="preserve">EDGAR Mapper:
</t>
        </r>
        <r>
          <t>Inventory maps directly to Inventory net.</t>
        </r>
      </text>
    </comment>
    <comment ref="Q122" authorId="0">
      <text>
        <r>
          <rPr>
            <b/>
          </rPr>
          <t xml:space="preserve">EDGAR Mapper:
</t>
        </r>
        <r>
          <t>Inventory maps directly to Inventory net.</t>
        </r>
      </text>
    </comment>
    <comment ref="R122" authorId="0">
      <text>
        <r>
          <rPr>
            <b/>
          </rPr>
          <t xml:space="preserve">EDGAR Mapper:
</t>
        </r>
        <r>
          <t>Inventory maps directly to Inventory net.</t>
        </r>
      </text>
    </comment>
    <comment ref="S122" authorId="0">
      <text>
        <r>
          <rPr>
            <b/>
          </rPr>
          <t xml:space="preserve">EDGAR Mapper:
</t>
        </r>
        <r>
          <t>Inventory maps directly to Inventory net.</t>
        </r>
      </text>
    </comment>
    <comment ref="T122" authorId="0">
      <text>
        <r>
          <t/>
        </r>
      </text>
    </comment>
    <comment ref="U122" authorId="0">
      <text>
        <r>
          <rPr>
            <b/>
          </rPr>
          <t xml:space="preserve">EDGAR Mapper:
</t>
        </r>
        <r>
          <t>Inventory maps directly to Inventory net.</t>
        </r>
      </text>
    </comment>
    <comment ref="C123" authorId="0">
      <text>
        <r>
          <t xml:space="preserve">======
ID#AAABbnJBVzo
Luke Brennan    (2025-01-14 21:09:38)
Short-Term and Other Investments
and Current Portion of Customer Financing, net</t>
        </r>
      </text>
    </comment>
    <comment ref="F123" authorId="0">
      <text>
        <r>
          <t/>
        </r>
      </text>
    </comment>
    <comment ref="G123" authorId="0">
      <text>
        <r>
          <t/>
        </r>
      </text>
    </comment>
    <comment ref="H123" authorId="0">
      <text>
        <r>
          <t/>
        </r>
      </text>
    </comment>
    <comment ref="I123" authorId="0">
      <text>
        <r>
          <t/>
        </r>
      </text>
    </comment>
    <comment ref="J123" authorId="0">
      <text>
        <r>
          <t/>
        </r>
      </text>
    </comment>
    <comment ref="K123" authorId="0">
      <text>
        <r>
          <t/>
        </r>
      </text>
    </comment>
    <comment ref="L123" authorId="0">
      <text>
        <r>
          <t/>
        </r>
      </text>
    </comment>
    <comment ref="M123" authorId="0">
      <text>
        <r>
          <t/>
        </r>
      </text>
    </comment>
    <comment ref="N123" authorId="0">
      <text>
        <r>
          <t/>
        </r>
      </text>
    </comment>
    <comment ref="O123" authorId="0">
      <text>
        <r>
          <t/>
        </r>
      </text>
    </comment>
    <comment ref="P123" authorId="0">
      <text>
        <r>
          <t/>
        </r>
      </text>
    </comment>
    <comment ref="Q123" authorId="0">
      <text>
        <r>
          <t/>
        </r>
      </text>
    </comment>
    <comment ref="R123" authorId="0">
      <text>
        <r>
          <t/>
        </r>
      </text>
    </comment>
    <comment ref="S123" authorId="0">
      <text>
        <r>
          <t/>
        </r>
      </text>
    </comment>
    <comment ref="T123" authorId="0">
      <text>
        <r>
          <t/>
        </r>
      </text>
    </comment>
    <comment ref="U123" authorId="0">
      <text>
        <r>
          <t/>
        </r>
      </text>
    </comment>
    <comment ref="F124" authorId="0">
      <text>
        <r>
          <t/>
        </r>
      </text>
    </comment>
    <comment ref="G124" authorId="0">
      <text>
        <r>
          <t/>
        </r>
      </text>
    </comment>
    <comment ref="H124" authorId="0">
      <text>
        <r>
          <t/>
        </r>
      </text>
    </comment>
    <comment ref="I124" authorId="0">
      <text>
        <r>
          <t/>
        </r>
      </text>
    </comment>
    <comment ref="J124" authorId="0">
      <text>
        <r>
          <t/>
        </r>
      </text>
    </comment>
    <comment ref="K124" authorId="0">
      <text>
        <r>
          <t/>
        </r>
      </text>
    </comment>
    <comment ref="L124" authorId="0">
      <text>
        <r>
          <t/>
        </r>
      </text>
    </comment>
    <comment ref="M124" authorId="0">
      <text>
        <r>
          <t/>
        </r>
      </text>
    </comment>
    <comment ref="N124" authorId="0">
      <text>
        <r>
          <t/>
        </r>
      </text>
    </comment>
    <comment ref="O124" authorId="0">
      <text>
        <r>
          <t/>
        </r>
      </text>
    </comment>
    <comment ref="P124" authorId="0">
      <text>
        <r>
          <t/>
        </r>
      </text>
    </comment>
    <comment ref="Q124" authorId="0">
      <text>
        <r>
          <t/>
        </r>
      </text>
    </comment>
    <comment ref="R124" authorId="0">
      <text>
        <r>
          <t/>
        </r>
      </text>
    </comment>
    <comment ref="S124" authorId="0">
      <text>
        <r>
          <t/>
        </r>
      </text>
    </comment>
    <comment ref="T124" authorId="0">
      <text>
        <r>
          <t/>
        </r>
      </text>
    </comment>
    <comment ref="U124" authorId="0">
      <text>
        <r>
          <t/>
        </r>
      </text>
    </comment>
    <comment ref="Z124" authorId="0">
      <text/>
    </comment>
    <comment ref="AE124" authorId="0">
      <text/>
    </comment>
    <comment ref="C126" authorId="0">
      <text>
        <r>
          <rPr>
            <b/>
          </rPr>
          <t xml:space="preserve">EDGAR Mapper:
</t>
        </r>
        <r>
          <t>PP&amp;E, Net includes Property Plant and Equipment net.</t>
        </r>
      </text>
    </comment>
    <comment ref="F126" authorId="0">
      <text>
        <r>
          <rPr>
            <b/>
          </rPr>
          <t xml:space="preserve">EDGAR Mapper:
</t>
        </r>
        <r>
          <t>PP&amp;E, Net maps directly to Property Plant and Equipment net.</t>
        </r>
      </text>
    </comment>
    <comment ref="G126" authorId="0">
      <text>
        <r>
          <rPr>
            <b/>
          </rPr>
          <t xml:space="preserve">EDGAR Mapper:
</t>
        </r>
        <r>
          <t>PP&amp;E, Net maps directly to Property Plant and Equipment net.</t>
        </r>
      </text>
    </comment>
    <comment ref="H126" authorId="0">
      <text>
        <r>
          <rPr>
            <b/>
          </rPr>
          <t xml:space="preserve">EDGAR Mapper:
</t>
        </r>
        <r>
          <t>PP&amp;E, Net maps directly to Property Plant and Equipment net.</t>
        </r>
      </text>
    </comment>
    <comment ref="I126" authorId="0">
      <text>
        <r>
          <rPr>
            <b/>
          </rPr>
          <t xml:space="preserve">EDGAR Mapper:
</t>
        </r>
        <r>
          <t>PP&amp;E, Net maps directly to Property Plant and Equipment net.</t>
        </r>
      </text>
    </comment>
    <comment ref="J126" authorId="0">
      <text>
        <r>
          <t/>
        </r>
      </text>
    </comment>
    <comment ref="K126" authorId="0">
      <text>
        <r>
          <rPr>
            <b/>
          </rPr>
          <t xml:space="preserve">EDGAR Mapper:
</t>
        </r>
        <r>
          <t>PP&amp;E, Net maps directly to Property Plant and Equipment net.</t>
        </r>
      </text>
    </comment>
    <comment ref="L126" authorId="0">
      <text>
        <r>
          <rPr>
            <b/>
          </rPr>
          <t xml:space="preserve">EDGAR Mapper:
</t>
        </r>
        <r>
          <t>PP&amp;E, Net maps directly to Property Plant and Equipment net.</t>
        </r>
      </text>
    </comment>
    <comment ref="M126" authorId="0">
      <text>
        <r>
          <rPr>
            <b/>
          </rPr>
          <t xml:space="preserve">EDGAR Mapper:
</t>
        </r>
        <r>
          <t>PP&amp;E, Net maps directly to Property Plant and Equipment net.</t>
        </r>
      </text>
    </comment>
    <comment ref="N126" authorId="0">
      <text>
        <r>
          <rPr>
            <b/>
          </rPr>
          <t xml:space="preserve">EDGAR Mapper:
</t>
        </r>
        <r>
          <t>PP&amp;E, Net maps directly to Property Plant and Equipment net.</t>
        </r>
      </text>
    </comment>
    <comment ref="O126" authorId="0">
      <text>
        <r>
          <t/>
        </r>
      </text>
    </comment>
    <comment ref="P126" authorId="0">
      <text>
        <r>
          <rPr>
            <b/>
          </rPr>
          <t xml:space="preserve">EDGAR Mapper:
</t>
        </r>
        <r>
          <t>PP&amp;E, Net maps directly to Property Plant and Equipment net.</t>
        </r>
      </text>
    </comment>
    <comment ref="Q126" authorId="0">
      <text>
        <r>
          <rPr>
            <b/>
          </rPr>
          <t xml:space="preserve">EDGAR Mapper:
</t>
        </r>
        <r>
          <t>PP&amp;E, Net maps directly to Property Plant and Equipment net.</t>
        </r>
      </text>
    </comment>
    <comment ref="R126" authorId="0">
      <text>
        <r>
          <rPr>
            <b/>
          </rPr>
          <t xml:space="preserve">EDGAR Mapper:
</t>
        </r>
        <r>
          <t>PP&amp;E, Net maps directly to Property Plant and Equipment net.</t>
        </r>
      </text>
    </comment>
    <comment ref="S126" authorId="0">
      <text>
        <r>
          <rPr>
            <b/>
          </rPr>
          <t xml:space="preserve">EDGAR Mapper:
</t>
        </r>
        <r>
          <t>PP&amp;E, Net maps directly to Property Plant and Equipment net.</t>
        </r>
      </text>
    </comment>
    <comment ref="T126" authorId="0">
      <text>
        <r>
          <t/>
        </r>
      </text>
    </comment>
    <comment ref="U126" authorId="0">
      <text>
        <r>
          <rPr>
            <b/>
          </rPr>
          <t xml:space="preserve">EDGAR Mapper:
</t>
        </r>
        <r>
          <t>PP&amp;E, Net maps directly to Property Plant and Equipment net.</t>
        </r>
      </text>
    </comment>
    <comment ref="C127" authorId="0">
      <text>
        <r>
          <rPr>
            <b/>
          </rPr>
          <t xml:space="preserve">EDGAR Mapper:
</t>
        </r>
        <r>
          <t>Intangible Assets, Net includes Finite Lived Intangible Assets net.</t>
        </r>
      </text>
    </comment>
    <comment ref="F127" authorId="0">
      <text>
        <r>
          <t/>
        </r>
      </text>
    </comment>
    <comment ref="G127" authorId="0">
      <text>
        <r>
          <t/>
        </r>
      </text>
    </comment>
    <comment ref="H127" authorId="0">
      <text>
        <r>
          <t/>
        </r>
      </text>
    </comment>
    <comment ref="I127" authorId="0">
      <text>
        <r>
          <rPr>
            <b/>
          </rPr>
          <t xml:space="preserve">EDGAR Mapper:
</t>
        </r>
        <r>
          <t>Intangible Assets, Net maps directly to Finite Lived Intangible Assets net.</t>
        </r>
      </text>
    </comment>
    <comment ref="J127" authorId="0">
      <text>
        <r>
          <t/>
        </r>
      </text>
    </comment>
    <comment ref="K127" authorId="0">
      <text>
        <r>
          <t/>
        </r>
      </text>
    </comment>
    <comment ref="L127" authorId="0">
      <text>
        <r>
          <t/>
        </r>
      </text>
    </comment>
    <comment ref="M127" authorId="0">
      <text>
        <r>
          <t/>
        </r>
      </text>
    </comment>
    <comment ref="N127" authorId="0">
      <text>
        <r>
          <t/>
        </r>
      </text>
    </comment>
    <comment ref="O127" authorId="0">
      <text>
        <r>
          <t/>
        </r>
      </text>
    </comment>
    <comment ref="P127" authorId="0">
      <text>
        <r>
          <t/>
        </r>
      </text>
    </comment>
    <comment ref="Q127" authorId="0">
      <text>
        <r>
          <t/>
        </r>
      </text>
    </comment>
    <comment ref="R127" authorId="0">
      <text>
        <r>
          <t/>
        </r>
      </text>
    </comment>
    <comment ref="S127" authorId="0">
      <text>
        <r>
          <t/>
        </r>
      </text>
    </comment>
    <comment ref="T127" authorId="0">
      <text>
        <r>
          <t/>
        </r>
      </text>
    </comment>
    <comment ref="U127" authorId="0">
      <text>
        <r>
          <t/>
        </r>
      </text>
    </comment>
    <comment ref="C128" authorId="0">
      <text>
        <r>
          <rPr>
            <b/>
          </rPr>
          <t xml:space="preserve">EDGAR Mapper:
</t>
        </r>
        <r>
          <t>Goodwill includes Goodwill.</t>
        </r>
      </text>
    </comment>
    <comment ref="F128" authorId="0">
      <text>
        <r>
          <rPr>
            <b/>
          </rPr>
          <t xml:space="preserve">EDGAR Mapper:
</t>
        </r>
        <r>
          <t>Goodwill maps directly to Goodwill.</t>
        </r>
      </text>
    </comment>
    <comment ref="G128" authorId="0">
      <text>
        <r>
          <rPr>
            <b/>
          </rPr>
          <t xml:space="preserve">EDGAR Mapper:
</t>
        </r>
        <r>
          <t>Goodwill maps directly to Goodwill.</t>
        </r>
      </text>
    </comment>
    <comment ref="H128" authorId="0">
      <text>
        <r>
          <rPr>
            <b/>
          </rPr>
          <t xml:space="preserve">EDGAR Mapper:
</t>
        </r>
        <r>
          <t>Goodwill maps directly to Goodwill.</t>
        </r>
      </text>
    </comment>
    <comment ref="I128" authorId="0">
      <text>
        <r>
          <rPr>
            <b/>
          </rPr>
          <t xml:space="preserve">EDGAR Mapper:
</t>
        </r>
        <r>
          <t>Goodwill maps directly to Goodwill.</t>
        </r>
      </text>
    </comment>
    <comment ref="J128" authorId="0">
      <text>
        <r>
          <t/>
        </r>
      </text>
    </comment>
    <comment ref="K128" authorId="0">
      <text>
        <r>
          <rPr>
            <b/>
          </rPr>
          <t xml:space="preserve">EDGAR Mapper:
</t>
        </r>
        <r>
          <t>Goodwill maps directly to Goodwill.</t>
        </r>
      </text>
    </comment>
    <comment ref="L128" authorId="0">
      <text>
        <r>
          <rPr>
            <b/>
          </rPr>
          <t xml:space="preserve">EDGAR Mapper:
</t>
        </r>
        <r>
          <t>Goodwill maps directly to Goodwill.</t>
        </r>
      </text>
    </comment>
    <comment ref="M128" authorId="0">
      <text>
        <r>
          <rPr>
            <b/>
          </rPr>
          <t xml:space="preserve">EDGAR Mapper:
</t>
        </r>
        <r>
          <t>Goodwill maps directly to Goodwill.</t>
        </r>
      </text>
    </comment>
    <comment ref="N128" authorId="0">
      <text>
        <r>
          <rPr>
            <b/>
          </rPr>
          <t xml:space="preserve">EDGAR Mapper:
</t>
        </r>
        <r>
          <t>Goodwill maps directly to Goodwill.</t>
        </r>
      </text>
    </comment>
    <comment ref="O128" authorId="0">
      <text>
        <r>
          <t/>
        </r>
      </text>
    </comment>
    <comment ref="P128" authorId="0">
      <text>
        <r>
          <rPr>
            <b/>
          </rPr>
          <t xml:space="preserve">EDGAR Mapper:
</t>
        </r>
        <r>
          <t>Goodwill maps directly to Goodwill.</t>
        </r>
      </text>
    </comment>
    <comment ref="Q128" authorId="0">
      <text>
        <r>
          <rPr>
            <b/>
          </rPr>
          <t xml:space="preserve">EDGAR Mapper:
</t>
        </r>
        <r>
          <t>Goodwill maps directly to Goodwill.</t>
        </r>
      </text>
    </comment>
    <comment ref="R128" authorId="0">
      <text>
        <r>
          <rPr>
            <b/>
          </rPr>
          <t xml:space="preserve">EDGAR Mapper:
</t>
        </r>
        <r>
          <t>Goodwill maps directly to Goodwill.</t>
        </r>
      </text>
    </comment>
    <comment ref="S128" authorId="0">
      <text>
        <r>
          <rPr>
            <b/>
          </rPr>
          <t xml:space="preserve">EDGAR Mapper:
</t>
        </r>
        <r>
          <t>Goodwill maps directly to Goodwill.</t>
        </r>
      </text>
    </comment>
    <comment ref="T128" authorId="0">
      <text>
        <r>
          <t/>
        </r>
      </text>
    </comment>
    <comment ref="U128" authorId="0">
      <text>
        <r>
          <rPr>
            <b/>
          </rPr>
          <t xml:space="preserve">EDGAR Mapper:
</t>
        </r>
        <r>
          <t>Goodwill maps directly to Goodwill.</t>
        </r>
      </text>
    </comment>
    <comment ref="C129" authorId="0">
      <text>
        <r>
          <rPr>
            <b/>
          </rPr>
          <t xml:space="preserve">EDGAR Mapper:
</t>
        </r>
        <r>
          <t xml:space="preserve">======
ID#AAABbnJBV0Y
Luke Brennan    (2025-01-14 21:09:38)
Includes:
Customer Financing, net
Deferred Income Taxes
Investments
and Other Assets, net of Amortization
EDGAR Mapper:
Other Non-Current Assets includes Prepaid expenses and other current assets, Equity Method Investments, Other Investments, Other noncurrent assets, Trademarks with indefinite lives, and Other noncurrent liabilities.
Other Non-Current Assets includes Operating Lease Right of Use Asset, Operating Lease Liability Noncurrent, Prepaid expenses and other current assets, Equity Method Investments, Other Investments, Other noncurrent assets, Trademarks with indefinite lives, and Other noncurrent liabilities.
Other Non-Current Assets includes Operating Lease Right of Use Asset, Operating Lease Liability Noncurrent, Prepaid expenses and other current assets, Equity Method Investments, Trademarks with indefinite lives, Other noncurrent assets, and Other noncurrent liabilities.
Other Non-Current Assets includes Prepaid expenses and other current assets, Equity Method Investments, Trademarks with indefinite lives, Other noncurrent assets, and Other noncurrent liabilities.</t>
        </r>
      </text>
    </comment>
    <comment ref="F129" authorId="0">
      <text>
        <r>
          <t/>
        </r>
      </text>
    </comment>
    <comment ref="G129" authorId="0">
      <text>
        <r>
          <t/>
        </r>
      </text>
    </comment>
    <comment ref="H129" authorId="0">
      <text>
        <r>
          <t/>
        </r>
      </text>
    </comment>
    <comment ref="I129" authorId="0">
      <text>
        <r>
          <t/>
        </r>
      </text>
    </comment>
    <comment ref="J129" authorId="0">
      <text>
        <r>
          <t/>
        </r>
      </text>
    </comment>
    <comment ref="K129" authorId="0">
      <text>
        <r>
          <t xml:space="preserve">======
ID#AAABbnJBVzw
Lilianna Ruby    (2025-01-14 21:09:38)
operating lease right of use assets, long term investments, deferred income taxes, other assets</t>
        </r>
      </text>
    </comment>
    <comment ref="L129" authorId="0">
      <text>
        <r>
          <t/>
        </r>
      </text>
    </comment>
    <comment ref="M129" authorId="0">
      <text>
        <r>
          <t/>
        </r>
      </text>
    </comment>
    <comment ref="N129" authorId="0">
      <text>
        <r>
          <t/>
        </r>
      </text>
    </comment>
    <comment ref="O129" authorId="0">
      <text>
        <r>
          <t/>
        </r>
      </text>
    </comment>
    <comment ref="P129" authorId="0">
      <text>
        <r>
          <rPr>
            <b/>
          </rPr>
          <t xml:space="preserve">EDGAR Mapper:
</t>
        </r>
        <r>
          <t xml:space="preserve">======
ID#AAABbnJBVxY
Lilianna Ruby    (2025-01-14 21:09:38)
operating lease right of use assets, long term investments, deferred income taxes, other assets
EDGAR Mapper:
Other Non-Current Assets includes Prepaid expenses and other current assets, Equity Method Investments, Trademarks with indefinite lives, Other noncurrent assets, and Other noncurrent liabilities.</t>
        </r>
      </text>
    </comment>
    <comment ref="Q129" authorId="0">
      <text>
        <r>
          <rPr>
            <b/>
          </rPr>
          <t xml:space="preserve">EDGAR Mapper:
</t>
        </r>
        <r>
          <t>Other Non-Current Assets includes Prepaid expenses and other current assets, Equity Method Investments, Trademarks with indefinite lives, Other noncurrent assets, and Other noncurrent liabilities.</t>
        </r>
      </text>
    </comment>
    <comment ref="R129" authorId="0">
      <text>
        <r>
          <rPr>
            <b/>
          </rPr>
          <t xml:space="preserve">EDGAR Mapper:
</t>
        </r>
        <r>
          <t>Other Non-Current Assets includes Prepaid expenses and other current assets, Equity Method Investments, Trademarks with indefinite lives, Other noncurrent assets, and Other noncurrent liabilities.</t>
        </r>
      </text>
    </comment>
    <comment ref="S129" authorId="0">
      <text>
        <r>
          <rPr>
            <b/>
          </rPr>
          <t xml:space="preserve">EDGAR Mapper:
</t>
        </r>
        <r>
          <t>Other Non-Current Assets includes Operating Lease Right of Use Asset, Operating Lease Liability Noncurrent, Prepaid expenses and other current assets, Equity Method Investments, Trademarks with indefinite lives, Other noncurrent assets, and Other noncurrent liabilities.</t>
        </r>
      </text>
    </comment>
    <comment ref="T129" authorId="0">
      <text>
        <r>
          <t/>
        </r>
      </text>
    </comment>
    <comment ref="U129" authorId="0">
      <text>
        <r>
          <t xml:space="preserve">======
ID#AAABbnJBVy4
Lilianna Ruby    (2025-01-14 21:09:38)
Includes operating lease right-of-use assets, long-term investments, deferred income taxes, and other</t>
        </r>
      </text>
    </comment>
    <comment ref="F130" authorId="0">
      <text>
        <r>
          <t/>
        </r>
      </text>
    </comment>
    <comment ref="G130" authorId="0">
      <text>
        <r>
          <t/>
        </r>
      </text>
    </comment>
    <comment ref="H130" authorId="0">
      <text>
        <r>
          <t/>
        </r>
      </text>
    </comment>
    <comment ref="I130" authorId="0">
      <text>
        <r>
          <t/>
        </r>
      </text>
    </comment>
    <comment ref="J130" authorId="0">
      <text>
        <r>
          <t/>
        </r>
      </text>
    </comment>
    <comment ref="K130" authorId="0">
      <text>
        <r>
          <t/>
        </r>
      </text>
    </comment>
    <comment ref="L130" authorId="0">
      <text>
        <r>
          <t/>
        </r>
      </text>
    </comment>
    <comment ref="M130" authorId="0">
      <text>
        <r>
          <t/>
        </r>
      </text>
    </comment>
    <comment ref="N130" authorId="0">
      <text>
        <r>
          <t/>
        </r>
      </text>
    </comment>
    <comment ref="O130" authorId="0">
      <text>
        <r>
          <t/>
        </r>
      </text>
    </comment>
    <comment ref="P130" authorId="0">
      <text>
        <r>
          <t/>
        </r>
      </text>
    </comment>
    <comment ref="Q130" authorId="0">
      <text>
        <r>
          <t/>
        </r>
      </text>
    </comment>
    <comment ref="R130" authorId="0">
      <text>
        <r>
          <t/>
        </r>
      </text>
    </comment>
    <comment ref="S130" authorId="0">
      <text>
        <r>
          <t/>
        </r>
      </text>
    </comment>
    <comment ref="T130" authorId="0">
      <text>
        <r>
          <t/>
        </r>
      </text>
    </comment>
    <comment ref="U130" authorId="0">
      <text>
        <r>
          <t/>
        </r>
      </text>
    </comment>
    <comment ref="F132" authorId="0">
      <text>
        <r>
          <t/>
        </r>
      </text>
    </comment>
    <comment ref="G132" authorId="0">
      <text>
        <r>
          <t/>
        </r>
      </text>
    </comment>
    <comment ref="H132" authorId="0">
      <text>
        <r>
          <t/>
        </r>
      </text>
    </comment>
    <comment ref="I132" authorId="0">
      <text>
        <r>
          <t/>
        </r>
      </text>
    </comment>
    <comment ref="J132" authorId="0">
      <text>
        <r>
          <t/>
        </r>
      </text>
    </comment>
    <comment ref="K132" authorId="0">
      <text>
        <r>
          <t/>
        </r>
      </text>
    </comment>
    <comment ref="L132" authorId="0">
      <text>
        <r>
          <t/>
        </r>
      </text>
    </comment>
    <comment ref="M132" authorId="0">
      <text>
        <r>
          <t/>
        </r>
      </text>
    </comment>
    <comment ref="N132" authorId="0">
      <text>
        <r>
          <t/>
        </r>
      </text>
    </comment>
    <comment ref="O132" authorId="0">
      <text>
        <r>
          <t/>
        </r>
      </text>
    </comment>
    <comment ref="P132" authorId="0">
      <text>
        <r>
          <t/>
        </r>
      </text>
    </comment>
    <comment ref="Q132" authorId="0">
      <text>
        <r>
          <t/>
        </r>
      </text>
    </comment>
    <comment ref="R132" authorId="0">
      <text>
        <r>
          <t/>
        </r>
      </text>
    </comment>
    <comment ref="S132" authorId="0">
      <text>
        <r>
          <t/>
        </r>
      </text>
    </comment>
    <comment ref="T132" authorId="0">
      <text>
        <r>
          <t/>
        </r>
      </text>
    </comment>
    <comment ref="U132" authorId="0">
      <text>
        <r>
          <t/>
        </r>
      </text>
    </comment>
    <comment ref="C134" authorId="0">
      <text>
        <r>
          <rPr>
            <b/>
          </rPr>
          <t xml:space="preserve">EDGAR Mapper:
</t>
        </r>
        <r>
          <t xml:space="preserve">Accounts Payable includes Accounts Payable and Accrued Liabilities Current.
Accounts Payable includes Accounts Payable Trade Current.</t>
        </r>
      </text>
    </comment>
    <comment ref="F134" authorId="0">
      <text>
        <r>
          <rPr>
            <b/>
          </rPr>
          <t xml:space="preserve">EDGAR Mapper:
</t>
        </r>
        <r>
          <t>Accounts Payable maps directly to Accounts Payable and Accrued Liabilities Current.</t>
        </r>
      </text>
    </comment>
    <comment ref="G134" authorId="0">
      <text>
        <r>
          <rPr>
            <b/>
          </rPr>
          <t xml:space="preserve">EDGAR Mapper:
</t>
        </r>
        <r>
          <t>Accounts Payable maps directly to Accounts Payable and Accrued Liabilities Current.</t>
        </r>
      </text>
    </comment>
    <comment ref="H134" authorId="0">
      <text>
        <r>
          <rPr>
            <b/>
          </rPr>
          <t xml:space="preserve">EDGAR Mapper:
</t>
        </r>
        <r>
          <t>Accounts Payable maps directly to Accounts Payable and Accrued Liabilities Current.</t>
        </r>
      </text>
    </comment>
    <comment ref="I134" authorId="0">
      <text>
        <r>
          <rPr>
            <b/>
          </rPr>
          <t xml:space="preserve">EDGAR Mapper:
</t>
        </r>
        <r>
          <t>Accounts Payable maps directly to Accounts Payable Trade Current.</t>
        </r>
      </text>
    </comment>
    <comment ref="J134" authorId="0">
      <text>
        <r>
          <t/>
        </r>
      </text>
    </comment>
    <comment ref="K134" authorId="0">
      <text>
        <r>
          <rPr>
            <b/>
          </rPr>
          <t xml:space="preserve">EDGAR Mapper:
</t>
        </r>
        <r>
          <t>Accounts Payable maps directly to Accounts Payable and Accrued Liabilities Current.</t>
        </r>
      </text>
    </comment>
    <comment ref="L134" authorId="0">
      <text>
        <r>
          <rPr>
            <b/>
          </rPr>
          <t xml:space="preserve">EDGAR Mapper:
</t>
        </r>
        <r>
          <t>Accounts Payable maps directly to Accounts Payable and Accrued Liabilities Current.</t>
        </r>
      </text>
    </comment>
    <comment ref="M134" authorId="0">
      <text>
        <r>
          <rPr>
            <b/>
          </rPr>
          <t xml:space="preserve">EDGAR Mapper:
</t>
        </r>
        <r>
          <t>Accounts Payable maps directly to Accounts Payable and Accrued Liabilities Current.</t>
        </r>
      </text>
    </comment>
    <comment ref="N134" authorId="0">
      <text>
        <r>
          <rPr>
            <b/>
          </rPr>
          <t xml:space="preserve">EDGAR Mapper:
</t>
        </r>
        <r>
          <t>Accounts Payable maps directly to Accounts Payable Trade Current.</t>
        </r>
      </text>
    </comment>
    <comment ref="O134" authorId="0">
      <text>
        <r>
          <t/>
        </r>
      </text>
    </comment>
    <comment ref="P134" authorId="0">
      <text>
        <r>
          <rPr>
            <b/>
          </rPr>
          <t xml:space="preserve">EDGAR Mapper:
</t>
        </r>
        <r>
          <t>Accounts Payable maps directly to Accounts Payable and Accrued Liabilities Current.</t>
        </r>
      </text>
    </comment>
    <comment ref="Q134" authorId="0">
      <text>
        <r>
          <rPr>
            <b/>
          </rPr>
          <t xml:space="preserve">EDGAR Mapper:
</t>
        </r>
        <r>
          <t>Accounts Payable maps directly to Accounts Payable and Accrued Liabilities Current.</t>
        </r>
      </text>
    </comment>
    <comment ref="R134" authorId="0">
      <text>
        <r>
          <rPr>
            <b/>
          </rPr>
          <t xml:space="preserve">EDGAR Mapper:
</t>
        </r>
        <r>
          <t>Accounts Payable maps directly to Accounts Payable and Accrued Liabilities Current.</t>
        </r>
      </text>
    </comment>
    <comment ref="S134" authorId="0">
      <text>
        <r>
          <rPr>
            <b/>
          </rPr>
          <t xml:space="preserve">EDGAR Mapper:
</t>
        </r>
        <r>
          <t>Accounts Payable maps directly to Accounts Payable Trade Current.</t>
        </r>
      </text>
    </comment>
    <comment ref="T134" authorId="0">
      <text>
        <r>
          <t/>
        </r>
      </text>
    </comment>
    <comment ref="U134" authorId="0">
      <text>
        <r>
          <rPr>
            <b/>
          </rPr>
          <t xml:space="preserve">EDGAR Mapper:
</t>
        </r>
        <r>
          <t>Accounts Payable maps directly to Accounts Payable and Accrued Liabilities Current.</t>
        </r>
      </text>
    </comment>
    <comment ref="C135" authorId="0">
      <text>
        <r>
          <rPr>
            <b/>
          </rPr>
          <t xml:space="preserve">EDGAR Mapper:
</t>
        </r>
        <r>
          <t xml:space="preserve">Accrued Liabilities maps directly to Accrued income taxes.
Accrued Liabilities includes Accrued income taxes.
Accrued Liabilities maps directly to Accrued income Taxes Current.</t>
        </r>
      </text>
    </comment>
    <comment ref="F135" authorId="0">
      <text>
        <r>
          <rPr>
            <b/>
          </rPr>
          <t xml:space="preserve">EDGAR Mapper:
</t>
        </r>
        <r>
          <t>Accrued Liabilities maps directly to Accrued income taxes.</t>
        </r>
      </text>
    </comment>
    <comment ref="G135" authorId="0">
      <text>
        <r>
          <rPr>
            <b/>
          </rPr>
          <t xml:space="preserve">EDGAR Mapper:
</t>
        </r>
        <r>
          <t>Accrued Liabilities includes Accrued income taxes.</t>
        </r>
      </text>
    </comment>
    <comment ref="H135" authorId="0">
      <text>
        <r>
          <rPr>
            <b/>
          </rPr>
          <t xml:space="preserve">EDGAR Mapper:
</t>
        </r>
        <r>
          <t>Accrued Liabilities includes Accrued income taxes.</t>
        </r>
      </text>
    </comment>
    <comment ref="I135" authorId="0">
      <text>
        <r>
          <rPr>
            <b/>
          </rPr>
          <t xml:space="preserve">EDGAR Mapper:
</t>
        </r>
        <r>
          <t>Accrued Liabilities includes Accrued income taxes.</t>
        </r>
      </text>
    </comment>
    <comment ref="J135" authorId="0">
      <text>
        <r>
          <t/>
        </r>
      </text>
    </comment>
    <comment ref="K135" authorId="0">
      <text>
        <r>
          <rPr>
            <b/>
          </rPr>
          <t xml:space="preserve">EDGAR Mapper:
</t>
        </r>
        <r>
          <t>Accrued Liabilities maps directly to Accrued income Taxes Current.</t>
        </r>
      </text>
    </comment>
    <comment ref="L135" authorId="0">
      <text>
        <r>
          <rPr>
            <b/>
          </rPr>
          <t xml:space="preserve">EDGAR Mapper:
</t>
        </r>
        <r>
          <t>Accrued Liabilities maps directly to Accrued income taxes.</t>
        </r>
      </text>
    </comment>
    <comment ref="M135" authorId="0">
      <text>
        <r>
          <rPr>
            <b/>
          </rPr>
          <t xml:space="preserve">EDGAR Mapper:
</t>
        </r>
        <r>
          <t>Accrued Liabilities maps directly to Accrued income taxes.</t>
        </r>
      </text>
    </comment>
    <comment ref="N135" authorId="0">
      <text>
        <r>
          <rPr>
            <b/>
          </rPr>
          <t xml:space="preserve">EDGAR Mapper:
</t>
        </r>
        <r>
          <t>Accrued Liabilities maps directly to Accrued income taxes.</t>
        </r>
      </text>
    </comment>
    <comment ref="O135" authorId="0">
      <text>
        <r>
          <t/>
        </r>
      </text>
    </comment>
    <comment ref="P135" authorId="0">
      <text>
        <r>
          <rPr>
            <b/>
          </rPr>
          <t xml:space="preserve">EDGAR Mapper:
</t>
        </r>
        <r>
          <t>Accrued Liabilities maps directly to Accrued income taxes.</t>
        </r>
      </text>
    </comment>
    <comment ref="Q135" authorId="0">
      <text>
        <r>
          <rPr>
            <b/>
          </rPr>
          <t xml:space="preserve">EDGAR Mapper:
</t>
        </r>
        <r>
          <t>Accrued Liabilities maps directly to Accrued income taxes.</t>
        </r>
      </text>
    </comment>
    <comment ref="R135" authorId="0">
      <text>
        <r>
          <rPr>
            <b/>
          </rPr>
          <t xml:space="preserve">EDGAR Mapper:
</t>
        </r>
        <r>
          <t>Accrued Liabilities maps directly to Accrued income taxes.</t>
        </r>
      </text>
    </comment>
    <comment ref="S135" authorId="0">
      <text>
        <r>
          <rPr>
            <b/>
          </rPr>
          <t xml:space="preserve">EDGAR Mapper:
</t>
        </r>
        <r>
          <t>Accrued Liabilities maps directly to Accrued income taxes.</t>
        </r>
      </text>
    </comment>
    <comment ref="T135" authorId="0">
      <text>
        <r>
          <t/>
        </r>
      </text>
    </comment>
    <comment ref="U135" authorId="0">
      <text>
        <r>
          <rPr>
            <b/>
          </rPr>
          <t xml:space="preserve">EDGAR Mapper:
</t>
        </r>
        <r>
          <t>Accrued Liabilities maps directly to Accrued income Taxes Current.</t>
        </r>
      </text>
    </comment>
    <comment ref="C136" authorId="0">
      <text>
        <r>
          <t xml:space="preserve">======
ID#AAABbnJBV0M
Luke Brennan    (2025-01-14 21:09:38)
Advances and Billings in Excess of Related Costs</t>
        </r>
      </text>
    </comment>
    <comment ref="F136" authorId="0">
      <text>
        <r>
          <t/>
        </r>
      </text>
    </comment>
    <comment ref="G136" authorId="0">
      <text>
        <r>
          <t/>
        </r>
      </text>
    </comment>
    <comment ref="H136" authorId="0">
      <text>
        <r>
          <t/>
        </r>
      </text>
    </comment>
    <comment ref="I136" authorId="0">
      <text>
        <r>
          <t/>
        </r>
      </text>
    </comment>
    <comment ref="J136" authorId="0">
      <text>
        <r>
          <t/>
        </r>
      </text>
    </comment>
    <comment ref="K136" authorId="0">
      <text>
        <r>
          <t xml:space="preserve">======
ID#AAABbnJBVxA
Lilianna Ruby    (2025-01-14 21:09:38)
Current operating lease liabilities, deferred revenue, other</t>
        </r>
      </text>
    </comment>
    <comment ref="L136" authorId="0">
      <text>
        <r>
          <t/>
        </r>
      </text>
    </comment>
    <comment ref="M136" authorId="0">
      <text>
        <r>
          <t/>
        </r>
      </text>
    </comment>
    <comment ref="N136" authorId="0">
      <text>
        <r>
          <t/>
        </r>
      </text>
    </comment>
    <comment ref="O136" authorId="0">
      <text>
        <r>
          <t/>
        </r>
      </text>
    </comment>
    <comment ref="P136" authorId="0">
      <text>
        <r>
          <t xml:space="preserve">======
ID#AAABbnJBV00
Lilianna Ruby    (2025-01-14 21:09:38)
Current operating lease liabilities, deferred revenue, other</t>
        </r>
      </text>
    </comment>
    <comment ref="Q136" authorId="0">
      <text>
        <r>
          <t/>
        </r>
      </text>
    </comment>
    <comment ref="R136" authorId="0">
      <text>
        <r>
          <t/>
        </r>
      </text>
    </comment>
    <comment ref="S136" authorId="0">
      <text>
        <r>
          <t/>
        </r>
      </text>
    </comment>
    <comment ref="T136" authorId="0">
      <text>
        <r>
          <t/>
        </r>
      </text>
    </comment>
    <comment ref="U136" authorId="0">
      <text>
        <r>
          <t xml:space="preserve">======
ID#AAABbnJBV1E
Lilianna Ruby    (2025-01-14 21:09:38)
Current operating lease liabilities, deferred revenue, other</t>
        </r>
      </text>
    </comment>
    <comment ref="F137" authorId="0">
      <text>
        <r>
          <t/>
        </r>
      </text>
    </comment>
    <comment ref="G137" authorId="0">
      <text>
        <r>
          <t/>
        </r>
      </text>
    </comment>
    <comment ref="H137" authorId="0">
      <text>
        <r>
          <t/>
        </r>
      </text>
    </comment>
    <comment ref="I137" authorId="0">
      <text>
        <r>
          <t/>
        </r>
      </text>
    </comment>
    <comment ref="J137" authorId="0">
      <text>
        <r>
          <t/>
        </r>
      </text>
    </comment>
    <comment ref="K137" authorId="0">
      <text>
        <r>
          <t/>
        </r>
      </text>
    </comment>
    <comment ref="L137" authorId="0">
      <text>
        <r>
          <t/>
        </r>
      </text>
    </comment>
    <comment ref="M137" authorId="0">
      <text>
        <r>
          <t/>
        </r>
      </text>
    </comment>
    <comment ref="N137" authorId="0">
      <text>
        <r>
          <t/>
        </r>
      </text>
    </comment>
    <comment ref="O137" authorId="0">
      <text>
        <r>
          <t/>
        </r>
      </text>
    </comment>
    <comment ref="P137" authorId="0">
      <text>
        <r>
          <t/>
        </r>
      </text>
    </comment>
    <comment ref="Q137" authorId="0">
      <text>
        <r>
          <t/>
        </r>
      </text>
    </comment>
    <comment ref="R137" authorId="0">
      <text>
        <r>
          <t/>
        </r>
      </text>
    </comment>
    <comment ref="S137" authorId="0">
      <text>
        <r>
          <t/>
        </r>
      </text>
    </comment>
    <comment ref="T137" authorId="0">
      <text>
        <r>
          <t/>
        </r>
      </text>
    </comment>
    <comment ref="U137" authorId="0">
      <text>
        <r>
          <t/>
        </r>
      </text>
    </comment>
    <comment ref="C139" authorId="0">
      <text>
        <r>
          <rPr>
            <b/>
          </rPr>
          <t xml:space="preserve">EDGAR Mapper:
</t>
        </r>
        <r>
          <t xml:space="preserve">Revolver includes Commercial Paper.
Revolver includes Other Short Term Borrowings.</t>
        </r>
      </text>
    </comment>
    <comment ref="F139" authorId="0">
      <text>
        <r>
          <rPr>
            <b/>
          </rPr>
          <t xml:space="preserve">EDGAR Mapper:
</t>
        </r>
        <r>
          <t>Revolver maps directly to Commercial Paper.</t>
        </r>
      </text>
    </comment>
    <comment ref="G139" authorId="0">
      <text>
        <r>
          <rPr>
            <b/>
          </rPr>
          <t xml:space="preserve">EDGAR Mapper:
</t>
        </r>
        <r>
          <t>Revolver maps directly to Commercial Paper.</t>
        </r>
      </text>
    </comment>
    <comment ref="H139" authorId="0">
      <text>
        <r>
          <rPr>
            <b/>
          </rPr>
          <t xml:space="preserve">EDGAR Mapper:
</t>
        </r>
        <r>
          <t>Revolver maps directly to Commercial Paper.</t>
        </r>
      </text>
    </comment>
    <comment ref="I139" authorId="0">
      <text>
        <r>
          <rPr>
            <b/>
          </rPr>
          <t xml:space="preserve">EDGAR Mapper:
</t>
        </r>
        <r>
          <t>Revolver maps directly to Other Short Term Borrowings.</t>
        </r>
      </text>
    </comment>
    <comment ref="J139" authorId="0">
      <text>
        <r>
          <t/>
        </r>
      </text>
    </comment>
    <comment ref="K139" authorId="0">
      <text>
        <r>
          <rPr>
            <b/>
          </rPr>
          <t xml:space="preserve">EDGAR Mapper:
</t>
        </r>
        <r>
          <t>Revolver maps directly to Commercial Paper.</t>
        </r>
      </text>
    </comment>
    <comment ref="L139" authorId="0">
      <text>
        <r>
          <rPr>
            <b/>
          </rPr>
          <t xml:space="preserve">EDGAR Mapper:
</t>
        </r>
        <r>
          <t>Revolver maps directly to Commercial Paper.</t>
        </r>
      </text>
    </comment>
    <comment ref="M139" authorId="0">
      <text>
        <r>
          <rPr>
            <b/>
          </rPr>
          <t xml:space="preserve">EDGAR Mapper:
</t>
        </r>
        <r>
          <t>Revolver maps directly to Commercial Paper.</t>
        </r>
      </text>
    </comment>
    <comment ref="N139" authorId="0">
      <text>
        <r>
          <rPr>
            <b/>
          </rPr>
          <t xml:space="preserve">EDGAR Mapper:
</t>
        </r>
        <r>
          <t>Revolver maps directly to Other Short Term Borrowings.</t>
        </r>
      </text>
    </comment>
    <comment ref="O139" authorId="0">
      <text>
        <r>
          <t/>
        </r>
      </text>
    </comment>
    <comment ref="P139" authorId="0">
      <text>
        <r>
          <rPr>
            <b/>
          </rPr>
          <t xml:space="preserve">EDGAR Mapper:
</t>
        </r>
        <r>
          <t>Revolver maps directly to Commercial Paper.</t>
        </r>
      </text>
    </comment>
    <comment ref="Q139" authorId="0">
      <text>
        <r>
          <rPr>
            <b/>
          </rPr>
          <t xml:space="preserve">EDGAR Mapper:
</t>
        </r>
        <r>
          <t>Revolver maps directly to Commercial Paper.</t>
        </r>
      </text>
    </comment>
    <comment ref="R139" authorId="0">
      <text>
        <r>
          <rPr>
            <b/>
          </rPr>
          <t xml:space="preserve">EDGAR Mapper:
</t>
        </r>
        <r>
          <t>Revolver maps directly to Commercial Paper.</t>
        </r>
      </text>
    </comment>
    <comment ref="S139" authorId="0">
      <text>
        <r>
          <rPr>
            <b/>
          </rPr>
          <t xml:space="preserve">EDGAR Mapper:
</t>
        </r>
        <r>
          <t>Revolver maps directly to Other Short Term Borrowings.</t>
        </r>
      </text>
    </comment>
    <comment ref="T139" authorId="0">
      <text>
        <r>
          <t/>
        </r>
      </text>
    </comment>
    <comment ref="U139" authorId="0">
      <text>
        <r>
          <rPr>
            <b/>
          </rPr>
          <t xml:space="preserve">EDGAR Mapper:
</t>
        </r>
        <r>
          <t>Revolver maps directly to Commercial Paper.</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LT Debt (Incl. Current Portion) includes Long-term Debt and Lease Obligation, Including Current Maturities.</t>
        </r>
      </text>
    </comment>
    <comment ref="F140" authorId="0">
      <text>
        <r>
          <t/>
        </r>
      </text>
    </comment>
    <comment ref="G140" authorId="0">
      <text>
        <r>
          <t/>
        </r>
      </text>
    </comment>
    <comment ref="H140" authorId="0">
      <text>
        <r>
          <t/>
        </r>
      </text>
    </comment>
    <comment ref="I140" authorId="0">
      <text>
        <r>
          <t/>
        </r>
      </text>
    </comment>
    <comment ref="J140" authorId="0">
      <text>
        <r>
          <t/>
        </r>
      </text>
    </comment>
    <comment ref="K140" authorId="0">
      <text>
        <r>
          <t/>
        </r>
      </text>
    </comment>
    <comment ref="L140" authorId="0">
      <text>
        <r>
          <t/>
        </r>
      </text>
    </comment>
    <comment ref="M140" authorId="0">
      <text>
        <r>
          <t/>
        </r>
      </text>
    </comment>
    <comment ref="N140" authorId="0">
      <text>
        <r>
          <t/>
        </r>
      </text>
    </comment>
    <comment ref="O140" authorId="0">
      <text>
        <r>
          <t/>
        </r>
      </text>
    </comment>
    <comment ref="P140" authorId="0">
      <text>
        <r>
          <rPr>
            <b/>
          </rPr>
          <t xml:space="preserve">EDGAR Mapper:
</t>
        </r>
        <r>
          <t>LT Debt (Incl. Current Portion) maps directly to Long-term Debt and Lease Obligation, Including Current Maturities.</t>
        </r>
      </text>
    </comment>
    <comment ref="Q140" authorId="0">
      <text>
        <r>
          <rPr>
            <b/>
          </rPr>
          <t xml:space="preserve">EDGAR Mapper:
</t>
        </r>
        <r>
          <t>LT Debt (Incl. Current Portion) maps directly to Long-term Debt and Lease Obligation, Including Current Maturities.</t>
        </r>
      </text>
    </comment>
    <comment ref="R140" authorId="0">
      <text>
        <r>
          <rPr>
            <b/>
          </rPr>
          <t xml:space="preserve">EDGAR Mapper:
</t>
        </r>
        <r>
          <t>LT Debt (Incl. Current Portion) maps directly to Long-term Debt and Lease Obligation, Including Current Maturities.</t>
        </r>
      </text>
    </comment>
    <comment ref="S140" authorId="0">
      <text>
        <r>
          <rPr>
            <b/>
          </rPr>
          <t xml:space="preserve">EDGAR Mapper:
</t>
        </r>
        <r>
          <t>LT Debt (Incl. Current Portion) maps directly to Long-term Debt and Lease Obligation, Including Current Maturities.</t>
        </r>
      </text>
    </comment>
    <comment ref="T140" authorId="0">
      <text>
        <r>
          <t/>
        </r>
      </text>
    </comment>
    <comment ref="U140" authorId="0">
      <text>
        <r>
          <t/>
        </r>
      </text>
    </comment>
    <comment ref="C141" authorId="0">
      <text>
        <r>
          <rPr>
            <b/>
          </rPr>
          <t xml:space="preserve">EDGAR Mapper:
</t>
        </r>
        <r>
          <t>Deferred Income Taxes includes Deferred income Tax Liabilities net.</t>
        </r>
      </text>
    </comment>
    <comment ref="F141" authorId="0">
      <text>
        <r>
          <rPr>
            <b/>
          </rPr>
          <t xml:space="preserve">EDGAR Mapper:
</t>
        </r>
        <r>
          <t>Deferred Income Taxes maps directly to Deferred income Tax Liabilities net.</t>
        </r>
      </text>
    </comment>
    <comment ref="G141" authorId="0">
      <text>
        <r>
          <rPr>
            <b/>
          </rPr>
          <t xml:space="preserve">EDGAR Mapper:
</t>
        </r>
        <r>
          <t>Deferred Income Taxes maps directly to Deferred income Tax Liabilities net.</t>
        </r>
      </text>
    </comment>
    <comment ref="H141" authorId="0">
      <text>
        <r>
          <rPr>
            <b/>
          </rPr>
          <t xml:space="preserve">EDGAR Mapper:
</t>
        </r>
        <r>
          <t>Deferred Income Taxes maps directly to Deferred income Tax Liabilities net.</t>
        </r>
      </text>
    </comment>
    <comment ref="I141" authorId="0">
      <text>
        <r>
          <rPr>
            <b/>
          </rPr>
          <t xml:space="preserve">EDGAR Mapper:
</t>
        </r>
        <r>
          <t>Deferred Income Taxes maps directly to Deferred income Tax Liabilities net.</t>
        </r>
      </text>
    </comment>
    <comment ref="J141" authorId="0">
      <text>
        <r>
          <t/>
        </r>
      </text>
    </comment>
    <comment ref="K141" authorId="0">
      <text>
        <r>
          <rPr>
            <b/>
          </rPr>
          <t xml:space="preserve">EDGAR Mapper:
</t>
        </r>
        <r>
          <t>Deferred Income Taxes maps directly to Deferred income Tax Liabilities net.</t>
        </r>
      </text>
    </comment>
    <comment ref="L141" authorId="0">
      <text>
        <r>
          <rPr>
            <b/>
          </rPr>
          <t xml:space="preserve">EDGAR Mapper:
</t>
        </r>
        <r>
          <t>Deferred Income Taxes maps directly to Deferred income Tax Liabilities net.</t>
        </r>
      </text>
    </comment>
    <comment ref="M141" authorId="0">
      <text>
        <r>
          <rPr>
            <b/>
          </rPr>
          <t xml:space="preserve">EDGAR Mapper:
</t>
        </r>
        <r>
          <t>Deferred Income Taxes maps directly to Deferred income Tax Liabilities net.</t>
        </r>
      </text>
    </comment>
    <comment ref="N141" authorId="0">
      <text>
        <r>
          <rPr>
            <b/>
          </rPr>
          <t xml:space="preserve">EDGAR Mapper:
</t>
        </r>
        <r>
          <t>Deferred Income Taxes maps directly to Deferred income Tax Liabilities net.</t>
        </r>
      </text>
    </comment>
    <comment ref="O141" authorId="0">
      <text>
        <r>
          <t/>
        </r>
      </text>
    </comment>
    <comment ref="P141" authorId="0">
      <text>
        <r>
          <rPr>
            <b/>
          </rPr>
          <t xml:space="preserve">EDGAR Mapper:
</t>
        </r>
        <r>
          <t>Deferred Income Taxes maps directly to Deferred income Tax Liabilities net.</t>
        </r>
      </text>
    </comment>
    <comment ref="Q141" authorId="0">
      <text>
        <r>
          <rPr>
            <b/>
          </rPr>
          <t xml:space="preserve">EDGAR Mapper:
</t>
        </r>
        <r>
          <t>Deferred Income Taxes maps directly to Deferred income Tax Liabilities net.</t>
        </r>
      </text>
    </comment>
    <comment ref="R141" authorId="0">
      <text>
        <r>
          <rPr>
            <b/>
          </rPr>
          <t xml:space="preserve">EDGAR Mapper:
</t>
        </r>
        <r>
          <t>Deferred Income Taxes maps directly to Deferred income Tax Liabilities net.</t>
        </r>
      </text>
    </comment>
    <comment ref="S141" authorId="0">
      <text>
        <r>
          <rPr>
            <b/>
          </rPr>
          <t xml:space="preserve">EDGAR Mapper:
</t>
        </r>
        <r>
          <t>Deferred Income Taxes maps directly to Deferred income Tax Liabilities net.</t>
        </r>
      </text>
    </comment>
    <comment ref="T141" authorId="0">
      <text>
        <r>
          <t/>
        </r>
      </text>
    </comment>
    <comment ref="U141" authorId="0">
      <text>
        <r>
          <rPr>
            <b/>
          </rPr>
          <t xml:space="preserve">EDGAR Mapper:
</t>
        </r>
        <r>
          <t>Deferred Income Taxes maps directly to Deferred income Tax Liabilities net.</t>
        </r>
      </text>
    </comment>
    <comment ref="C142" authorId="0">
      <text>
        <r>
          <rPr>
            <b/>
          </rPr>
          <t xml:space="preserve">EDGAR Mapper:
</t>
        </r>
        <r>
          <t xml:space="preserve">======
ID#AAABbnJBVw8
Luke Brennan    (2025-01-14 21:09:38)
Accrued Retiree Healthcare
Accrued Pension Plan Liability, net
and Other LT Liabilities
EDGAR Mapper:
Other Non-Current Liabilities includes Other noncurrent assets and Other noncurrent liabilities.
Other Non-Current Liabilities includes Operating Lease Liability Noncurrent, Other noncurrent assets, and Other noncurrent liabilities.
Other Non-Current Liabilities includes Other Liabilities Noncurrent.</t>
        </r>
      </text>
    </comment>
    <comment ref="F142" authorId="0">
      <text>
        <r>
          <rPr>
            <b/>
          </rPr>
          <t xml:space="preserve">EDGAR Mapper:
</t>
        </r>
        <r>
          <t>Other Non-Current Liabilities includes Other noncurrent assets and Other noncurrent liabilities.</t>
        </r>
      </text>
    </comment>
    <comment ref="G142" authorId="0">
      <text>
        <r>
          <rPr>
            <b/>
          </rPr>
          <t xml:space="preserve">EDGAR Mapper:
</t>
        </r>
        <r>
          <t>Other Non-Current Liabilities includes Other noncurrent assets and Other noncurrent liabilities.</t>
        </r>
      </text>
    </comment>
    <comment ref="H142" authorId="0">
      <text>
        <r>
          <rPr>
            <b/>
          </rPr>
          <t xml:space="preserve">EDGAR Mapper:
</t>
        </r>
        <r>
          <t>Other Non-Current Liabilities includes Other noncurrent assets and Other noncurrent liabilities.</t>
        </r>
      </text>
    </comment>
    <comment ref="I142" authorId="0">
      <text>
        <r>
          <rPr>
            <b/>
          </rPr>
          <t xml:space="preserve">EDGAR Mapper:
</t>
        </r>
        <r>
          <t>Other Non-Current Liabilities includes Operating Lease Liability Noncurrent, Other noncurrent assets, and Other noncurrent liabilities.</t>
        </r>
      </text>
    </comment>
    <comment ref="J142" authorId="0">
      <text>
        <r>
          <t/>
        </r>
      </text>
    </comment>
    <comment ref="K142" authorId="0">
      <text>
        <r>
          <rPr>
            <b/>
          </rPr>
          <t xml:space="preserve">EDGAR Mapper:
</t>
        </r>
        <r>
          <t>Other Non-Current Liabilities maps directly to Other Liabilities Noncurrent.</t>
        </r>
      </text>
    </comment>
    <comment ref="L142" authorId="0">
      <text>
        <r>
          <rPr>
            <b/>
          </rPr>
          <t xml:space="preserve">EDGAR Mapper:
</t>
        </r>
        <r>
          <t>Other Non-Current Liabilities includes Other noncurrent assets and Other noncurrent liabilities.</t>
        </r>
      </text>
    </comment>
    <comment ref="M142" authorId="0">
      <text>
        <r>
          <rPr>
            <b/>
          </rPr>
          <t xml:space="preserve">EDGAR Mapper:
</t>
        </r>
        <r>
          <t>Other Non-Current Liabilities includes Other noncurrent assets and Other noncurrent liabilities.</t>
        </r>
      </text>
    </comment>
    <comment ref="N142" authorId="0">
      <text>
        <r>
          <rPr>
            <b/>
          </rPr>
          <t xml:space="preserve">EDGAR Mapper:
</t>
        </r>
        <r>
          <t>Other Non-Current Liabilities includes Operating Lease Liability Noncurrent, Other noncurrent assets, and Other noncurrent liabilities.</t>
        </r>
      </text>
    </comment>
    <comment ref="O142" authorId="0">
      <text>
        <r>
          <t/>
        </r>
      </text>
    </comment>
    <comment ref="P142" authorId="0">
      <text>
        <r>
          <rPr>
            <b/>
          </rPr>
          <t xml:space="preserve">EDGAR Mapper:
</t>
        </r>
        <r>
          <t>Other Non-Current Liabilities includes Other noncurrent assets and Other noncurrent liabilities.</t>
        </r>
      </text>
    </comment>
    <comment ref="Q142" authorId="0">
      <text>
        <r>
          <rPr>
            <b/>
          </rPr>
          <t xml:space="preserve">EDGAR Mapper:
</t>
        </r>
        <r>
          <t>Other Non-Current Liabilities includes Other noncurrent assets and Other noncurrent liabilities.</t>
        </r>
      </text>
    </comment>
    <comment ref="R142" authorId="0">
      <text>
        <r>
          <rPr>
            <b/>
          </rPr>
          <t xml:space="preserve">EDGAR Mapper:
</t>
        </r>
        <r>
          <t>Other Non-Current Liabilities includes Other noncurrent assets and Other noncurrent liabilities.</t>
        </r>
      </text>
    </comment>
    <comment ref="S142" authorId="0">
      <text>
        <r>
          <rPr>
            <b/>
          </rPr>
          <t xml:space="preserve">EDGAR Mapper:
</t>
        </r>
        <r>
          <t>Other Non-Current Liabilities includes Operating Lease Liability Noncurrent, Other noncurrent assets, and Other noncurrent liabilities.</t>
        </r>
      </text>
    </comment>
    <comment ref="T142" authorId="0">
      <text>
        <r>
          <t/>
        </r>
      </text>
    </comment>
    <comment ref="U142" authorId="0">
      <text>
        <r>
          <rPr>
            <b/>
          </rPr>
          <t xml:space="preserve">EDGAR Mapper:
</t>
        </r>
        <r>
          <t>Other Non-Current Liabilities maps directly to Other Liabilities Noncurrent.</t>
        </r>
      </text>
    </comment>
    <comment ref="F143" authorId="0">
      <text>
        <r>
          <t/>
        </r>
      </text>
    </comment>
    <comment ref="G143" authorId="0">
      <text>
        <r>
          <t/>
        </r>
      </text>
    </comment>
    <comment ref="H143" authorId="0">
      <text>
        <r>
          <t/>
        </r>
      </text>
    </comment>
    <comment ref="I143" authorId="0">
      <text>
        <r>
          <t/>
        </r>
      </text>
    </comment>
    <comment ref="J143" authorId="0">
      <text>
        <r>
          <t/>
        </r>
      </text>
    </comment>
    <comment ref="K143" authorId="0">
      <text>
        <r>
          <t/>
        </r>
      </text>
    </comment>
    <comment ref="L143" authorId="0">
      <text>
        <r>
          <t/>
        </r>
      </text>
    </comment>
    <comment ref="M143" authorId="0">
      <text>
        <r>
          <t/>
        </r>
      </text>
    </comment>
    <comment ref="N143" authorId="0">
      <text>
        <r>
          <t/>
        </r>
      </text>
    </comment>
    <comment ref="O143" authorId="0">
      <text>
        <r>
          <t/>
        </r>
      </text>
    </comment>
    <comment ref="P143" authorId="0">
      <text>
        <r>
          <t/>
        </r>
      </text>
    </comment>
    <comment ref="Q143" authorId="0">
      <text>
        <r>
          <t/>
        </r>
      </text>
    </comment>
    <comment ref="R143" authorId="0">
      <text>
        <r>
          <t/>
        </r>
      </text>
    </comment>
    <comment ref="S143" authorId="0">
      <text>
        <r>
          <t/>
        </r>
      </text>
    </comment>
    <comment ref="T143" authorId="0">
      <text>
        <r>
          <t/>
        </r>
      </text>
    </comment>
    <comment ref="U143" authorId="0">
      <text>
        <r>
          <t/>
        </r>
      </text>
    </comment>
    <comment ref="Z143" authorId="0">
      <text/>
    </comment>
    <comment ref="AE143" authorId="0">
      <text/>
    </comment>
    <comment ref="F145" authorId="0">
      <text>
        <r>
          <t/>
        </r>
      </text>
    </comment>
    <comment ref="G145" authorId="0">
      <text>
        <r>
          <t/>
        </r>
      </text>
    </comment>
    <comment ref="H145" authorId="0">
      <text>
        <r>
          <t/>
        </r>
      </text>
    </comment>
    <comment ref="I145" authorId="0">
      <text>
        <r>
          <t/>
        </r>
      </text>
    </comment>
    <comment ref="J145" authorId="0">
      <text>
        <r>
          <t/>
        </r>
      </text>
    </comment>
    <comment ref="K145" authorId="0">
      <text>
        <r>
          <t/>
        </r>
      </text>
    </comment>
    <comment ref="L145" authorId="0">
      <text>
        <r>
          <t/>
        </r>
      </text>
    </comment>
    <comment ref="M145" authorId="0">
      <text>
        <r>
          <t/>
        </r>
      </text>
    </comment>
    <comment ref="N145" authorId="0">
      <text>
        <r>
          <t/>
        </r>
      </text>
    </comment>
    <comment ref="O145" authorId="0">
      <text>
        <r>
          <t/>
        </r>
      </text>
    </comment>
    <comment ref="P145" authorId="0">
      <text>
        <r>
          <t/>
        </r>
      </text>
    </comment>
    <comment ref="Q145" authorId="0">
      <text>
        <r>
          <t/>
        </r>
      </text>
    </comment>
    <comment ref="R145" authorId="0">
      <text>
        <r>
          <t/>
        </r>
      </text>
    </comment>
    <comment ref="S145" authorId="0">
      <text>
        <r>
          <t/>
        </r>
      </text>
    </comment>
    <comment ref="T145" authorId="0">
      <text>
        <r>
          <t/>
        </r>
      </text>
    </comment>
    <comment ref="U145" authorId="0">
      <text>
        <r>
          <t/>
        </r>
      </text>
    </comment>
    <comment ref="C147" authorId="0">
      <text>
        <r>
          <rPr>
            <b/>
          </rPr>
          <t xml:space="preserve">EDGAR Mapper:
</t>
        </r>
        <r>
          <t>Common Stock &amp; APIC includes Common Stock, Value, Issued and Additional Paid In Capital Common Stock.</t>
        </r>
      </text>
    </comment>
    <comment ref="F147" authorId="0">
      <text>
        <r>
          <rPr>
            <b/>
          </rPr>
          <t xml:space="preserve">EDGAR Mapper:
</t>
        </r>
        <r>
          <t>Common Stock &amp; APIC includes Common Stock, Value, Issued and Additional Paid In Capital Common Stock.</t>
        </r>
      </text>
    </comment>
    <comment ref="G147" authorId="0">
      <text>
        <r>
          <rPr>
            <b/>
          </rPr>
          <t xml:space="preserve">EDGAR Mapper:
</t>
        </r>
        <r>
          <t>Common Stock &amp; APIC includes Common Stock, Value, Issued and Additional Paid In Capital Common Stock.</t>
        </r>
      </text>
    </comment>
    <comment ref="H147" authorId="0">
      <text>
        <r>
          <rPr>
            <b/>
          </rPr>
          <t xml:space="preserve">EDGAR Mapper:
</t>
        </r>
        <r>
          <t>Common Stock &amp; APIC includes Common Stock, Value, Issued and Additional Paid In Capital Common Stock.</t>
        </r>
      </text>
    </comment>
    <comment ref="I147" authorId="0">
      <text>
        <r>
          <rPr>
            <b/>
          </rPr>
          <t xml:space="preserve">EDGAR Mapper:
</t>
        </r>
        <r>
          <t>Common Stock &amp; APIC includes Common Stock, Value, Issued and Additional Paid In Capital Common Stock.</t>
        </r>
      </text>
    </comment>
    <comment ref="J147" authorId="0">
      <text>
        <r>
          <t/>
        </r>
      </text>
    </comment>
    <comment ref="K147" authorId="0">
      <text>
        <r>
          <rPr>
            <b/>
          </rPr>
          <t xml:space="preserve">EDGAR Mapper:
</t>
        </r>
        <r>
          <t>Common Stock &amp; APIC includes Common Stock, Value, Issued and Additional Paid In Capital Common Stock.</t>
        </r>
      </text>
    </comment>
    <comment ref="L147" authorId="0">
      <text>
        <r>
          <rPr>
            <b/>
          </rPr>
          <t xml:space="preserve">EDGAR Mapper:
</t>
        </r>
        <r>
          <t>Common Stock &amp; APIC includes Common Stock, Value, Issued and Additional Paid In Capital Common Stock.</t>
        </r>
      </text>
    </comment>
    <comment ref="M147" authorId="0">
      <text>
        <r>
          <rPr>
            <b/>
          </rPr>
          <t xml:space="preserve">EDGAR Mapper:
</t>
        </r>
        <r>
          <t>Common Stock &amp; APIC includes Common Stock, Value, Issued and Additional Paid In Capital Common Stock.</t>
        </r>
      </text>
    </comment>
    <comment ref="N147" authorId="0">
      <text>
        <r>
          <rPr>
            <b/>
          </rPr>
          <t xml:space="preserve">EDGAR Mapper:
</t>
        </r>
        <r>
          <t>Common Stock &amp; APIC includes Common Stock, Value, Issued and Additional Paid In Capital Common Stock.</t>
        </r>
      </text>
    </comment>
    <comment ref="O147" authorId="0">
      <text>
        <r>
          <t/>
        </r>
      </text>
    </comment>
    <comment ref="P147" authorId="0">
      <text>
        <r>
          <rPr>
            <b/>
          </rPr>
          <t xml:space="preserve">EDGAR Mapper:
</t>
        </r>
        <r>
          <t>Common Stock &amp; APIC includes Common Stock, Value, Issued and Additional Paid In Capital Common Stock.</t>
        </r>
      </text>
    </comment>
    <comment ref="Q147" authorId="0">
      <text>
        <r>
          <rPr>
            <b/>
          </rPr>
          <t xml:space="preserve">EDGAR Mapper:
</t>
        </r>
        <r>
          <t>Common Stock &amp; APIC includes Common Stock, Value, Issued and Additional Paid In Capital Common Stock.</t>
        </r>
      </text>
    </comment>
    <comment ref="R147" authorId="0">
      <text>
        <r>
          <rPr>
            <b/>
          </rPr>
          <t xml:space="preserve">EDGAR Mapper:
</t>
        </r>
        <r>
          <t>Common Stock &amp; APIC includes Common Stock, Value, Issued and Additional Paid In Capital Common Stock.</t>
        </r>
      </text>
    </comment>
    <comment ref="S147" authorId="0">
      <text>
        <r>
          <rPr>
            <b/>
          </rPr>
          <t xml:space="preserve">EDGAR Mapper:
</t>
        </r>
        <r>
          <t>Common Stock &amp; APIC includes Common Stock, Value, Issued and Additional Paid In Capital Common Stock.</t>
        </r>
      </text>
    </comment>
    <comment ref="T147" authorId="0">
      <text>
        <r>
          <t/>
        </r>
      </text>
    </comment>
    <comment ref="U147" authorId="0">
      <text>
        <r>
          <rPr>
            <b/>
          </rPr>
          <t xml:space="preserve">EDGAR Mapper:
</t>
        </r>
        <r>
          <t>Common Stock &amp; APIC includes Common Stock, Value, Issued and Additional Paid In Capital Common Stock.</t>
        </r>
      </text>
    </comment>
    <comment ref="F148" authorId="0">
      <text>
        <r>
          <rPr>
            <b/>
          </rPr>
          <t xml:space="preserve">EDGAR Mapper:
</t>
        </r>
        <r>
          <t>Retained Earnings maps directly to Retained Earnings Accumulated Deficit.</t>
        </r>
      </text>
    </comment>
    <comment ref="G148" authorId="0">
      <text>
        <r>
          <rPr>
            <b/>
          </rPr>
          <t xml:space="preserve">EDGAR Mapper:
</t>
        </r>
        <r>
          <t>Retained Earnings maps directly to Retained Earnings Accumulated Deficit.</t>
        </r>
      </text>
    </comment>
    <comment ref="H148" authorId="0">
      <text>
        <r>
          <rPr>
            <b/>
          </rPr>
          <t xml:space="preserve">EDGAR Mapper:
</t>
        </r>
        <r>
          <t>Retained Earnings maps directly to Retained Earnings Accumulated Deficit.</t>
        </r>
      </text>
    </comment>
    <comment ref="I148" authorId="0">
      <text>
        <r>
          <rPr>
            <b/>
          </rPr>
          <t xml:space="preserve">EDGAR Mapper:
</t>
        </r>
        <r>
          <t>Retained Earnings maps directly to Retained Earnings Accumulated Deficit.</t>
        </r>
      </text>
    </comment>
    <comment ref="J148" authorId="0">
      <text>
        <r>
          <t/>
        </r>
      </text>
    </comment>
    <comment ref="K148" authorId="0">
      <text>
        <r>
          <rPr>
            <b/>
          </rPr>
          <t xml:space="preserve">EDGAR Mapper:
</t>
        </r>
        <r>
          <t>Retained Earnings maps directly to Retained Earnings Accumulated Deficit.</t>
        </r>
      </text>
    </comment>
    <comment ref="L148" authorId="0">
      <text>
        <r>
          <rPr>
            <b/>
          </rPr>
          <t xml:space="preserve">EDGAR Mapper:
</t>
        </r>
        <r>
          <t>Retained Earnings maps directly to Retained Earnings Accumulated Deficit.</t>
        </r>
      </text>
    </comment>
    <comment ref="M148" authorId="0">
      <text>
        <r>
          <rPr>
            <b/>
          </rPr>
          <t xml:space="preserve">EDGAR Mapper:
</t>
        </r>
        <r>
          <t>Retained Earnings maps directly to Retained Earnings Accumulated Deficit.</t>
        </r>
      </text>
    </comment>
    <comment ref="N148" authorId="0">
      <text>
        <r>
          <rPr>
            <b/>
          </rPr>
          <t xml:space="preserve">EDGAR Mapper:
</t>
        </r>
        <r>
          <t>Retained Earnings maps directly to Retained Earnings Accumulated Deficit.</t>
        </r>
      </text>
    </comment>
    <comment ref="O148" authorId="0">
      <text>
        <r>
          <t/>
        </r>
      </text>
    </comment>
    <comment ref="P148" authorId="0">
      <text>
        <r>
          <rPr>
            <b/>
          </rPr>
          <t xml:space="preserve">EDGAR Mapper:
</t>
        </r>
        <r>
          <t>Retained Earnings maps directly to Retained Earnings Accumulated Deficit.</t>
        </r>
      </text>
    </comment>
    <comment ref="Q148" authorId="0">
      <text>
        <r>
          <rPr>
            <b/>
          </rPr>
          <t xml:space="preserve">EDGAR Mapper:
</t>
        </r>
        <r>
          <t>Retained Earnings maps directly to Retained Earnings Accumulated Deficit.</t>
        </r>
      </text>
    </comment>
    <comment ref="R148" authorId="0">
      <text>
        <r>
          <rPr>
            <b/>
          </rPr>
          <t xml:space="preserve">EDGAR Mapper:
</t>
        </r>
        <r>
          <t>Retained Earnings maps directly to Retained Earnings Accumulated Deficit.</t>
        </r>
      </text>
    </comment>
    <comment ref="S148" authorId="0">
      <text>
        <r>
          <rPr>
            <b/>
          </rPr>
          <t xml:space="preserve">EDGAR Mapper:
</t>
        </r>
        <r>
          <t>Retained Earnings maps directly to Retained Earnings Accumulated Deficit.</t>
        </r>
      </text>
    </comment>
    <comment ref="T148" authorId="0">
      <text>
        <r>
          <t/>
        </r>
      </text>
    </comment>
    <comment ref="U148" authorId="0">
      <text>
        <r>
          <rPr>
            <b/>
          </rPr>
          <t xml:space="preserve">EDGAR Mapper:
</t>
        </r>
        <r>
          <t>Retained Earnings maps directly to Retained Earnings Accumulated Deficit.</t>
        </r>
      </text>
    </comment>
    <comment ref="Z148" authorId="0">
      <text/>
    </comment>
    <comment ref="AE148" authorId="0">
      <text/>
    </comment>
    <comment ref="C149" authorId="0">
      <text>
        <r>
          <rPr>
            <b/>
          </rPr>
          <t xml:space="preserve">EDGAR Mapper:
</t>
        </r>
        <r>
          <t>Treasury Stock includes Treasury Stock Value.</t>
        </r>
      </text>
    </comment>
    <comment ref="F149" authorId="0">
      <text>
        <r>
          <rPr>
            <b/>
          </rPr>
          <t xml:space="preserve">EDGAR Mapper:
</t>
        </r>
        <r>
          <t>Treasury Stock maps directly to Treasury Stock Value.</t>
        </r>
      </text>
    </comment>
    <comment ref="G149" authorId="0">
      <text>
        <r>
          <rPr>
            <b/>
          </rPr>
          <t xml:space="preserve">EDGAR Mapper:
</t>
        </r>
        <r>
          <t>Treasury Stock maps directly to Treasury Stock Value.</t>
        </r>
      </text>
    </comment>
    <comment ref="H149" authorId="0">
      <text>
        <r>
          <rPr>
            <b/>
          </rPr>
          <t xml:space="preserve">EDGAR Mapper:
</t>
        </r>
        <r>
          <t>Treasury Stock maps directly to Treasury Stock Value.</t>
        </r>
      </text>
    </comment>
    <comment ref="I149" authorId="0">
      <text>
        <r>
          <rPr>
            <b/>
          </rPr>
          <t xml:space="preserve">EDGAR Mapper:
</t>
        </r>
        <r>
          <t>Treasury Stock maps directly to Treasury Stock Value.</t>
        </r>
      </text>
    </comment>
    <comment ref="J149" authorId="0">
      <text>
        <r>
          <t/>
        </r>
      </text>
    </comment>
    <comment ref="K149" authorId="0">
      <text>
        <r>
          <rPr>
            <b/>
          </rPr>
          <t xml:space="preserve">EDGAR Mapper:
</t>
        </r>
        <r>
          <t>Treasury Stock maps directly to Treasury Stock Value.</t>
        </r>
      </text>
    </comment>
    <comment ref="L149" authorId="0">
      <text>
        <r>
          <rPr>
            <b/>
          </rPr>
          <t xml:space="preserve">EDGAR Mapper:
</t>
        </r>
        <r>
          <t>Treasury Stock maps directly to Treasury Stock Value.</t>
        </r>
      </text>
    </comment>
    <comment ref="M149" authorId="0">
      <text>
        <r>
          <rPr>
            <b/>
          </rPr>
          <t xml:space="preserve">EDGAR Mapper:
</t>
        </r>
        <r>
          <t>Treasury Stock maps directly to Treasury Stock Value.</t>
        </r>
      </text>
    </comment>
    <comment ref="N149" authorId="0">
      <text>
        <r>
          <rPr>
            <b/>
          </rPr>
          <t xml:space="preserve">EDGAR Mapper:
</t>
        </r>
        <r>
          <t>Treasury Stock maps directly to Treasury Stock Value.</t>
        </r>
      </text>
    </comment>
    <comment ref="O149" authorId="0">
      <text>
        <r>
          <t/>
        </r>
      </text>
    </comment>
    <comment ref="P149" authorId="0">
      <text>
        <r>
          <rPr>
            <b/>
          </rPr>
          <t xml:space="preserve">EDGAR Mapper:
</t>
        </r>
        <r>
          <t>Treasury Stock maps directly to Treasury Stock Value.</t>
        </r>
      </text>
    </comment>
    <comment ref="Q149" authorId="0">
      <text>
        <r>
          <rPr>
            <b/>
          </rPr>
          <t xml:space="preserve">EDGAR Mapper:
</t>
        </r>
        <r>
          <t>Treasury Stock maps directly to Treasury Stock Value.</t>
        </r>
      </text>
    </comment>
    <comment ref="R149" authorId="0">
      <text>
        <r>
          <rPr>
            <b/>
          </rPr>
          <t xml:space="preserve">EDGAR Mapper:
</t>
        </r>
        <r>
          <t>Treasury Stock maps directly to Treasury Stock Value.</t>
        </r>
      </text>
    </comment>
    <comment ref="S149" authorId="0">
      <text>
        <r>
          <rPr>
            <b/>
          </rPr>
          <t xml:space="preserve">EDGAR Mapper:
</t>
        </r>
        <r>
          <t>Treasury Stock maps directly to Treasury Stock Value.</t>
        </r>
      </text>
    </comment>
    <comment ref="T149" authorId="0">
      <text>
        <r>
          <t/>
        </r>
      </text>
    </comment>
    <comment ref="U149" authorId="0">
      <text>
        <r>
          <rPr>
            <b/>
          </rPr>
          <t xml:space="preserve">EDGAR Mapper:
</t>
        </r>
        <r>
          <t>Treasury Stock maps directly to Treasury Stock Value.</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Accumulated Other Comprehensive Income (AOCI) maps directly to Accumulated Other Comprehensive income loss net of Tax.</t>
        </r>
      </text>
    </comment>
    <comment ref="G150" authorId="0">
      <text>
        <r>
          <rPr>
            <b/>
          </rPr>
          <t xml:space="preserve">EDGAR Mapper:
</t>
        </r>
        <r>
          <t>Accumulated Other Comprehensive Income (AOCI) maps directly to Accumulated Other Comprehensive income loss net of Tax.</t>
        </r>
      </text>
    </comment>
    <comment ref="H150" authorId="0">
      <text>
        <r>
          <rPr>
            <b/>
          </rPr>
          <t xml:space="preserve">EDGAR Mapper:
</t>
        </r>
        <r>
          <t>Accumulated Other Comprehensive Income (AOCI) maps directly to Accumulated Other Comprehensive income loss net of Tax.</t>
        </r>
      </text>
    </comment>
    <comment ref="I150" authorId="0">
      <text>
        <r>
          <rPr>
            <b/>
          </rPr>
          <t xml:space="preserve">EDGAR Mapper:
</t>
        </r>
        <r>
          <t>Accumulated Other Comprehensive Income (AOCI) maps directly to Accumulated Other Comprehensive income loss net of Tax.</t>
        </r>
      </text>
    </comment>
    <comment ref="J150" authorId="0">
      <text>
        <r>
          <t/>
        </r>
      </text>
    </comment>
    <comment ref="K150" authorId="0">
      <text>
        <r>
          <rPr>
            <b/>
          </rPr>
          <t xml:space="preserve">EDGAR Mapper:
</t>
        </r>
        <r>
          <t>Accumulated Other Comprehensive Income (AOCI) maps directly to Accumulated Other Comprehensive income loss net of Tax.</t>
        </r>
      </text>
    </comment>
    <comment ref="L150" authorId="0">
      <text>
        <r>
          <rPr>
            <b/>
          </rPr>
          <t xml:space="preserve">EDGAR Mapper:
</t>
        </r>
        <r>
          <t>Accumulated Other Comprehensive Income (AOCI) maps directly to Accumulated Other Comprehensive income loss net of Tax.</t>
        </r>
      </text>
    </comment>
    <comment ref="M150" authorId="0">
      <text>
        <r>
          <rPr>
            <b/>
          </rPr>
          <t xml:space="preserve">EDGAR Mapper:
</t>
        </r>
        <r>
          <t>Accumulated Other Comprehensive Income (AOCI) maps directly to Accumulated Other Comprehensive income loss net of Tax.</t>
        </r>
      </text>
    </comment>
    <comment ref="N150" authorId="0">
      <text>
        <r>
          <rPr>
            <b/>
          </rPr>
          <t xml:space="preserve">EDGAR Mapper:
</t>
        </r>
        <r>
          <t>Accumulated Other Comprehensive Income (AOCI) maps directly to Accumulated Other Comprehensive income loss net of Tax.</t>
        </r>
      </text>
    </comment>
    <comment ref="O150" authorId="0">
      <text>
        <r>
          <t/>
        </r>
      </text>
    </comment>
    <comment ref="P150" authorId="0">
      <text>
        <r>
          <rPr>
            <b/>
          </rPr>
          <t xml:space="preserve">EDGAR Mapper:
</t>
        </r>
        <r>
          <t>Accumulated Other Comprehensive Income (AOCI) maps directly to Accumulated Other Comprehensive income loss net of Tax.</t>
        </r>
      </text>
    </comment>
    <comment ref="Q150" authorId="0">
      <text>
        <r>
          <rPr>
            <b/>
          </rPr>
          <t xml:space="preserve">EDGAR Mapper:
</t>
        </r>
        <r>
          <t>Accumulated Other Comprehensive Income (AOCI) maps directly to Accumulated Other Comprehensive income loss net of Tax.</t>
        </r>
      </text>
    </comment>
    <comment ref="R150" authorId="0">
      <text>
        <r>
          <rPr>
            <b/>
          </rPr>
          <t xml:space="preserve">EDGAR Mapper:
</t>
        </r>
        <r>
          <t>Accumulated Other Comprehensive Income (AOCI) maps directly to Accumulated Other Comprehensive income loss net of Tax.</t>
        </r>
      </text>
    </comment>
    <comment ref="S150" authorId="0">
      <text>
        <r>
          <rPr>
            <b/>
          </rPr>
          <t xml:space="preserve">EDGAR Mapper:
</t>
        </r>
        <r>
          <t>Accumulated Other Comprehensive Income (AOCI) maps directly to Accumulated Other Comprehensive income loss net of Tax.</t>
        </r>
      </text>
    </comment>
    <comment ref="T150" authorId="0">
      <text>
        <r>
          <t/>
        </r>
      </text>
    </comment>
    <comment ref="U150" authorId="0">
      <text>
        <r>
          <rPr>
            <b/>
          </rPr>
          <t xml:space="preserve">EDGAR Mapper:
</t>
        </r>
        <r>
          <t>Accumulated Other Comprehensive Income (AOCI) maps directly to Accumulated Other Comprehensive income loss net of Tax.</t>
        </r>
      </text>
    </comment>
    <comment ref="F151" authorId="0">
      <text>
        <r>
          <t/>
        </r>
      </text>
    </comment>
    <comment ref="G151" authorId="0">
      <text>
        <r>
          <t/>
        </r>
      </text>
    </comment>
    <comment ref="H151" authorId="0">
      <text>
        <r>
          <t/>
        </r>
      </text>
    </comment>
    <comment ref="I151" authorId="0">
      <text>
        <r>
          <t/>
        </r>
      </text>
    </comment>
    <comment ref="J151" authorId="0">
      <text>
        <r>
          <t/>
        </r>
      </text>
    </comment>
    <comment ref="K151" authorId="0">
      <text>
        <r>
          <t/>
        </r>
      </text>
    </comment>
    <comment ref="L151" authorId="0">
      <text>
        <r>
          <t/>
        </r>
      </text>
    </comment>
    <comment ref="M151" authorId="0">
      <text>
        <r>
          <t/>
        </r>
      </text>
    </comment>
    <comment ref="N151" authorId="0">
      <text>
        <r>
          <t/>
        </r>
      </text>
    </comment>
    <comment ref="O151" authorId="0">
      <text>
        <r>
          <t/>
        </r>
      </text>
    </comment>
    <comment ref="P151" authorId="0">
      <text>
        <r>
          <t/>
        </r>
      </text>
    </comment>
    <comment ref="Q151" authorId="0">
      <text>
        <r>
          <t/>
        </r>
      </text>
    </comment>
    <comment ref="R151" authorId="0">
      <text>
        <r>
          <t/>
        </r>
      </text>
    </comment>
    <comment ref="S151" authorId="0">
      <text>
        <r>
          <t/>
        </r>
      </text>
    </comment>
    <comment ref="T151" authorId="0">
      <text>
        <r>
          <t/>
        </r>
      </text>
    </comment>
    <comment ref="U151" authorId="0">
      <text>
        <r>
          <t/>
        </r>
      </text>
    </comment>
    <comment ref="Z151" authorId="0">
      <text/>
    </comment>
    <comment ref="AE151" authorId="0">
      <text/>
    </comment>
    <comment ref="F153" authorId="0">
      <text>
        <r>
          <rPr>
            <b/>
          </rPr>
          <t xml:space="preserve">EDGAR Mapper:
</t>
        </r>
        <r>
          <t>Noncontrolling Interests maps directly to Stockholders' Equity Attributable to Noncontrolling Interest.</t>
        </r>
      </text>
    </comment>
    <comment ref="G153" authorId="0">
      <text>
        <r>
          <rPr>
            <b/>
          </rPr>
          <t xml:space="preserve">EDGAR Mapper:
</t>
        </r>
        <r>
          <t>Noncontrolling Interests maps directly to Stockholders' Equity Attributable to Noncontrolling Interest.</t>
        </r>
      </text>
    </comment>
    <comment ref="H153" authorId="0">
      <text>
        <r>
          <rPr>
            <b/>
          </rPr>
          <t xml:space="preserve">EDGAR Mapper:
</t>
        </r>
        <r>
          <t>Noncontrolling Interests maps directly to Stockholders' Equity Attributable to Noncontrolling Interest.</t>
        </r>
      </text>
    </comment>
    <comment ref="I153" authorId="0">
      <text>
        <r>
          <rPr>
            <b/>
          </rPr>
          <t xml:space="preserve">EDGAR Mapper:
</t>
        </r>
        <r>
          <t>Noncontrolling Interests maps directly to Stockholders' Equity Attributable to Noncontrolling Interest.</t>
        </r>
      </text>
    </comment>
    <comment ref="J153" authorId="0">
      <text>
        <r>
          <t/>
        </r>
      </text>
    </comment>
    <comment ref="K153" authorId="0">
      <text>
        <r>
          <rPr>
            <b/>
          </rPr>
          <t xml:space="preserve">EDGAR Mapper:
</t>
        </r>
        <r>
          <t>Noncontrolling Interests maps directly to Stockholders' Equity Attributable to Noncontrolling Interest.</t>
        </r>
      </text>
    </comment>
    <comment ref="L153" authorId="0">
      <text>
        <r>
          <rPr>
            <b/>
          </rPr>
          <t xml:space="preserve">EDGAR Mapper:
</t>
        </r>
        <r>
          <t>Noncontrolling Interests maps directly to Stockholders' Equity Attributable to Noncontrolling Interest.</t>
        </r>
      </text>
    </comment>
    <comment ref="M153" authorId="0">
      <text>
        <r>
          <rPr>
            <b/>
          </rPr>
          <t xml:space="preserve">EDGAR Mapper:
</t>
        </r>
        <r>
          <t>Noncontrolling Interests maps directly to Stockholders' Equity Attributable to Noncontrolling Interest.</t>
        </r>
      </text>
    </comment>
    <comment ref="N153" authorId="0">
      <text>
        <r>
          <rPr>
            <b/>
          </rPr>
          <t xml:space="preserve">EDGAR Mapper:
</t>
        </r>
        <r>
          <t>Noncontrolling Interests maps directly to Stockholders' Equity Attributable to Noncontrolling Interest.</t>
        </r>
      </text>
    </comment>
    <comment ref="O153" authorId="0">
      <text>
        <r>
          <t/>
        </r>
      </text>
    </comment>
    <comment ref="P153" authorId="0">
      <text>
        <r>
          <rPr>
            <b/>
          </rPr>
          <t xml:space="preserve">EDGAR Mapper:
</t>
        </r>
        <r>
          <t>Noncontrolling Interests maps directly to Stockholders' Equity Attributable to Noncontrolling Interest.</t>
        </r>
      </text>
    </comment>
    <comment ref="Q153" authorId="0">
      <text>
        <r>
          <rPr>
            <b/>
          </rPr>
          <t xml:space="preserve">EDGAR Mapper:
</t>
        </r>
        <r>
          <t>Noncontrolling Interests maps directly to Stockholders' Equity Attributable to Noncontrolling Interest.</t>
        </r>
      </text>
    </comment>
    <comment ref="R153" authorId="0">
      <text>
        <r>
          <rPr>
            <b/>
          </rPr>
          <t xml:space="preserve">EDGAR Mapper:
</t>
        </r>
        <r>
          <t>Noncontrolling Interests maps directly to Stockholders' Equity Attributable to Noncontrolling Interest.</t>
        </r>
      </text>
    </comment>
    <comment ref="S153" authorId="0">
      <text>
        <r>
          <rPr>
            <b/>
          </rPr>
          <t xml:space="preserve">EDGAR Mapper:
</t>
        </r>
        <r>
          <t>Noncontrolling Interests maps directly to Stockholders' Equity Attributable to Noncontrolling Interest.</t>
        </r>
      </text>
    </comment>
    <comment ref="T153" authorId="0">
      <text>
        <r>
          <t/>
        </r>
      </text>
    </comment>
    <comment ref="U153" authorId="0">
      <text>
        <r>
          <rPr>
            <b/>
          </rPr>
          <t xml:space="preserve">EDGAR Mapper:
</t>
        </r>
        <r>
          <t>Noncontrolling Interests maps directly to Stockholders' Equity Attributable to Noncontrolling Interest.</t>
        </r>
      </text>
    </comment>
    <comment ref="F154" authorId="0">
      <text>
        <r>
          <t/>
        </r>
      </text>
    </comment>
    <comment ref="G154" authorId="0">
      <text>
        <r>
          <t/>
        </r>
      </text>
    </comment>
    <comment ref="H154" authorId="0">
      <text>
        <r>
          <t/>
        </r>
      </text>
    </comment>
    <comment ref="I154" authorId="0">
      <text>
        <r>
          <t/>
        </r>
      </text>
    </comment>
    <comment ref="J154" authorId="0">
      <text>
        <r>
          <t/>
        </r>
      </text>
    </comment>
    <comment ref="K154" authorId="0">
      <text>
        <r>
          <t/>
        </r>
      </text>
    </comment>
    <comment ref="L154" authorId="0">
      <text>
        <r>
          <t/>
        </r>
      </text>
    </comment>
    <comment ref="M154" authorId="0">
      <text>
        <r>
          <t/>
        </r>
      </text>
    </comment>
    <comment ref="N154" authorId="0">
      <text>
        <r>
          <t/>
        </r>
      </text>
    </comment>
    <comment ref="O154" authorId="0">
      <text>
        <r>
          <t/>
        </r>
      </text>
    </comment>
    <comment ref="P154" authorId="0">
      <text>
        <r>
          <t/>
        </r>
      </text>
    </comment>
    <comment ref="Q154" authorId="0">
      <text>
        <r>
          <t/>
        </r>
      </text>
    </comment>
    <comment ref="R154" authorId="0">
      <text>
        <r>
          <t/>
        </r>
      </text>
    </comment>
    <comment ref="S154" authorId="0">
      <text>
        <r>
          <t/>
        </r>
      </text>
    </comment>
    <comment ref="T154" authorId="0">
      <text>
        <r>
          <t/>
        </r>
      </text>
    </comment>
    <comment ref="U154" authorId="0">
      <text>
        <r>
          <t/>
        </r>
      </text>
    </comment>
    <comment ref="Z154" authorId="0">
      <text/>
    </comment>
    <comment ref="AE154" authorId="0">
      <text/>
    </comment>
    <comment ref="F156" authorId="0">
      <text>
        <r>
          <t/>
        </r>
      </text>
    </comment>
    <comment ref="G156" authorId="0">
      <text>
        <r>
          <t/>
        </r>
      </text>
    </comment>
    <comment ref="H156" authorId="0">
      <text>
        <r>
          <t/>
        </r>
      </text>
    </comment>
    <comment ref="I156" authorId="0">
      <text>
        <r>
          <t/>
        </r>
      </text>
    </comment>
    <comment ref="J156" authorId="0">
      <text>
        <r>
          <t/>
        </r>
      </text>
    </comment>
    <comment ref="K156" authorId="0">
      <text>
        <r>
          <t/>
        </r>
      </text>
    </comment>
    <comment ref="L156" authorId="0">
      <text>
        <r>
          <t/>
        </r>
      </text>
    </comment>
    <comment ref="M156" authorId="0">
      <text>
        <r>
          <t/>
        </r>
      </text>
    </comment>
    <comment ref="N156" authorId="0">
      <text>
        <r>
          <t/>
        </r>
      </text>
    </comment>
    <comment ref="O156" authorId="0">
      <text>
        <r>
          <t/>
        </r>
      </text>
    </comment>
    <comment ref="P156" authorId="0">
      <text>
        <r>
          <t/>
        </r>
      </text>
    </comment>
    <comment ref="Q156" authorId="0">
      <text>
        <r>
          <t/>
        </r>
      </text>
    </comment>
    <comment ref="R156" authorId="0">
      <text>
        <r>
          <t/>
        </r>
      </text>
    </comment>
    <comment ref="S156" authorId="0">
      <text>
        <r>
          <t/>
        </r>
      </text>
    </comment>
    <comment ref="T156" authorId="0">
      <text>
        <r>
          <t/>
        </r>
      </text>
    </comment>
    <comment ref="U156" authorId="0">
      <text>
        <r>
          <t/>
        </r>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F158" authorId="0">
      <text>
        <r>
          <t/>
        </r>
      </text>
    </comment>
    <comment ref="G158" authorId="0">
      <text>
        <r>
          <t/>
        </r>
      </text>
    </comment>
    <comment ref="H158" authorId="0">
      <text>
        <r>
          <t/>
        </r>
      </text>
    </comment>
    <comment ref="I158" authorId="0">
      <text>
        <r>
          <t/>
        </r>
      </text>
    </comment>
    <comment ref="J158" authorId="0">
      <text>
        <r>
          <t/>
        </r>
      </text>
    </comment>
    <comment ref="K158" authorId="0">
      <text>
        <r>
          <t/>
        </r>
      </text>
    </comment>
    <comment ref="L158" authorId="0">
      <text>
        <r>
          <t/>
        </r>
      </text>
    </comment>
    <comment ref="M158" authorId="0">
      <text>
        <r>
          <t/>
        </r>
      </text>
    </comment>
    <comment ref="N158" authorId="0">
      <text>
        <r>
          <t/>
        </r>
      </text>
    </comment>
    <comment ref="O158" authorId="0">
      <text>
        <r>
          <t/>
        </r>
      </text>
    </comment>
    <comment ref="P158" authorId="0">
      <text>
        <r>
          <t/>
        </r>
      </text>
    </comment>
    <comment ref="Q158" authorId="0">
      <text>
        <r>
          <t/>
        </r>
      </text>
    </comment>
    <comment ref="R158" authorId="0">
      <text>
        <r>
          <t/>
        </r>
      </text>
    </comment>
    <comment ref="S158" authorId="0">
      <text>
        <r>
          <t/>
        </r>
      </text>
    </comment>
    <comment ref="T158" authorId="0">
      <text>
        <r>
          <t/>
        </r>
      </text>
    </comment>
    <comment ref="U158" authorId="0">
      <text>
        <r>
          <t/>
        </r>
      </text>
    </comment>
    <comment ref="F160" authorId="0">
      <text>
        <r>
          <t/>
        </r>
      </text>
    </comment>
    <comment ref="G160" authorId="0">
      <text>
        <r>
          <t/>
        </r>
      </text>
    </comment>
    <comment ref="H160" authorId="0">
      <text>
        <r>
          <t/>
        </r>
      </text>
    </comment>
    <comment ref="I160" authorId="0">
      <text>
        <r>
          <t/>
        </r>
      </text>
    </comment>
    <comment ref="J160" authorId="0">
      <text>
        <r>
          <t/>
        </r>
      </text>
    </comment>
    <comment ref="K160" authorId="0">
      <text>
        <r>
          <t/>
        </r>
      </text>
    </comment>
    <comment ref="L160" authorId="0">
      <text>
        <r>
          <t/>
        </r>
      </text>
    </comment>
    <comment ref="M160" authorId="0">
      <text>
        <r>
          <t/>
        </r>
      </text>
    </comment>
    <comment ref="N160" authorId="0">
      <text>
        <r>
          <t/>
        </r>
      </text>
    </comment>
    <comment ref="O160" authorId="0">
      <text>
        <r>
          <t/>
        </r>
      </text>
    </comment>
    <comment ref="P160" authorId="0">
      <text>
        <r>
          <t/>
        </r>
      </text>
    </comment>
    <comment ref="Q160" authorId="0">
      <text>
        <r>
          <t/>
        </r>
      </text>
    </comment>
    <comment ref="R160" authorId="0">
      <text>
        <r>
          <t/>
        </r>
      </text>
    </comment>
    <comment ref="S160" authorId="0">
      <text>
        <r>
          <t/>
        </r>
      </text>
    </comment>
    <comment ref="T160" authorId="0">
      <text>
        <r>
          <t/>
        </r>
      </text>
    </comment>
    <comment ref="U160" authorId="0">
      <text>
        <r>
          <t/>
        </r>
      </text>
    </comment>
    <comment ref="F162" authorId="0">
      <text>
        <r>
          <t/>
        </r>
      </text>
    </comment>
    <comment ref="G162" authorId="0">
      <text>
        <r>
          <t/>
        </r>
      </text>
    </comment>
    <comment ref="H162" authorId="0">
      <text>
        <r>
          <t/>
        </r>
      </text>
    </comment>
    <comment ref="I162" authorId="0">
      <text>
        <r>
          <t/>
        </r>
      </text>
    </comment>
    <comment ref="J162" authorId="0">
      <text>
        <r>
          <t/>
        </r>
      </text>
    </comment>
    <comment ref="K162" authorId="0">
      <text>
        <r>
          <t/>
        </r>
      </text>
    </comment>
    <comment ref="L162" authorId="0">
      <text>
        <r>
          <t/>
        </r>
      </text>
    </comment>
    <comment ref="M162" authorId="0">
      <text>
        <r>
          <t/>
        </r>
      </text>
    </comment>
    <comment ref="N162" authorId="0">
      <text>
        <r>
          <t/>
        </r>
      </text>
    </comment>
    <comment ref="O162" authorId="0">
      <text>
        <r>
          <t/>
        </r>
      </text>
    </comment>
    <comment ref="P162" authorId="0">
      <text>
        <r>
          <t/>
        </r>
      </text>
    </comment>
    <comment ref="Q162" authorId="0">
      <text>
        <r>
          <t/>
        </r>
      </text>
    </comment>
    <comment ref="R162" authorId="0">
      <text>
        <r>
          <t/>
        </r>
      </text>
    </comment>
    <comment ref="S162" authorId="0">
      <text>
        <r>
          <t/>
        </r>
      </text>
    </comment>
    <comment ref="T162" authorId="0">
      <text>
        <r>
          <t/>
        </r>
      </text>
    </comment>
    <comment ref="U162" authorId="0">
      <text>
        <r>
          <t/>
        </r>
      </text>
    </comment>
    <comment ref="F163" authorId="0">
      <text>
        <r>
          <t/>
        </r>
      </text>
    </comment>
    <comment ref="G163" authorId="0">
      <text>
        <r>
          <t/>
        </r>
      </text>
    </comment>
    <comment ref="H163" authorId="0">
      <text>
        <r>
          <t/>
        </r>
      </text>
    </comment>
    <comment ref="I163" authorId="0">
      <text>
        <r>
          <t/>
        </r>
      </text>
    </comment>
    <comment ref="J163" authorId="0">
      <text>
        <r>
          <t/>
        </r>
      </text>
    </comment>
    <comment ref="K163" authorId="0">
      <text>
        <r>
          <t/>
        </r>
      </text>
    </comment>
    <comment ref="L163" authorId="0">
      <text>
        <r>
          <t/>
        </r>
      </text>
    </comment>
    <comment ref="M163" authorId="0">
      <text>
        <r>
          <t/>
        </r>
      </text>
    </comment>
    <comment ref="N163" authorId="0">
      <text>
        <r>
          <t/>
        </r>
      </text>
    </comment>
    <comment ref="O163" authorId="0">
      <text>
        <r>
          <t/>
        </r>
      </text>
    </comment>
    <comment ref="P163" authorId="0">
      <text>
        <r>
          <t/>
        </r>
      </text>
    </comment>
    <comment ref="Q163" authorId="0">
      <text>
        <r>
          <t/>
        </r>
      </text>
    </comment>
    <comment ref="R163" authorId="0">
      <text>
        <r>
          <t/>
        </r>
      </text>
    </comment>
    <comment ref="S163" authorId="0">
      <text>
        <r>
          <t/>
        </r>
      </text>
    </comment>
    <comment ref="T163" authorId="0">
      <text>
        <r>
          <t/>
        </r>
      </text>
    </comment>
    <comment ref="U163" authorId="0">
      <text>
        <r>
          <t/>
        </r>
      </text>
    </comment>
    <comment ref="F164" authorId="0">
      <text>
        <r>
          <t/>
        </r>
      </text>
    </comment>
    <comment ref="G164" authorId="0">
      <text>
        <r>
          <t/>
        </r>
      </text>
    </comment>
    <comment ref="H164" authorId="0">
      <text>
        <r>
          <t/>
        </r>
      </text>
    </comment>
    <comment ref="I164" authorId="0">
      <text>
        <r>
          <t/>
        </r>
      </text>
    </comment>
    <comment ref="J164" authorId="0">
      <text>
        <r>
          <t/>
        </r>
      </text>
    </comment>
    <comment ref="K164" authorId="0">
      <text>
        <r>
          <t/>
        </r>
      </text>
    </comment>
    <comment ref="L164" authorId="0">
      <text>
        <r>
          <t/>
        </r>
      </text>
    </comment>
    <comment ref="M164" authorId="0">
      <text>
        <r>
          <t/>
        </r>
      </text>
    </comment>
    <comment ref="N164" authorId="0">
      <text>
        <r>
          <t/>
        </r>
      </text>
    </comment>
    <comment ref="O164" authorId="0">
      <text>
        <r>
          <t/>
        </r>
      </text>
    </comment>
    <comment ref="P164" authorId="0">
      <text>
        <r>
          <t/>
        </r>
      </text>
    </comment>
    <comment ref="Q164" authorId="0">
      <text>
        <r>
          <t/>
        </r>
      </text>
    </comment>
    <comment ref="R164" authorId="0">
      <text>
        <r>
          <t/>
        </r>
      </text>
    </comment>
    <comment ref="S164" authorId="0">
      <text>
        <r>
          <t/>
        </r>
      </text>
    </comment>
    <comment ref="T164" authorId="0">
      <text>
        <r>
          <t/>
        </r>
      </text>
    </comment>
    <comment ref="U164" authorId="0">
      <text>
        <r>
          <t/>
        </r>
      </text>
    </comment>
    <comment ref="F165" authorId="0">
      <text>
        <r>
          <t/>
        </r>
      </text>
    </comment>
    <comment ref="G165" authorId="0">
      <text>
        <r>
          <t/>
        </r>
      </text>
    </comment>
    <comment ref="H165" authorId="0">
      <text>
        <r>
          <t/>
        </r>
      </text>
    </comment>
    <comment ref="I165" authorId="0">
      <text>
        <r>
          <t/>
        </r>
      </text>
    </comment>
    <comment ref="J165" authorId="0">
      <text>
        <r>
          <t/>
        </r>
      </text>
    </comment>
    <comment ref="K165" authorId="0">
      <text>
        <r>
          <t/>
        </r>
      </text>
    </comment>
    <comment ref="L165" authorId="0">
      <text>
        <r>
          <t/>
        </r>
      </text>
    </comment>
    <comment ref="M165" authorId="0">
      <text>
        <r>
          <t/>
        </r>
      </text>
    </comment>
    <comment ref="N165" authorId="0">
      <text>
        <r>
          <t/>
        </r>
      </text>
    </comment>
    <comment ref="O165" authorId="0">
      <text>
        <r>
          <t/>
        </r>
      </text>
    </comment>
    <comment ref="P165" authorId="0">
      <text>
        <r>
          <t/>
        </r>
      </text>
    </comment>
    <comment ref="Q165" authorId="0">
      <text>
        <r>
          <t/>
        </r>
      </text>
    </comment>
    <comment ref="R165" authorId="0">
      <text>
        <r>
          <t/>
        </r>
      </text>
    </comment>
    <comment ref="S165" authorId="0">
      <text>
        <r>
          <t/>
        </r>
      </text>
    </comment>
    <comment ref="T165" authorId="0">
      <text>
        <r>
          <t/>
        </r>
      </text>
    </comment>
    <comment ref="U165" authorId="0">
      <text>
        <r>
          <t/>
        </r>
      </text>
    </comment>
    <comment ref="F167" authorId="0">
      <text>
        <r>
          <t/>
        </r>
      </text>
    </comment>
    <comment ref="G167" authorId="0">
      <text>
        <r>
          <t/>
        </r>
      </text>
    </comment>
    <comment ref="H167" authorId="0">
      <text>
        <r>
          <t/>
        </r>
      </text>
    </comment>
    <comment ref="I167" authorId="0">
      <text>
        <r>
          <t/>
        </r>
      </text>
    </comment>
    <comment ref="J167" authorId="0">
      <text>
        <r>
          <t/>
        </r>
      </text>
    </comment>
    <comment ref="K167" authorId="0">
      <text>
        <r>
          <t/>
        </r>
      </text>
    </comment>
    <comment ref="L167" authorId="0">
      <text>
        <r>
          <t/>
        </r>
      </text>
    </comment>
    <comment ref="M167" authorId="0">
      <text>
        <r>
          <t/>
        </r>
      </text>
    </comment>
    <comment ref="N167" authorId="0">
      <text>
        <r>
          <t/>
        </r>
      </text>
    </comment>
    <comment ref="O167" authorId="0">
      <text>
        <r>
          <t/>
        </r>
      </text>
    </comment>
    <comment ref="P167" authorId="0">
      <text>
        <r>
          <t/>
        </r>
      </text>
    </comment>
    <comment ref="Q167" authorId="0">
      <text>
        <r>
          <t/>
        </r>
      </text>
    </comment>
    <comment ref="R167" authorId="0">
      <text>
        <r>
          <t/>
        </r>
      </text>
    </comment>
    <comment ref="S167" authorId="0">
      <text>
        <r>
          <t/>
        </r>
      </text>
    </comment>
    <comment ref="T167" authorId="0">
      <text>
        <r>
          <t/>
        </r>
      </text>
    </comment>
    <comment ref="U167" authorId="0">
      <text>
        <r>
          <t/>
        </r>
      </text>
    </comment>
    <comment ref="F168" authorId="0">
      <text>
        <r>
          <t/>
        </r>
      </text>
    </comment>
    <comment ref="G168" authorId="0">
      <text>
        <r>
          <t/>
        </r>
      </text>
    </comment>
    <comment ref="H168" authorId="0">
      <text>
        <r>
          <t/>
        </r>
      </text>
    </comment>
    <comment ref="I168" authorId="0">
      <text>
        <r>
          <t/>
        </r>
      </text>
    </comment>
    <comment ref="J168" authorId="0">
      <text>
        <r>
          <t/>
        </r>
      </text>
    </comment>
    <comment ref="K168" authorId="0">
      <text>
        <r>
          <t/>
        </r>
      </text>
    </comment>
    <comment ref="L168" authorId="0">
      <text>
        <r>
          <t/>
        </r>
      </text>
    </comment>
    <comment ref="M168" authorId="0">
      <text>
        <r>
          <t/>
        </r>
      </text>
    </comment>
    <comment ref="N168" authorId="0">
      <text>
        <r>
          <t/>
        </r>
      </text>
    </comment>
    <comment ref="O168" authorId="0">
      <text>
        <r>
          <t/>
        </r>
      </text>
    </comment>
    <comment ref="P168" authorId="0">
      <text>
        <r>
          <t/>
        </r>
      </text>
    </comment>
    <comment ref="Q168" authorId="0">
      <text>
        <r>
          <t/>
        </r>
      </text>
    </comment>
    <comment ref="R168" authorId="0">
      <text>
        <r>
          <t/>
        </r>
      </text>
    </comment>
    <comment ref="S168" authorId="0">
      <text>
        <r>
          <t/>
        </r>
      </text>
    </comment>
    <comment ref="T168" authorId="0">
      <text>
        <r>
          <t/>
        </r>
      </text>
    </comment>
    <comment ref="U168" authorId="0">
      <text>
        <r>
          <t/>
        </r>
      </text>
    </comment>
    <comment ref="F169" authorId="0">
      <text>
        <r>
          <t/>
        </r>
      </text>
    </comment>
    <comment ref="G169" authorId="0">
      <text>
        <r>
          <t/>
        </r>
      </text>
    </comment>
    <comment ref="H169" authorId="0">
      <text>
        <r>
          <t/>
        </r>
      </text>
    </comment>
    <comment ref="I169" authorId="0">
      <text>
        <r>
          <t/>
        </r>
      </text>
    </comment>
    <comment ref="J169" authorId="0">
      <text>
        <r>
          <t/>
        </r>
      </text>
    </comment>
    <comment ref="K169" authorId="0">
      <text>
        <r>
          <t/>
        </r>
      </text>
    </comment>
    <comment ref="L169" authorId="0">
      <text>
        <r>
          <t/>
        </r>
      </text>
    </comment>
    <comment ref="M169" authorId="0">
      <text>
        <r>
          <t/>
        </r>
      </text>
    </comment>
    <comment ref="N169" authorId="0">
      <text>
        <r>
          <t/>
        </r>
      </text>
    </comment>
    <comment ref="O169" authorId="0">
      <text>
        <r>
          <t/>
        </r>
      </text>
    </comment>
    <comment ref="P169" authorId="0">
      <text>
        <r>
          <t/>
        </r>
      </text>
    </comment>
    <comment ref="Q169" authorId="0">
      <text>
        <r>
          <t/>
        </r>
      </text>
    </comment>
    <comment ref="R169" authorId="0">
      <text>
        <r>
          <t/>
        </r>
      </text>
    </comment>
    <comment ref="S169" authorId="0">
      <text>
        <r>
          <t/>
        </r>
      </text>
    </comment>
    <comment ref="T169" authorId="0">
      <text>
        <r>
          <t/>
        </r>
      </text>
    </comment>
    <comment ref="U169" authorId="0">
      <text>
        <r>
          <t/>
        </r>
      </text>
    </comment>
    <comment ref="F170" authorId="0">
      <text>
        <r>
          <t/>
        </r>
      </text>
    </comment>
    <comment ref="G170" authorId="0">
      <text>
        <r>
          <t/>
        </r>
      </text>
    </comment>
    <comment ref="H170" authorId="0">
      <text>
        <r>
          <t/>
        </r>
      </text>
    </comment>
    <comment ref="I170" authorId="0">
      <text>
        <r>
          <t/>
        </r>
      </text>
    </comment>
    <comment ref="J170" authorId="0">
      <text>
        <r>
          <t/>
        </r>
      </text>
    </comment>
    <comment ref="K170" authorId="0">
      <text>
        <r>
          <t/>
        </r>
      </text>
    </comment>
    <comment ref="L170" authorId="0">
      <text>
        <r>
          <t/>
        </r>
      </text>
    </comment>
    <comment ref="M170" authorId="0">
      <text>
        <r>
          <t/>
        </r>
      </text>
    </comment>
    <comment ref="N170" authorId="0">
      <text>
        <r>
          <t/>
        </r>
      </text>
    </comment>
    <comment ref="O170" authorId="0">
      <text>
        <r>
          <t/>
        </r>
      </text>
    </comment>
    <comment ref="P170" authorId="0">
      <text>
        <r>
          <t/>
        </r>
      </text>
    </comment>
    <comment ref="Q170" authorId="0">
      <text>
        <r>
          <t/>
        </r>
      </text>
    </comment>
    <comment ref="R170" authorId="0">
      <text>
        <r>
          <t/>
        </r>
      </text>
    </comment>
    <comment ref="S170" authorId="0">
      <text>
        <r>
          <t/>
        </r>
      </text>
    </comment>
    <comment ref="T170" authorId="0">
      <text>
        <r>
          <t/>
        </r>
      </text>
    </comment>
    <comment ref="U170" authorId="0">
      <text>
        <r>
          <t/>
        </r>
      </text>
    </comment>
    <comment ref="F172" authorId="0">
      <text>
        <r>
          <t/>
        </r>
      </text>
    </comment>
    <comment ref="G172" authorId="0">
      <text>
        <r>
          <t/>
        </r>
      </text>
    </comment>
    <comment ref="H172" authorId="0">
      <text>
        <r>
          <t/>
        </r>
      </text>
    </comment>
    <comment ref="I172" authorId="0">
      <text>
        <r>
          <t/>
        </r>
      </text>
    </comment>
    <comment ref="J172" authorId="0">
      <text>
        <r>
          <t/>
        </r>
      </text>
    </comment>
    <comment ref="K172" authorId="0">
      <text>
        <r>
          <t/>
        </r>
      </text>
    </comment>
    <comment ref="L172" authorId="0">
      <text>
        <r>
          <t/>
        </r>
      </text>
    </comment>
    <comment ref="M172" authorId="0">
      <text>
        <r>
          <t/>
        </r>
      </text>
    </comment>
    <comment ref="N172" authorId="0">
      <text>
        <r>
          <t/>
        </r>
      </text>
    </comment>
    <comment ref="O172" authorId="0">
      <text>
        <r>
          <t/>
        </r>
      </text>
    </comment>
    <comment ref="P172" authorId="0">
      <text>
        <r>
          <t/>
        </r>
      </text>
    </comment>
    <comment ref="Q172" authorId="0">
      <text>
        <r>
          <t/>
        </r>
      </text>
    </comment>
    <comment ref="R172" authorId="0">
      <text>
        <r>
          <t/>
        </r>
      </text>
    </comment>
    <comment ref="S172" authorId="0">
      <text>
        <r>
          <t/>
        </r>
      </text>
    </comment>
    <comment ref="T172" authorId="0">
      <text>
        <r>
          <t/>
        </r>
      </text>
    </comment>
    <comment ref="U172" authorId="0">
      <text>
        <r>
          <t/>
        </r>
      </text>
    </comment>
    <comment ref="F174" authorId="0">
      <text>
        <r>
          <t/>
        </r>
      </text>
    </comment>
    <comment ref="G174" authorId="0">
      <text>
        <r>
          <t/>
        </r>
      </text>
    </comment>
    <comment ref="H174" authorId="0">
      <text>
        <r>
          <t/>
        </r>
      </text>
    </comment>
    <comment ref="I174" authorId="0">
      <text>
        <r>
          <t/>
        </r>
      </text>
    </comment>
    <comment ref="J174" authorId="0">
      <text>
        <r>
          <t/>
        </r>
      </text>
    </comment>
    <comment ref="K174" authorId="0">
      <text>
        <r>
          <t/>
        </r>
      </text>
    </comment>
    <comment ref="L174" authorId="0">
      <text>
        <r>
          <t/>
        </r>
      </text>
    </comment>
    <comment ref="M174" authorId="0">
      <text>
        <r>
          <t/>
        </r>
      </text>
    </comment>
    <comment ref="N174" authorId="0">
      <text>
        <r>
          <t/>
        </r>
      </text>
    </comment>
    <comment ref="O174" authorId="0">
      <text>
        <r>
          <t/>
        </r>
      </text>
    </comment>
    <comment ref="P174" authorId="0">
      <text>
        <r>
          <t/>
        </r>
      </text>
    </comment>
    <comment ref="Q174" authorId="0">
      <text>
        <r>
          <t/>
        </r>
      </text>
    </comment>
    <comment ref="R174" authorId="0">
      <text>
        <r>
          <t/>
        </r>
      </text>
    </comment>
    <comment ref="S174" authorId="0">
      <text>
        <r>
          <t/>
        </r>
      </text>
    </comment>
    <comment ref="T174" authorId="0">
      <text>
        <r>
          <t/>
        </r>
      </text>
    </comment>
    <comment ref="U174" authorId="0">
      <text>
        <r>
          <t/>
        </r>
      </text>
    </comment>
    <comment ref="F176" authorId="0">
      <text>
        <r>
          <t/>
        </r>
      </text>
    </comment>
    <comment ref="G176" authorId="0">
      <text>
        <r>
          <t/>
        </r>
      </text>
    </comment>
    <comment ref="H176" authorId="0">
      <text>
        <r>
          <t/>
        </r>
      </text>
    </comment>
    <comment ref="I176" authorId="0">
      <text>
        <r>
          <t/>
        </r>
      </text>
    </comment>
    <comment ref="J176" authorId="0">
      <text>
        <r>
          <t/>
        </r>
      </text>
    </comment>
    <comment ref="K176" authorId="0">
      <text>
        <r>
          <t/>
        </r>
      </text>
    </comment>
    <comment ref="L176" authorId="0">
      <text>
        <r>
          <t/>
        </r>
      </text>
    </comment>
    <comment ref="M176" authorId="0">
      <text>
        <r>
          <t/>
        </r>
      </text>
    </comment>
    <comment ref="N176" authorId="0">
      <text>
        <r>
          <t/>
        </r>
      </text>
    </comment>
    <comment ref="O176" authorId="0">
      <text>
        <r>
          <t/>
        </r>
      </text>
    </comment>
    <comment ref="P176" authorId="0">
      <text>
        <r>
          <t/>
        </r>
      </text>
    </comment>
    <comment ref="Q176" authorId="0">
      <text>
        <r>
          <t/>
        </r>
      </text>
    </comment>
    <comment ref="R176" authorId="0">
      <text>
        <r>
          <t/>
        </r>
      </text>
    </comment>
    <comment ref="S176" authorId="0">
      <text>
        <r>
          <t/>
        </r>
      </text>
    </comment>
    <comment ref="T176" authorId="0">
      <text>
        <r>
          <t/>
        </r>
      </text>
    </comment>
    <comment ref="U176" authorId="0">
      <text>
        <r>
          <t/>
        </r>
      </text>
    </comment>
    <comment ref="F178" authorId="0">
      <text>
        <r>
          <t/>
        </r>
      </text>
    </comment>
    <comment ref="G178" authorId="0">
      <text>
        <r>
          <t/>
        </r>
      </text>
    </comment>
    <comment ref="H178" authorId="0">
      <text>
        <r>
          <t/>
        </r>
      </text>
    </comment>
    <comment ref="I178" authorId="0">
      <text>
        <r>
          <t/>
        </r>
      </text>
    </comment>
    <comment ref="J178" authorId="0">
      <text>
        <r>
          <t/>
        </r>
      </text>
    </comment>
    <comment ref="K178" authorId="0">
      <text>
        <r>
          <t/>
        </r>
      </text>
    </comment>
    <comment ref="L178" authorId="0">
      <text>
        <r>
          <t/>
        </r>
      </text>
    </comment>
    <comment ref="M178" authorId="0">
      <text>
        <r>
          <t/>
        </r>
      </text>
    </comment>
    <comment ref="N178" authorId="0">
      <text>
        <r>
          <t/>
        </r>
      </text>
    </comment>
    <comment ref="O178" authorId="0">
      <text>
        <r>
          <t/>
        </r>
      </text>
    </comment>
    <comment ref="P178" authorId="0">
      <text>
        <r>
          <t/>
        </r>
      </text>
    </comment>
    <comment ref="Q178" authorId="0">
      <text>
        <r>
          <t/>
        </r>
      </text>
    </comment>
    <comment ref="R178" authorId="0">
      <text>
        <r>
          <t/>
        </r>
      </text>
    </comment>
    <comment ref="S178" authorId="0">
      <text>
        <r>
          <t/>
        </r>
      </text>
    </comment>
    <comment ref="T178" authorId="0">
      <text>
        <r>
          <t/>
        </r>
      </text>
    </comment>
    <comment ref="U178" authorId="0">
      <text>
        <r>
          <t/>
        </r>
      </text>
    </comment>
    <comment ref="F182" authorId="0">
      <text>
        <r>
          <t/>
        </r>
      </text>
    </comment>
    <comment ref="G182" authorId="0">
      <text>
        <r>
          <t/>
        </r>
      </text>
    </comment>
    <comment ref="H182" authorId="0">
      <text>
        <r>
          <t/>
        </r>
      </text>
    </comment>
    <comment ref="I182" authorId="0">
      <text>
        <r>
          <t/>
        </r>
      </text>
    </comment>
    <comment ref="J182" authorId="0">
      <text>
        <r>
          <t/>
        </r>
      </text>
    </comment>
    <comment ref="K182" authorId="0">
      <text>
        <r>
          <t/>
        </r>
      </text>
    </comment>
    <comment ref="L182" authorId="0">
      <text>
        <r>
          <t/>
        </r>
      </text>
    </comment>
    <comment ref="M182" authorId="0">
      <text>
        <r>
          <t/>
        </r>
      </text>
    </comment>
    <comment ref="N182" authorId="0">
      <text>
        <r>
          <t/>
        </r>
      </text>
    </comment>
    <comment ref="O182" authorId="0">
      <text>
        <r>
          <t/>
        </r>
      </text>
    </comment>
    <comment ref="P182" authorId="0">
      <text>
        <r>
          <t/>
        </r>
      </text>
    </comment>
    <comment ref="Q182" authorId="0">
      <text>
        <r>
          <t/>
        </r>
      </text>
    </comment>
    <comment ref="R182" authorId="0">
      <text>
        <r>
          <t/>
        </r>
      </text>
    </comment>
    <comment ref="S182" authorId="0">
      <text>
        <r>
          <t/>
        </r>
      </text>
    </comment>
    <comment ref="T182" authorId="0">
      <text>
        <r>
          <t/>
        </r>
      </text>
    </comment>
    <comment ref="U182" authorId="0">
      <text>
        <r>
          <t/>
        </r>
      </text>
    </comment>
    <comment ref="F183" authorId="0">
      <text>
        <r>
          <t/>
        </r>
      </text>
    </comment>
    <comment ref="G183" authorId="0">
      <text>
        <r>
          <t/>
        </r>
      </text>
    </comment>
    <comment ref="H183" authorId="0">
      <text>
        <r>
          <t/>
        </r>
      </text>
    </comment>
    <comment ref="I183" authorId="0">
      <text>
        <r>
          <t/>
        </r>
      </text>
    </comment>
    <comment ref="J183" authorId="0">
      <text>
        <r>
          <t/>
        </r>
      </text>
    </comment>
    <comment ref="K183" authorId="0">
      <text>
        <r>
          <t/>
        </r>
      </text>
    </comment>
    <comment ref="L183" authorId="0">
      <text>
        <r>
          <t/>
        </r>
      </text>
    </comment>
    <comment ref="M183" authorId="0">
      <text>
        <r>
          <t/>
        </r>
      </text>
    </comment>
    <comment ref="N183" authorId="0">
      <text>
        <r>
          <t/>
        </r>
      </text>
    </comment>
    <comment ref="O183" authorId="0">
      <text>
        <r>
          <t/>
        </r>
      </text>
    </comment>
    <comment ref="P183" authorId="0">
      <text>
        <r>
          <t/>
        </r>
      </text>
    </comment>
    <comment ref="Q183" authorId="0">
      <text>
        <r>
          <t/>
        </r>
      </text>
    </comment>
    <comment ref="R183" authorId="0">
      <text>
        <r>
          <t/>
        </r>
      </text>
    </comment>
    <comment ref="S183" authorId="0">
      <text>
        <r>
          <t/>
        </r>
      </text>
    </comment>
    <comment ref="T183" authorId="0">
      <text>
        <r>
          <t/>
        </r>
      </text>
    </comment>
    <comment ref="U183" authorId="0">
      <text>
        <r>
          <t/>
        </r>
      </text>
    </comment>
    <comment ref="F184" authorId="0">
      <text>
        <r>
          <t/>
        </r>
      </text>
    </comment>
    <comment ref="G184" authorId="0">
      <text>
        <r>
          <t/>
        </r>
      </text>
    </comment>
    <comment ref="H184" authorId="0">
      <text>
        <r>
          <t/>
        </r>
      </text>
    </comment>
    <comment ref="I184" authorId="0">
      <text>
        <r>
          <t/>
        </r>
      </text>
    </comment>
    <comment ref="J184" authorId="0">
      <text>
        <r>
          <t/>
        </r>
      </text>
    </comment>
    <comment ref="K184" authorId="0">
      <text>
        <r>
          <t/>
        </r>
      </text>
    </comment>
    <comment ref="L184" authorId="0">
      <text>
        <r>
          <t/>
        </r>
      </text>
    </comment>
    <comment ref="M184" authorId="0">
      <text>
        <r>
          <t/>
        </r>
      </text>
    </comment>
    <comment ref="N184" authorId="0">
      <text>
        <r>
          <t/>
        </r>
      </text>
    </comment>
    <comment ref="O184" authorId="0">
      <text>
        <r>
          <t/>
        </r>
      </text>
    </comment>
    <comment ref="P184" authorId="0">
      <text>
        <r>
          <t/>
        </r>
      </text>
    </comment>
    <comment ref="Q184" authorId="0">
      <text>
        <r>
          <t/>
        </r>
      </text>
    </comment>
    <comment ref="R184" authorId="0">
      <text>
        <r>
          <t/>
        </r>
      </text>
    </comment>
    <comment ref="S184" authorId="0">
      <text>
        <r>
          <t/>
        </r>
      </text>
    </comment>
    <comment ref="T184" authorId="0">
      <text>
        <r>
          <t/>
        </r>
      </text>
    </comment>
    <comment ref="U184" authorId="0">
      <text>
        <r>
          <t/>
        </r>
      </text>
    </comment>
    <comment ref="F185" authorId="0">
      <text>
        <r>
          <t/>
        </r>
      </text>
    </comment>
    <comment ref="G185" authorId="0">
      <text>
        <r>
          <t/>
        </r>
      </text>
    </comment>
    <comment ref="H185" authorId="0">
      <text>
        <r>
          <t/>
        </r>
      </text>
    </comment>
    <comment ref="I185" authorId="0">
      <text>
        <r>
          <t/>
        </r>
      </text>
    </comment>
    <comment ref="J185" authorId="0">
      <text>
        <r>
          <t/>
        </r>
      </text>
    </comment>
    <comment ref="K185" authorId="0">
      <text>
        <r>
          <t/>
        </r>
      </text>
    </comment>
    <comment ref="L185" authorId="0">
      <text>
        <r>
          <t/>
        </r>
      </text>
    </comment>
    <comment ref="M185" authorId="0">
      <text>
        <r>
          <t/>
        </r>
      </text>
    </comment>
    <comment ref="N185" authorId="0">
      <text>
        <r>
          <t/>
        </r>
      </text>
    </comment>
    <comment ref="O185" authorId="0">
      <text>
        <r>
          <t/>
        </r>
      </text>
    </comment>
    <comment ref="P185" authorId="0">
      <text>
        <r>
          <t/>
        </r>
      </text>
    </comment>
    <comment ref="Q185" authorId="0">
      <text>
        <r>
          <t/>
        </r>
      </text>
    </comment>
    <comment ref="R185" authorId="0">
      <text>
        <r>
          <t/>
        </r>
      </text>
    </comment>
    <comment ref="S185" authorId="0">
      <text>
        <r>
          <t/>
        </r>
      </text>
    </comment>
    <comment ref="T185" authorId="0">
      <text>
        <r>
          <t/>
        </r>
      </text>
    </comment>
    <comment ref="U185" authorId="0">
      <text>
        <r>
          <t/>
        </r>
      </text>
    </comment>
    <comment ref="F186" authorId="0">
      <text>
        <r>
          <t/>
        </r>
      </text>
    </comment>
    <comment ref="G186" authorId="0">
      <text>
        <r>
          <t/>
        </r>
      </text>
    </comment>
    <comment ref="H186" authorId="0">
      <text>
        <r>
          <t/>
        </r>
      </text>
    </comment>
    <comment ref="I186" authorId="0">
      <text>
        <r>
          <t/>
        </r>
      </text>
    </comment>
    <comment ref="J186" authorId="0">
      <text>
        <r>
          <t/>
        </r>
      </text>
    </comment>
    <comment ref="K186" authorId="0">
      <text>
        <r>
          <t/>
        </r>
      </text>
    </comment>
    <comment ref="L186" authorId="0">
      <text>
        <r>
          <t/>
        </r>
      </text>
    </comment>
    <comment ref="M186" authorId="0">
      <text>
        <r>
          <t/>
        </r>
      </text>
    </comment>
    <comment ref="N186" authorId="0">
      <text>
        <r>
          <t/>
        </r>
      </text>
    </comment>
    <comment ref="O186" authorId="0">
      <text>
        <r>
          <t/>
        </r>
      </text>
    </comment>
    <comment ref="P186" authorId="0">
      <text>
        <r>
          <t/>
        </r>
      </text>
    </comment>
    <comment ref="Q186" authorId="0">
      <text>
        <r>
          <t/>
        </r>
      </text>
    </comment>
    <comment ref="R186" authorId="0">
      <text>
        <r>
          <t/>
        </r>
      </text>
    </comment>
    <comment ref="S186" authorId="0">
      <text>
        <r>
          <t/>
        </r>
      </text>
    </comment>
    <comment ref="T186" authorId="0">
      <text>
        <r>
          <t/>
        </r>
      </text>
    </comment>
    <comment ref="U186" authorId="0">
      <text>
        <r>
          <t/>
        </r>
      </text>
    </comment>
    <comment ref="F187" authorId="0">
      <text>
        <r>
          <t/>
        </r>
      </text>
    </comment>
    <comment ref="G187" authorId="0">
      <text>
        <r>
          <t/>
        </r>
      </text>
    </comment>
    <comment ref="H187" authorId="0">
      <text>
        <r>
          <t/>
        </r>
      </text>
    </comment>
    <comment ref="I187" authorId="0">
      <text>
        <r>
          <t/>
        </r>
      </text>
    </comment>
    <comment ref="J187" authorId="0">
      <text>
        <r>
          <t/>
        </r>
      </text>
    </comment>
    <comment ref="K187" authorId="0">
      <text>
        <r>
          <t/>
        </r>
      </text>
    </comment>
    <comment ref="L187" authorId="0">
      <text>
        <r>
          <t/>
        </r>
      </text>
    </comment>
    <comment ref="M187" authorId="0">
      <text>
        <r>
          <t/>
        </r>
      </text>
    </comment>
    <comment ref="N187" authorId="0">
      <text>
        <r>
          <t/>
        </r>
      </text>
    </comment>
    <comment ref="O187" authorId="0">
      <text>
        <r>
          <t/>
        </r>
      </text>
    </comment>
    <comment ref="P187" authorId="0">
      <text>
        <r>
          <t/>
        </r>
      </text>
    </comment>
    <comment ref="Q187" authorId="0">
      <text>
        <r>
          <t/>
        </r>
      </text>
    </comment>
    <comment ref="R187" authorId="0">
      <text>
        <r>
          <t/>
        </r>
      </text>
    </comment>
    <comment ref="S187" authorId="0">
      <text>
        <r>
          <t/>
        </r>
      </text>
    </comment>
    <comment ref="T187" authorId="0">
      <text>
        <r>
          <t/>
        </r>
      </text>
    </comment>
    <comment ref="U187" authorId="0">
      <text>
        <r>
          <t/>
        </r>
      </text>
    </comment>
    <comment ref="F188" authorId="0">
      <text>
        <r>
          <t/>
        </r>
      </text>
    </comment>
    <comment ref="G188" authorId="0">
      <text>
        <r>
          <t/>
        </r>
      </text>
    </comment>
    <comment ref="H188" authorId="0">
      <text>
        <r>
          <t/>
        </r>
      </text>
    </comment>
    <comment ref="I188" authorId="0">
      <text>
        <r>
          <t/>
        </r>
      </text>
    </comment>
    <comment ref="J188" authorId="0">
      <text>
        <r>
          <t/>
        </r>
      </text>
    </comment>
    <comment ref="K188" authorId="0">
      <text>
        <r>
          <t/>
        </r>
      </text>
    </comment>
    <comment ref="L188" authorId="0">
      <text>
        <r>
          <t/>
        </r>
      </text>
    </comment>
    <comment ref="M188" authorId="0">
      <text>
        <r>
          <t/>
        </r>
      </text>
    </comment>
    <comment ref="N188" authorId="0">
      <text>
        <r>
          <t/>
        </r>
      </text>
    </comment>
    <comment ref="O188" authorId="0">
      <text>
        <r>
          <t/>
        </r>
      </text>
    </comment>
    <comment ref="P188" authorId="0">
      <text>
        <r>
          <t/>
        </r>
      </text>
    </comment>
    <comment ref="Q188" authorId="0">
      <text>
        <r>
          <t/>
        </r>
      </text>
    </comment>
    <comment ref="R188" authorId="0">
      <text>
        <r>
          <t/>
        </r>
      </text>
    </comment>
    <comment ref="S188" authorId="0">
      <text>
        <r>
          <t/>
        </r>
      </text>
    </comment>
    <comment ref="T188" authorId="0">
      <text>
        <r>
          <t/>
        </r>
      </text>
    </comment>
    <comment ref="U188" authorId="0">
      <text>
        <r>
          <t/>
        </r>
      </text>
    </comment>
    <comment ref="F190" authorId="0">
      <text>
        <r>
          <t/>
        </r>
      </text>
    </comment>
    <comment ref="G190" authorId="0">
      <text>
        <r>
          <t/>
        </r>
      </text>
    </comment>
    <comment ref="H190" authorId="0">
      <text>
        <r>
          <t/>
        </r>
      </text>
    </comment>
    <comment ref="I190" authorId="0">
      <text>
        <r>
          <t/>
        </r>
      </text>
    </comment>
    <comment ref="J190" authorId="0">
      <text>
        <r>
          <t/>
        </r>
      </text>
    </comment>
    <comment ref="K190" authorId="0">
      <text>
        <r>
          <t/>
        </r>
      </text>
    </comment>
    <comment ref="L190" authorId="0">
      <text>
        <r>
          <t/>
        </r>
      </text>
    </comment>
    <comment ref="M190" authorId="0">
      <text>
        <r>
          <t/>
        </r>
      </text>
    </comment>
    <comment ref="N190" authorId="0">
      <text>
        <r>
          <t/>
        </r>
      </text>
    </comment>
    <comment ref="O190" authorId="0">
      <text>
        <r>
          <t/>
        </r>
      </text>
    </comment>
    <comment ref="P190" authorId="0">
      <text>
        <r>
          <t/>
        </r>
      </text>
    </comment>
    <comment ref="Q190" authorId="0">
      <text>
        <r>
          <t/>
        </r>
      </text>
    </comment>
    <comment ref="R190" authorId="0">
      <text>
        <r>
          <t/>
        </r>
      </text>
    </comment>
    <comment ref="S190" authorId="0">
      <text>
        <r>
          <t/>
        </r>
      </text>
    </comment>
    <comment ref="T190" authorId="0">
      <text>
        <r>
          <t/>
        </r>
      </text>
    </comment>
    <comment ref="U190" authorId="0">
      <text>
        <r>
          <t/>
        </r>
      </text>
    </comment>
    <comment ref="C193" authorId="0">
      <text>
        <r>
          <t/>
        </r>
      </text>
    </comment>
    <comment ref="F193" authorId="0">
      <text>
        <r>
          <t/>
        </r>
      </text>
    </comment>
    <comment ref="G193" authorId="0">
      <text>
        <r>
          <t/>
        </r>
      </text>
    </comment>
    <comment ref="H193" authorId="0">
      <text>
        <r>
          <t/>
        </r>
      </text>
    </comment>
    <comment ref="I193" authorId="0">
      <text>
        <r>
          <t/>
        </r>
      </text>
    </comment>
    <comment ref="J193" authorId="0">
      <text>
        <r>
          <t/>
        </r>
      </text>
    </comment>
    <comment ref="K193" authorId="0">
      <text>
        <r>
          <t/>
        </r>
      </text>
    </comment>
    <comment ref="L193" authorId="0">
      <text>
        <r>
          <t/>
        </r>
      </text>
    </comment>
    <comment ref="M193" authorId="0">
      <text>
        <r>
          <t/>
        </r>
      </text>
    </comment>
    <comment ref="N193" authorId="0">
      <text>
        <r>
          <t/>
        </r>
      </text>
    </comment>
    <comment ref="O193" authorId="0">
      <text>
        <r>
          <t/>
        </r>
      </text>
    </comment>
    <comment ref="P193" authorId="0">
      <text>
        <r>
          <t/>
        </r>
      </text>
    </comment>
    <comment ref="Q193" authorId="0">
      <text>
        <r>
          <t/>
        </r>
      </text>
    </comment>
    <comment ref="R193" authorId="0">
      <text>
        <r>
          <t/>
        </r>
      </text>
    </comment>
    <comment ref="S193" authorId="0">
      <text>
        <r>
          <t/>
        </r>
      </text>
    </comment>
    <comment ref="T193" authorId="0">
      <text>
        <r>
          <t/>
        </r>
      </text>
    </comment>
    <comment ref="U193" authorId="0">
      <text>
        <r>
          <t/>
        </r>
      </text>
    </comment>
    <comment ref="C194" authorId="0">
      <text>
        <r>
          <t/>
        </r>
      </text>
    </comment>
    <comment ref="F194" authorId="0">
      <text>
        <r>
          <t/>
        </r>
      </text>
    </comment>
    <comment ref="G194" authorId="0">
      <text>
        <r>
          <t/>
        </r>
      </text>
    </comment>
    <comment ref="H194" authorId="0">
      <text>
        <r>
          <t/>
        </r>
      </text>
    </comment>
    <comment ref="I194" authorId="0">
      <text>
        <r>
          <t/>
        </r>
      </text>
    </comment>
    <comment ref="J194" authorId="0">
      <text>
        <r>
          <t/>
        </r>
      </text>
    </comment>
    <comment ref="K194" authorId="0">
      <text>
        <r>
          <t/>
        </r>
      </text>
    </comment>
    <comment ref="L194" authorId="0">
      <text>
        <r>
          <t/>
        </r>
      </text>
    </comment>
    <comment ref="M194" authorId="0">
      <text>
        <r>
          <t/>
        </r>
      </text>
    </comment>
    <comment ref="N194" authorId="0">
      <text>
        <r>
          <t/>
        </r>
      </text>
    </comment>
    <comment ref="O194" authorId="0">
      <text>
        <r>
          <t/>
        </r>
      </text>
    </comment>
    <comment ref="P194" authorId="0">
      <text>
        <r>
          <t/>
        </r>
      </text>
    </comment>
    <comment ref="Q194" authorId="0">
      <text>
        <r>
          <t/>
        </r>
      </text>
    </comment>
    <comment ref="R194" authorId="0">
      <text>
        <r>
          <t/>
        </r>
      </text>
    </comment>
    <comment ref="S194" authorId="0">
      <text>
        <r>
          <t/>
        </r>
      </text>
    </comment>
    <comment ref="T194" authorId="0">
      <text>
        <r>
          <t/>
        </r>
      </text>
    </comment>
    <comment ref="U194" authorId="0">
      <text>
        <r>
          <t/>
        </r>
      </text>
    </comment>
    <comment ref="C195" authorId="0">
      <text>
        <r>
          <t/>
        </r>
      </text>
    </comment>
    <comment ref="F195" authorId="0">
      <text>
        <r>
          <t/>
        </r>
      </text>
    </comment>
    <comment ref="G195" authorId="0">
      <text>
        <r>
          <t/>
        </r>
      </text>
    </comment>
    <comment ref="H195" authorId="0">
      <text>
        <r>
          <t/>
        </r>
      </text>
    </comment>
    <comment ref="I195" authorId="0">
      <text>
        <r>
          <t/>
        </r>
      </text>
    </comment>
    <comment ref="J195" authorId="0">
      <text>
        <r>
          <t/>
        </r>
      </text>
    </comment>
    <comment ref="K195" authorId="0">
      <text>
        <r>
          <t/>
        </r>
      </text>
    </comment>
    <comment ref="L195" authorId="0">
      <text>
        <r>
          <t/>
        </r>
      </text>
    </comment>
    <comment ref="M195" authorId="0">
      <text>
        <r>
          <t/>
        </r>
      </text>
    </comment>
    <comment ref="N195" authorId="0">
      <text>
        <r>
          <t/>
        </r>
      </text>
    </comment>
    <comment ref="O195" authorId="0">
      <text>
        <r>
          <t/>
        </r>
      </text>
    </comment>
    <comment ref="P195" authorId="0">
      <text>
        <r>
          <t/>
        </r>
      </text>
    </comment>
    <comment ref="Q195" authorId="0">
      <text>
        <r>
          <t/>
        </r>
      </text>
    </comment>
    <comment ref="R195" authorId="0">
      <text>
        <r>
          <t/>
        </r>
      </text>
    </comment>
    <comment ref="S195" authorId="0">
      <text>
        <r>
          <t/>
        </r>
      </text>
    </comment>
    <comment ref="T195" authorId="0">
      <text>
        <r>
          <t/>
        </r>
      </text>
    </comment>
    <comment ref="U195" authorId="0">
      <text>
        <r>
          <t/>
        </r>
      </text>
    </comment>
    <comment ref="F196" authorId="0">
      <text>
        <r>
          <t/>
        </r>
      </text>
    </comment>
    <comment ref="G196" authorId="0">
      <text>
        <r>
          <t/>
        </r>
      </text>
    </comment>
    <comment ref="H196" authorId="0">
      <text>
        <r>
          <t/>
        </r>
      </text>
    </comment>
    <comment ref="I196" authorId="0">
      <text>
        <r>
          <t/>
        </r>
      </text>
    </comment>
    <comment ref="J196" authorId="0">
      <text>
        <r>
          <t/>
        </r>
      </text>
    </comment>
    <comment ref="K196" authorId="0">
      <text>
        <r>
          <t/>
        </r>
      </text>
    </comment>
    <comment ref="L196" authorId="0">
      <text>
        <r>
          <t/>
        </r>
      </text>
    </comment>
    <comment ref="M196" authorId="0">
      <text>
        <r>
          <t/>
        </r>
      </text>
    </comment>
    <comment ref="N196" authorId="0">
      <text>
        <r>
          <t/>
        </r>
      </text>
    </comment>
    <comment ref="O196" authorId="0">
      <text>
        <r>
          <t/>
        </r>
      </text>
    </comment>
    <comment ref="P196" authorId="0">
      <text>
        <r>
          <t/>
        </r>
      </text>
    </comment>
    <comment ref="Q196" authorId="0">
      <text>
        <r>
          <t/>
        </r>
      </text>
    </comment>
    <comment ref="R196" authorId="0">
      <text>
        <r>
          <t/>
        </r>
      </text>
    </comment>
    <comment ref="S196" authorId="0">
      <text>
        <r>
          <t/>
        </r>
      </text>
    </comment>
    <comment ref="T196" authorId="0">
      <text>
        <r>
          <t/>
        </r>
      </text>
    </comment>
    <comment ref="U196" authorId="0">
      <text>
        <r>
          <t/>
        </r>
      </text>
    </comment>
    <comment ref="F200" authorId="0">
      <text>
        <r>
          <t/>
        </r>
      </text>
    </comment>
    <comment ref="G200" authorId="0">
      <text>
        <r>
          <t/>
        </r>
      </text>
    </comment>
    <comment ref="H200" authorId="0">
      <text>
        <r>
          <t/>
        </r>
      </text>
    </comment>
    <comment ref="I200" authorId="0">
      <text>
        <r>
          <t/>
        </r>
      </text>
    </comment>
    <comment ref="J200" authorId="0">
      <text>
        <r>
          <t/>
        </r>
      </text>
    </comment>
    <comment ref="K200" authorId="0">
      <text>
        <r>
          <t/>
        </r>
      </text>
    </comment>
    <comment ref="L200" authorId="0">
      <text>
        <r>
          <t/>
        </r>
      </text>
    </comment>
    <comment ref="M200" authorId="0">
      <text>
        <r>
          <t/>
        </r>
      </text>
    </comment>
    <comment ref="N200" authorId="0">
      <text>
        <r>
          <t/>
        </r>
      </text>
    </comment>
    <comment ref="O200" authorId="0">
      <text>
        <r>
          <t/>
        </r>
      </text>
    </comment>
    <comment ref="P200" authorId="0">
      <text>
        <r>
          <t/>
        </r>
      </text>
    </comment>
    <comment ref="Q200" authorId="0">
      <text>
        <r>
          <t/>
        </r>
      </text>
    </comment>
    <comment ref="R200" authorId="0">
      <text>
        <r>
          <t/>
        </r>
      </text>
    </comment>
    <comment ref="S200" authorId="0">
      <text>
        <r>
          <t/>
        </r>
      </text>
    </comment>
    <comment ref="T200" authorId="0">
      <text>
        <r>
          <t/>
        </r>
      </text>
    </comment>
    <comment ref="U200" authorId="0">
      <text>
        <r>
          <t/>
        </r>
      </text>
    </comment>
    <comment ref="F201" authorId="0">
      <text>
        <r>
          <t/>
        </r>
      </text>
    </comment>
    <comment ref="G201" authorId="0">
      <text>
        <r>
          <t/>
        </r>
      </text>
    </comment>
    <comment ref="H201" authorId="0">
      <text>
        <r>
          <t/>
        </r>
      </text>
    </comment>
    <comment ref="I201" authorId="0">
      <text>
        <r>
          <t/>
        </r>
      </text>
    </comment>
    <comment ref="J201" authorId="0">
      <text>
        <r>
          <t/>
        </r>
      </text>
    </comment>
    <comment ref="K201" authorId="0">
      <text>
        <r>
          <t/>
        </r>
      </text>
    </comment>
    <comment ref="L201" authorId="0">
      <text>
        <r>
          <t/>
        </r>
      </text>
    </comment>
    <comment ref="M201" authorId="0">
      <text>
        <r>
          <t/>
        </r>
      </text>
    </comment>
    <comment ref="N201" authorId="0">
      <text>
        <r>
          <t/>
        </r>
      </text>
    </comment>
    <comment ref="O201" authorId="0">
      <text>
        <r>
          <t/>
        </r>
      </text>
    </comment>
    <comment ref="P201" authorId="0">
      <text>
        <r>
          <t/>
        </r>
      </text>
    </comment>
    <comment ref="Q201" authorId="0">
      <text>
        <r>
          <t/>
        </r>
      </text>
    </comment>
    <comment ref="R201" authorId="0">
      <text>
        <r>
          <t/>
        </r>
      </text>
    </comment>
    <comment ref="S201" authorId="0">
      <text>
        <r>
          <t/>
        </r>
      </text>
    </comment>
    <comment ref="T201" authorId="0">
      <text>
        <r>
          <t/>
        </r>
      </text>
    </comment>
    <comment ref="U201" authorId="0">
      <text>
        <r>
          <t/>
        </r>
      </text>
    </comment>
    <comment ref="F202" authorId="0">
      <text>
        <r>
          <t/>
        </r>
      </text>
    </comment>
    <comment ref="G202" authorId="0">
      <text>
        <r>
          <t/>
        </r>
      </text>
    </comment>
    <comment ref="H202" authorId="0">
      <text>
        <r>
          <t/>
        </r>
      </text>
    </comment>
    <comment ref="I202" authorId="0">
      <text>
        <r>
          <t/>
        </r>
      </text>
    </comment>
    <comment ref="J202" authorId="0">
      <text>
        <r>
          <t/>
        </r>
      </text>
    </comment>
    <comment ref="K202" authorId="0">
      <text>
        <r>
          <t/>
        </r>
      </text>
    </comment>
    <comment ref="L202" authorId="0">
      <text>
        <r>
          <t/>
        </r>
      </text>
    </comment>
    <comment ref="M202" authorId="0">
      <text>
        <r>
          <t/>
        </r>
      </text>
    </comment>
    <comment ref="N202" authorId="0">
      <text>
        <r>
          <t/>
        </r>
      </text>
    </comment>
    <comment ref="O202" authorId="0">
      <text>
        <r>
          <t/>
        </r>
      </text>
    </comment>
    <comment ref="P202" authorId="0">
      <text>
        <r>
          <t/>
        </r>
      </text>
    </comment>
    <comment ref="Q202" authorId="0">
      <text>
        <r>
          <t/>
        </r>
      </text>
    </comment>
    <comment ref="R202" authorId="0">
      <text>
        <r>
          <t/>
        </r>
      </text>
    </comment>
    <comment ref="S202" authorId="0">
      <text>
        <r>
          <t/>
        </r>
      </text>
    </comment>
    <comment ref="T202" authorId="0">
      <text>
        <r>
          <t/>
        </r>
      </text>
    </comment>
    <comment ref="U202" authorId="0">
      <text>
        <r>
          <t/>
        </r>
      </text>
    </comment>
    <comment ref="F204" authorId="0">
      <text>
        <r>
          <t/>
        </r>
      </text>
    </comment>
    <comment ref="G204" authorId="0">
      <text>
        <r>
          <t/>
        </r>
      </text>
    </comment>
    <comment ref="H204" authorId="0">
      <text>
        <r>
          <t/>
        </r>
      </text>
    </comment>
    <comment ref="I204" authorId="0">
      <text>
        <r>
          <t/>
        </r>
      </text>
    </comment>
    <comment ref="J204" authorId="0">
      <text>
        <r>
          <t/>
        </r>
      </text>
    </comment>
    <comment ref="K204" authorId="0">
      <text>
        <r>
          <t/>
        </r>
      </text>
    </comment>
    <comment ref="L204" authorId="0">
      <text>
        <r>
          <t/>
        </r>
      </text>
    </comment>
    <comment ref="M204" authorId="0">
      <text>
        <r>
          <t/>
        </r>
      </text>
    </comment>
    <comment ref="N204" authorId="0">
      <text>
        <r>
          <t/>
        </r>
      </text>
    </comment>
    <comment ref="O204" authorId="0">
      <text>
        <r>
          <t/>
        </r>
      </text>
    </comment>
    <comment ref="P204" authorId="0">
      <text>
        <r>
          <t/>
        </r>
      </text>
    </comment>
    <comment ref="Q204" authorId="0">
      <text>
        <r>
          <t/>
        </r>
      </text>
    </comment>
    <comment ref="R204" authorId="0">
      <text>
        <r>
          <t/>
        </r>
      </text>
    </comment>
    <comment ref="S204" authorId="0">
      <text>
        <r>
          <t/>
        </r>
      </text>
    </comment>
    <comment ref="T204" authorId="0">
      <text>
        <r>
          <t/>
        </r>
      </text>
    </comment>
    <comment ref="U204" authorId="0">
      <text>
        <r>
          <t/>
        </r>
      </text>
    </comment>
    <comment ref="F206" authorId="0">
      <text>
        <r>
          <t/>
        </r>
      </text>
    </comment>
    <comment ref="G206" authorId="0">
      <text>
        <r>
          <t/>
        </r>
      </text>
    </comment>
    <comment ref="H206" authorId="0">
      <text>
        <r>
          <t/>
        </r>
      </text>
    </comment>
    <comment ref="I206" authorId="0">
      <text>
        <r>
          <t/>
        </r>
      </text>
    </comment>
    <comment ref="J206" authorId="0">
      <text>
        <r>
          <t/>
        </r>
      </text>
    </comment>
    <comment ref="K206" authorId="0">
      <text>
        <r>
          <t/>
        </r>
      </text>
    </comment>
    <comment ref="L206" authorId="0">
      <text>
        <r>
          <t/>
        </r>
      </text>
    </comment>
    <comment ref="M206" authorId="0">
      <text>
        <r>
          <t/>
        </r>
      </text>
    </comment>
    <comment ref="N206" authorId="0">
      <text>
        <r>
          <t/>
        </r>
      </text>
    </comment>
    <comment ref="O206" authorId="0">
      <text>
        <r>
          <t/>
        </r>
      </text>
    </comment>
    <comment ref="P206" authorId="0">
      <text>
        <r>
          <t/>
        </r>
      </text>
    </comment>
    <comment ref="Q206" authorId="0">
      <text>
        <r>
          <t/>
        </r>
      </text>
    </comment>
    <comment ref="R206" authorId="0">
      <text>
        <r>
          <t/>
        </r>
      </text>
    </comment>
    <comment ref="S206" authorId="0">
      <text>
        <r>
          <t/>
        </r>
      </text>
    </comment>
    <comment ref="T206" authorId="0">
      <text>
        <r>
          <t/>
        </r>
      </text>
    </comment>
    <comment ref="U206" authorId="0">
      <text>
        <r>
          <t/>
        </r>
      </text>
    </comment>
    <comment ref="C207" authorId="0">
      <text>
        <r>
          <t/>
        </r>
      </text>
    </comment>
    <comment ref="F207" authorId="0">
      <text>
        <r>
          <t/>
        </r>
      </text>
    </comment>
    <comment ref="G207" authorId="0">
      <text>
        <r>
          <t/>
        </r>
      </text>
    </comment>
    <comment ref="H207" authorId="0">
      <text>
        <r>
          <t/>
        </r>
      </text>
    </comment>
    <comment ref="I207" authorId="0">
      <text>
        <r>
          <t/>
        </r>
      </text>
    </comment>
    <comment ref="J207" authorId="0">
      <text>
        <r>
          <t/>
        </r>
      </text>
    </comment>
    <comment ref="K207" authorId="0">
      <text>
        <r>
          <t/>
        </r>
      </text>
    </comment>
    <comment ref="L207" authorId="0">
      <text>
        <r>
          <t/>
        </r>
      </text>
    </comment>
    <comment ref="M207" authorId="0">
      <text>
        <r>
          <t/>
        </r>
      </text>
    </comment>
    <comment ref="N207" authorId="0">
      <text>
        <r>
          <t/>
        </r>
      </text>
    </comment>
    <comment ref="O207" authorId="0">
      <text>
        <r>
          <t/>
        </r>
      </text>
    </comment>
    <comment ref="P207" authorId="0">
      <text>
        <r>
          <t/>
        </r>
      </text>
    </comment>
    <comment ref="Q207" authorId="0">
      <text>
        <r>
          <t/>
        </r>
      </text>
    </comment>
    <comment ref="R207" authorId="0">
      <text>
        <r>
          <t/>
        </r>
      </text>
    </comment>
    <comment ref="S207" authorId="0">
      <text>
        <r>
          <t/>
        </r>
      </text>
    </comment>
    <comment ref="T207" authorId="0">
      <text>
        <r>
          <t/>
        </r>
      </text>
    </comment>
    <comment ref="U207" authorId="0">
      <text>
        <r>
          <t/>
        </r>
      </text>
    </comment>
    <comment ref="F208" authorId="0">
      <text>
        <r>
          <t/>
        </r>
      </text>
    </comment>
    <comment ref="G208" authorId="0">
      <text>
        <r>
          <t/>
        </r>
      </text>
    </comment>
    <comment ref="H208" authorId="0">
      <text>
        <r>
          <t/>
        </r>
      </text>
    </comment>
    <comment ref="I208" authorId="0">
      <text>
        <r>
          <t/>
        </r>
      </text>
    </comment>
    <comment ref="J208" authorId="0">
      <text>
        <r>
          <t/>
        </r>
      </text>
    </comment>
    <comment ref="K208" authorId="0">
      <text>
        <r>
          <t/>
        </r>
      </text>
    </comment>
    <comment ref="L208" authorId="0">
      <text>
        <r>
          <t/>
        </r>
      </text>
    </comment>
    <comment ref="M208" authorId="0">
      <text>
        <r>
          <t/>
        </r>
      </text>
    </comment>
    <comment ref="N208" authorId="0">
      <text>
        <r>
          <t/>
        </r>
      </text>
    </comment>
    <comment ref="O208" authorId="0">
      <text>
        <r>
          <t/>
        </r>
      </text>
    </comment>
    <comment ref="P208" authorId="0">
      <text>
        <r>
          <t/>
        </r>
      </text>
    </comment>
    <comment ref="Q208" authorId="0">
      <text>
        <r>
          <t/>
        </r>
      </text>
    </comment>
    <comment ref="R208" authorId="0">
      <text>
        <r>
          <t/>
        </r>
      </text>
    </comment>
    <comment ref="S208" authorId="0">
      <text>
        <r>
          <t/>
        </r>
      </text>
    </comment>
    <comment ref="T208" authorId="0">
      <text>
        <r>
          <t/>
        </r>
      </text>
    </comment>
    <comment ref="U208" authorId="0">
      <text>
        <r>
          <t/>
        </r>
      </text>
    </comment>
    <comment ref="C209" authorId="0">
      <text>
        <r>
          <t/>
        </r>
      </text>
    </comment>
    <comment ref="F209" authorId="0">
      <text>
        <r>
          <t/>
        </r>
      </text>
    </comment>
    <comment ref="G209" authorId="0">
      <text>
        <r>
          <t/>
        </r>
      </text>
    </comment>
    <comment ref="H209" authorId="0">
      <text>
        <r>
          <t/>
        </r>
      </text>
    </comment>
    <comment ref="I209" authorId="0">
      <text>
        <r>
          <t/>
        </r>
      </text>
    </comment>
    <comment ref="J209" authorId="0">
      <text>
        <r>
          <t/>
        </r>
      </text>
    </comment>
    <comment ref="K209" authorId="0">
      <text>
        <r>
          <t/>
        </r>
      </text>
    </comment>
    <comment ref="L209" authorId="0">
      <text>
        <r>
          <t/>
        </r>
      </text>
    </comment>
    <comment ref="M209" authorId="0">
      <text>
        <r>
          <t/>
        </r>
      </text>
    </comment>
    <comment ref="N209" authorId="0">
      <text>
        <r>
          <t/>
        </r>
      </text>
    </comment>
    <comment ref="O209" authorId="0">
      <text>
        <r>
          <t/>
        </r>
      </text>
    </comment>
    <comment ref="P209" authorId="0">
      <text>
        <r>
          <t/>
        </r>
      </text>
    </comment>
    <comment ref="Q209" authorId="0">
      <text>
        <r>
          <t/>
        </r>
      </text>
    </comment>
    <comment ref="R209" authorId="0">
      <text>
        <r>
          <t/>
        </r>
      </text>
    </comment>
    <comment ref="S209" authorId="0">
      <text>
        <r>
          <t/>
        </r>
      </text>
    </comment>
    <comment ref="T209" authorId="0">
      <text>
        <r>
          <t/>
        </r>
      </text>
    </comment>
    <comment ref="U209" authorId="0">
      <text>
        <r>
          <t/>
        </r>
      </text>
    </comment>
    <comment ref="F210" authorId="0">
      <text>
        <r>
          <t/>
        </r>
      </text>
    </comment>
    <comment ref="G210" authorId="0">
      <text>
        <r>
          <t/>
        </r>
      </text>
    </comment>
    <comment ref="H210" authorId="0">
      <text>
        <r>
          <t/>
        </r>
      </text>
    </comment>
    <comment ref="I210" authorId="0">
      <text>
        <r>
          <t/>
        </r>
      </text>
    </comment>
    <comment ref="J210" authorId="0">
      <text>
        <r>
          <t/>
        </r>
      </text>
    </comment>
    <comment ref="K210" authorId="0">
      <text>
        <r>
          <t/>
        </r>
      </text>
    </comment>
    <comment ref="L210" authorId="0">
      <text>
        <r>
          <t/>
        </r>
      </text>
    </comment>
    <comment ref="M210" authorId="0">
      <text>
        <r>
          <t/>
        </r>
      </text>
    </comment>
    <comment ref="N210" authorId="0">
      <text>
        <r>
          <t/>
        </r>
      </text>
    </comment>
    <comment ref="O210" authorId="0">
      <text>
        <r>
          <t/>
        </r>
      </text>
    </comment>
    <comment ref="P210" authorId="0">
      <text>
        <r>
          <t/>
        </r>
      </text>
    </comment>
    <comment ref="Q210" authorId="0">
      <text>
        <r>
          <t/>
        </r>
      </text>
    </comment>
    <comment ref="R210" authorId="0">
      <text>
        <r>
          <t/>
        </r>
      </text>
    </comment>
    <comment ref="S210" authorId="0">
      <text>
        <r>
          <t/>
        </r>
      </text>
    </comment>
    <comment ref="T210" authorId="0">
      <text>
        <r>
          <t/>
        </r>
      </text>
    </comment>
    <comment ref="U210" authorId="0">
      <text>
        <r>
          <t/>
        </r>
      </text>
    </comment>
    <comment ref="F214" authorId="0">
      <text>
        <r>
          <t/>
        </r>
      </text>
    </comment>
    <comment ref="G214" authorId="0">
      <text>
        <r>
          <t/>
        </r>
      </text>
    </comment>
    <comment ref="H214" authorId="0">
      <text>
        <r>
          <t/>
        </r>
      </text>
    </comment>
    <comment ref="I214" authorId="0">
      <text>
        <r>
          <t/>
        </r>
      </text>
    </comment>
    <comment ref="J214" authorId="0">
      <text>
        <r>
          <t/>
        </r>
      </text>
    </comment>
    <comment ref="K214" authorId="0">
      <text>
        <r>
          <t/>
        </r>
      </text>
    </comment>
    <comment ref="L214" authorId="0">
      <text>
        <r>
          <t/>
        </r>
      </text>
    </comment>
    <comment ref="M214" authorId="0">
      <text>
        <r>
          <t/>
        </r>
      </text>
    </comment>
    <comment ref="N214" authorId="0">
      <text>
        <r>
          <t/>
        </r>
      </text>
    </comment>
    <comment ref="O214" authorId="0">
      <text>
        <r>
          <t/>
        </r>
      </text>
    </comment>
    <comment ref="P214" authorId="0">
      <text>
        <r>
          <t/>
        </r>
      </text>
    </comment>
    <comment ref="Q214" authorId="0">
      <text>
        <r>
          <t/>
        </r>
      </text>
    </comment>
    <comment ref="R214" authorId="0">
      <text>
        <r>
          <t/>
        </r>
      </text>
    </comment>
    <comment ref="S214" authorId="0">
      <text>
        <r>
          <t/>
        </r>
      </text>
    </comment>
    <comment ref="T214" authorId="0">
      <text>
        <r>
          <t/>
        </r>
      </text>
    </comment>
    <comment ref="U214" authorId="0">
      <text>
        <r>
          <t/>
        </r>
      </text>
    </comment>
    <comment ref="F216" authorId="0">
      <text>
        <r>
          <t/>
        </r>
      </text>
    </comment>
    <comment ref="G216" authorId="0">
      <text>
        <r>
          <t/>
        </r>
      </text>
    </comment>
    <comment ref="H216" authorId="0">
      <text>
        <r>
          <t/>
        </r>
      </text>
    </comment>
    <comment ref="I216" authorId="0">
      <text>
        <r>
          <t/>
        </r>
      </text>
    </comment>
    <comment ref="J216" authorId="0">
      <text>
        <r>
          <t/>
        </r>
      </text>
    </comment>
    <comment ref="K216" authorId="0">
      <text>
        <r>
          <t/>
        </r>
      </text>
    </comment>
    <comment ref="L216" authorId="0">
      <text>
        <r>
          <t/>
        </r>
      </text>
    </comment>
    <comment ref="M216" authorId="0">
      <text>
        <r>
          <t/>
        </r>
      </text>
    </comment>
    <comment ref="N216" authorId="0">
      <text>
        <r>
          <t/>
        </r>
      </text>
    </comment>
    <comment ref="O216" authorId="0">
      <text>
        <r>
          <t/>
        </r>
      </text>
    </comment>
    <comment ref="P216" authorId="0">
      <text>
        <r>
          <t/>
        </r>
      </text>
    </comment>
    <comment ref="Q216" authorId="0">
      <text>
        <r>
          <t/>
        </r>
      </text>
    </comment>
    <comment ref="R216" authorId="0">
      <text>
        <r>
          <t/>
        </r>
      </text>
    </comment>
    <comment ref="S216" authorId="0">
      <text>
        <r>
          <t/>
        </r>
      </text>
    </comment>
    <comment ref="T216" authorId="0">
      <text>
        <r>
          <t/>
        </r>
      </text>
    </comment>
    <comment ref="U216" authorId="0">
      <text>
        <r>
          <t/>
        </r>
      </text>
    </comment>
    <comment ref="F218" authorId="0">
      <text>
        <r>
          <t/>
        </r>
      </text>
    </comment>
    <comment ref="G218" authorId="0">
      <text>
        <r>
          <t/>
        </r>
      </text>
    </comment>
    <comment ref="H218" authorId="0">
      <text>
        <r>
          <t/>
        </r>
      </text>
    </comment>
    <comment ref="I218" authorId="0">
      <text>
        <r>
          <t/>
        </r>
      </text>
    </comment>
    <comment ref="J218" authorId="0">
      <text>
        <r>
          <t/>
        </r>
      </text>
    </comment>
    <comment ref="K218" authorId="0">
      <text>
        <r>
          <t/>
        </r>
      </text>
    </comment>
    <comment ref="L218" authorId="0">
      <text>
        <r>
          <t/>
        </r>
      </text>
    </comment>
    <comment ref="M218" authorId="0">
      <text>
        <r>
          <t/>
        </r>
      </text>
    </comment>
    <comment ref="N218" authorId="0">
      <text>
        <r>
          <t/>
        </r>
      </text>
    </comment>
    <comment ref="O218" authorId="0">
      <text>
        <r>
          <t/>
        </r>
      </text>
    </comment>
    <comment ref="P218" authorId="0">
      <text>
        <r>
          <t/>
        </r>
      </text>
    </comment>
    <comment ref="Q218" authorId="0">
      <text>
        <r>
          <t/>
        </r>
      </text>
    </comment>
    <comment ref="R218" authorId="0">
      <text>
        <r>
          <t/>
        </r>
      </text>
    </comment>
    <comment ref="S218" authorId="0">
      <text>
        <r>
          <t/>
        </r>
      </text>
    </comment>
    <comment ref="T218" authorId="0">
      <text>
        <r>
          <t/>
        </r>
      </text>
    </comment>
    <comment ref="U218" authorId="0">
      <text>
        <r>
          <t/>
        </r>
      </text>
    </comment>
    <comment ref="F219" authorId="0">
      <text>
        <r>
          <t/>
        </r>
      </text>
    </comment>
    <comment ref="G219" authorId="0">
      <text>
        <r>
          <t/>
        </r>
      </text>
    </comment>
    <comment ref="H219" authorId="0">
      <text>
        <r>
          <t/>
        </r>
      </text>
    </comment>
    <comment ref="I219" authorId="0">
      <text>
        <r>
          <t/>
        </r>
      </text>
    </comment>
    <comment ref="J219" authorId="0">
      <text>
        <r>
          <t/>
        </r>
      </text>
    </comment>
    <comment ref="K219" authorId="0">
      <text>
        <r>
          <t/>
        </r>
      </text>
    </comment>
    <comment ref="L219" authorId="0">
      <text>
        <r>
          <t/>
        </r>
      </text>
    </comment>
    <comment ref="M219" authorId="0">
      <text>
        <r>
          <t/>
        </r>
      </text>
    </comment>
    <comment ref="N219" authorId="0">
      <text>
        <r>
          <t/>
        </r>
      </text>
    </comment>
    <comment ref="O219" authorId="0">
      <text>
        <r>
          <t/>
        </r>
      </text>
    </comment>
    <comment ref="P219" authorId="0">
      <text>
        <r>
          <t/>
        </r>
      </text>
    </comment>
    <comment ref="Q219" authorId="0">
      <text>
        <r>
          <t/>
        </r>
      </text>
    </comment>
    <comment ref="R219" authorId="0">
      <text>
        <r>
          <t/>
        </r>
      </text>
    </comment>
    <comment ref="S219" authorId="0">
      <text>
        <r>
          <t/>
        </r>
      </text>
    </comment>
    <comment ref="T219" authorId="0">
      <text>
        <r>
          <t/>
        </r>
      </text>
    </comment>
    <comment ref="U219" authorId="0">
      <text>
        <r>
          <t/>
        </r>
      </text>
    </comment>
    <comment ref="F220" authorId="0">
      <text>
        <r>
          <t/>
        </r>
      </text>
    </comment>
    <comment ref="G220" authorId="0">
      <text>
        <r>
          <t/>
        </r>
      </text>
    </comment>
    <comment ref="H220" authorId="0">
      <text>
        <r>
          <t/>
        </r>
      </text>
    </comment>
    <comment ref="I220" authorId="0">
      <text>
        <r>
          <t/>
        </r>
      </text>
    </comment>
    <comment ref="J220" authorId="0">
      <text>
        <r>
          <t/>
        </r>
      </text>
    </comment>
    <comment ref="K220" authorId="0">
      <text>
        <r>
          <t/>
        </r>
      </text>
    </comment>
    <comment ref="L220" authorId="0">
      <text>
        <r>
          <t/>
        </r>
      </text>
    </comment>
    <comment ref="M220" authorId="0">
      <text>
        <r>
          <t/>
        </r>
      </text>
    </comment>
    <comment ref="N220" authorId="0">
      <text>
        <r>
          <t/>
        </r>
      </text>
    </comment>
    <comment ref="O220" authorId="0">
      <text>
        <r>
          <t/>
        </r>
      </text>
    </comment>
    <comment ref="P220" authorId="0">
      <text>
        <r>
          <t/>
        </r>
      </text>
    </comment>
    <comment ref="Q220" authorId="0">
      <text>
        <r>
          <t/>
        </r>
      </text>
    </comment>
    <comment ref="R220" authorId="0">
      <text>
        <r>
          <t/>
        </r>
      </text>
    </comment>
    <comment ref="S220" authorId="0">
      <text>
        <r>
          <t/>
        </r>
      </text>
    </comment>
    <comment ref="T220" authorId="0">
      <text>
        <r>
          <t/>
        </r>
      </text>
    </comment>
    <comment ref="U220" authorId="0">
      <text>
        <r>
          <t/>
        </r>
      </text>
    </comment>
    <comment ref="F221" authorId="0">
      <text>
        <r>
          <t/>
        </r>
      </text>
    </comment>
    <comment ref="G221" authorId="0">
      <text>
        <r>
          <t/>
        </r>
      </text>
    </comment>
    <comment ref="H221" authorId="0">
      <text>
        <r>
          <t/>
        </r>
      </text>
    </comment>
    <comment ref="I221" authorId="0">
      <text>
        <r>
          <t/>
        </r>
      </text>
    </comment>
    <comment ref="J221" authorId="0">
      <text>
        <r>
          <t/>
        </r>
      </text>
    </comment>
    <comment ref="K221" authorId="0">
      <text>
        <r>
          <t/>
        </r>
      </text>
    </comment>
    <comment ref="L221" authorId="0">
      <text>
        <r>
          <t/>
        </r>
      </text>
    </comment>
    <comment ref="M221" authorId="0">
      <text>
        <r>
          <t/>
        </r>
      </text>
    </comment>
    <comment ref="N221" authorId="0">
      <text>
        <r>
          <t/>
        </r>
      </text>
    </comment>
    <comment ref="O221" authorId="0">
      <text>
        <r>
          <t/>
        </r>
      </text>
    </comment>
    <comment ref="P221" authorId="0">
      <text>
        <r>
          <t/>
        </r>
      </text>
    </comment>
    <comment ref="Q221" authorId="0">
      <text>
        <r>
          <t/>
        </r>
      </text>
    </comment>
    <comment ref="R221" authorId="0">
      <text>
        <r>
          <t/>
        </r>
      </text>
    </comment>
    <comment ref="S221" authorId="0">
      <text>
        <r>
          <t/>
        </r>
      </text>
    </comment>
    <comment ref="T221" authorId="0">
      <text>
        <r>
          <t/>
        </r>
      </text>
    </comment>
    <comment ref="U221" authorId="0">
      <text>
        <r>
          <t/>
        </r>
      </text>
    </comment>
    <comment ref="F223" authorId="0">
      <text>
        <r>
          <t/>
        </r>
      </text>
    </comment>
    <comment ref="G223" authorId="0">
      <text>
        <r>
          <t/>
        </r>
      </text>
    </comment>
    <comment ref="H223" authorId="0">
      <text>
        <r>
          <t/>
        </r>
      </text>
    </comment>
    <comment ref="I223" authorId="0">
      <text>
        <r>
          <t/>
        </r>
      </text>
    </comment>
    <comment ref="J223" authorId="0">
      <text>
        <r>
          <t/>
        </r>
      </text>
    </comment>
    <comment ref="K223" authorId="0">
      <text>
        <r>
          <t/>
        </r>
      </text>
    </comment>
    <comment ref="L223" authorId="0">
      <text>
        <r>
          <t/>
        </r>
      </text>
    </comment>
    <comment ref="M223" authorId="0">
      <text>
        <r>
          <t/>
        </r>
      </text>
    </comment>
    <comment ref="N223" authorId="0">
      <text>
        <r>
          <t/>
        </r>
      </text>
    </comment>
    <comment ref="O223" authorId="0">
      <text>
        <r>
          <t/>
        </r>
      </text>
    </comment>
    <comment ref="P223" authorId="0">
      <text>
        <r>
          <t/>
        </r>
      </text>
    </comment>
    <comment ref="Q223" authorId="0">
      <text>
        <r>
          <t/>
        </r>
      </text>
    </comment>
    <comment ref="R223" authorId="0">
      <text>
        <r>
          <t/>
        </r>
      </text>
    </comment>
    <comment ref="S223" authorId="0">
      <text>
        <r>
          <t/>
        </r>
      </text>
    </comment>
    <comment ref="T223" authorId="0">
      <text>
        <r>
          <t/>
        </r>
      </text>
    </comment>
    <comment ref="U223" authorId="0">
      <text>
        <r>
          <t/>
        </r>
      </text>
    </comment>
    <comment ref="F224" authorId="0">
      <text>
        <r>
          <t/>
        </r>
      </text>
    </comment>
    <comment ref="G224" authorId="0">
      <text>
        <r>
          <t/>
        </r>
      </text>
    </comment>
    <comment ref="H224" authorId="0">
      <text>
        <r>
          <t/>
        </r>
      </text>
    </comment>
    <comment ref="I224" authorId="0">
      <text>
        <r>
          <t/>
        </r>
      </text>
    </comment>
    <comment ref="J224" authorId="0">
      <text>
        <r>
          <t/>
        </r>
      </text>
    </comment>
    <comment ref="K224" authorId="0">
      <text>
        <r>
          <t/>
        </r>
      </text>
    </comment>
    <comment ref="L224" authorId="0">
      <text>
        <r>
          <t/>
        </r>
      </text>
    </comment>
    <comment ref="M224" authorId="0">
      <text>
        <r>
          <t/>
        </r>
      </text>
    </comment>
    <comment ref="N224" authorId="0">
      <text>
        <r>
          <t/>
        </r>
      </text>
    </comment>
    <comment ref="O224" authorId="0">
      <text>
        <r>
          <t/>
        </r>
      </text>
    </comment>
    <comment ref="P224" authorId="0">
      <text>
        <r>
          <t/>
        </r>
      </text>
    </comment>
    <comment ref="Q224" authorId="0">
      <text>
        <r>
          <t/>
        </r>
      </text>
    </comment>
    <comment ref="R224" authorId="0">
      <text>
        <r>
          <t/>
        </r>
      </text>
    </comment>
    <comment ref="S224" authorId="0">
      <text>
        <r>
          <t/>
        </r>
      </text>
    </comment>
    <comment ref="T224" authorId="0">
      <text>
        <r>
          <t/>
        </r>
      </text>
    </comment>
    <comment ref="U224" authorId="0">
      <text>
        <r>
          <t/>
        </r>
      </text>
    </comment>
    <comment ref="F225" authorId="0">
      <text>
        <r>
          <t/>
        </r>
      </text>
    </comment>
    <comment ref="G225" authorId="0">
      <text>
        <r>
          <t/>
        </r>
      </text>
    </comment>
    <comment ref="H225" authorId="0">
      <text>
        <r>
          <t/>
        </r>
      </text>
    </comment>
    <comment ref="I225" authorId="0">
      <text>
        <r>
          <t/>
        </r>
      </text>
    </comment>
    <comment ref="J225" authorId="0">
      <text>
        <r>
          <t/>
        </r>
      </text>
    </comment>
    <comment ref="K225" authorId="0">
      <text>
        <r>
          <t/>
        </r>
      </text>
    </comment>
    <comment ref="L225" authorId="0">
      <text>
        <r>
          <t/>
        </r>
      </text>
    </comment>
    <comment ref="M225" authorId="0">
      <text>
        <r>
          <t/>
        </r>
      </text>
    </comment>
    <comment ref="N225" authorId="0">
      <text>
        <r>
          <t/>
        </r>
      </text>
    </comment>
    <comment ref="O225" authorId="0">
      <text>
        <r>
          <t/>
        </r>
      </text>
    </comment>
    <comment ref="P225" authorId="0">
      <text>
        <r>
          <t/>
        </r>
      </text>
    </comment>
    <comment ref="Q225" authorId="0">
      <text>
        <r>
          <t/>
        </r>
      </text>
    </comment>
    <comment ref="R225" authorId="0">
      <text>
        <r>
          <t/>
        </r>
      </text>
    </comment>
    <comment ref="S225" authorId="0">
      <text>
        <r>
          <t/>
        </r>
      </text>
    </comment>
    <comment ref="T225" authorId="0">
      <text>
        <r>
          <t/>
        </r>
      </text>
    </comment>
    <comment ref="U225" authorId="0">
      <text>
        <r>
          <t/>
        </r>
      </text>
    </comment>
    <comment ref="F226" authorId="0">
      <text>
        <r>
          <t/>
        </r>
      </text>
    </comment>
    <comment ref="G226" authorId="0">
      <text>
        <r>
          <t/>
        </r>
      </text>
    </comment>
    <comment ref="H226" authorId="0">
      <text>
        <r>
          <t/>
        </r>
      </text>
    </comment>
    <comment ref="I226" authorId="0">
      <text>
        <r>
          <t/>
        </r>
      </text>
    </comment>
    <comment ref="J226" authorId="0">
      <text>
        <r>
          <t/>
        </r>
      </text>
    </comment>
    <comment ref="K226" authorId="0">
      <text>
        <r>
          <t/>
        </r>
      </text>
    </comment>
    <comment ref="L226" authorId="0">
      <text>
        <r>
          <t/>
        </r>
      </text>
    </comment>
    <comment ref="M226" authorId="0">
      <text>
        <r>
          <t/>
        </r>
      </text>
    </comment>
    <comment ref="N226" authorId="0">
      <text>
        <r>
          <t/>
        </r>
      </text>
    </comment>
    <comment ref="O226" authorId="0">
      <text>
        <r>
          <t/>
        </r>
      </text>
    </comment>
    <comment ref="P226" authorId="0">
      <text>
        <r>
          <t/>
        </r>
      </text>
    </comment>
    <comment ref="Q226" authorId="0">
      <text>
        <r>
          <t/>
        </r>
      </text>
    </comment>
    <comment ref="R226" authorId="0">
      <text>
        <r>
          <t/>
        </r>
      </text>
    </comment>
    <comment ref="S226" authorId="0">
      <text>
        <r>
          <t/>
        </r>
      </text>
    </comment>
    <comment ref="T226" authorId="0">
      <text>
        <r>
          <t/>
        </r>
      </text>
    </comment>
    <comment ref="U226" authorId="0">
      <text>
        <r>
          <t/>
        </r>
      </text>
    </comment>
    <comment ref="F228" authorId="0">
      <text>
        <r>
          <t/>
        </r>
      </text>
    </comment>
    <comment ref="G228" authorId="0">
      <text>
        <r>
          <t/>
        </r>
      </text>
    </comment>
    <comment ref="H228" authorId="0">
      <text>
        <r>
          <t/>
        </r>
      </text>
    </comment>
    <comment ref="I228" authorId="0">
      <text>
        <r>
          <t/>
        </r>
      </text>
    </comment>
    <comment ref="J228" authorId="0">
      <text>
        <r>
          <t/>
        </r>
      </text>
    </comment>
    <comment ref="K228" authorId="0">
      <text>
        <r>
          <t/>
        </r>
      </text>
    </comment>
    <comment ref="L228" authorId="0">
      <text>
        <r>
          <t/>
        </r>
      </text>
    </comment>
    <comment ref="M228" authorId="0">
      <text>
        <r>
          <t/>
        </r>
      </text>
    </comment>
    <comment ref="N228" authorId="0">
      <text>
        <r>
          <t/>
        </r>
      </text>
    </comment>
    <comment ref="O228" authorId="0">
      <text>
        <r>
          <t/>
        </r>
      </text>
    </comment>
    <comment ref="P228" authorId="0">
      <text>
        <r>
          <t/>
        </r>
      </text>
    </comment>
    <comment ref="Q228" authorId="0">
      <text>
        <r>
          <t/>
        </r>
      </text>
    </comment>
    <comment ref="R228" authorId="0">
      <text>
        <r>
          <t/>
        </r>
      </text>
    </comment>
    <comment ref="S228" authorId="0">
      <text>
        <r>
          <t/>
        </r>
      </text>
    </comment>
    <comment ref="T228" authorId="0">
      <text>
        <r>
          <t/>
        </r>
      </text>
    </comment>
    <comment ref="U228" authorId="0">
      <text>
        <r>
          <t/>
        </r>
      </text>
    </comment>
    <comment ref="F232" authorId="0">
      <text>
        <r>
          <t/>
        </r>
      </text>
    </comment>
    <comment ref="G232" authorId="0">
      <text>
        <r>
          <t/>
        </r>
      </text>
    </comment>
    <comment ref="H232" authorId="0">
      <text>
        <r>
          <t/>
        </r>
      </text>
    </comment>
    <comment ref="I232" authorId="0">
      <text>
        <r>
          <t/>
        </r>
      </text>
    </comment>
    <comment ref="J232" authorId="0">
      <text>
        <r>
          <t/>
        </r>
      </text>
    </comment>
    <comment ref="K232" authorId="0">
      <text>
        <r>
          <t/>
        </r>
      </text>
    </comment>
    <comment ref="L232" authorId="0">
      <text>
        <r>
          <t/>
        </r>
      </text>
    </comment>
    <comment ref="M232" authorId="0">
      <text>
        <r>
          <t/>
        </r>
      </text>
    </comment>
    <comment ref="N232" authorId="0">
      <text>
        <r>
          <t/>
        </r>
      </text>
    </comment>
    <comment ref="O232" authorId="0">
      <text>
        <r>
          <t/>
        </r>
      </text>
    </comment>
    <comment ref="P232" authorId="0">
      <text>
        <r>
          <t/>
        </r>
      </text>
    </comment>
    <comment ref="Q232" authorId="0">
      <text>
        <r>
          <t/>
        </r>
      </text>
    </comment>
    <comment ref="R232" authorId="0">
      <text>
        <r>
          <t/>
        </r>
      </text>
    </comment>
    <comment ref="S232" authorId="0">
      <text>
        <r>
          <t/>
        </r>
      </text>
    </comment>
    <comment ref="T232" authorId="0">
      <text>
        <r>
          <t/>
        </r>
      </text>
    </comment>
    <comment ref="U232" authorId="0">
      <text>
        <r>
          <t/>
        </r>
      </text>
    </comment>
    <comment ref="F234" authorId="0">
      <text>
        <r>
          <t/>
        </r>
      </text>
    </comment>
    <comment ref="G234" authorId="0">
      <text>
        <r>
          <t/>
        </r>
      </text>
    </comment>
    <comment ref="H234" authorId="0">
      <text>
        <r>
          <t/>
        </r>
      </text>
    </comment>
    <comment ref="I234" authorId="0">
      <text>
        <r>
          <t/>
        </r>
      </text>
    </comment>
    <comment ref="J234" authorId="0">
      <text>
        <r>
          <t/>
        </r>
      </text>
    </comment>
    <comment ref="K234" authorId="0">
      <text>
        <r>
          <t/>
        </r>
      </text>
    </comment>
    <comment ref="L234" authorId="0">
      <text>
        <r>
          <t/>
        </r>
      </text>
    </comment>
    <comment ref="M234" authorId="0">
      <text>
        <r>
          <t/>
        </r>
      </text>
    </comment>
    <comment ref="N234" authorId="0">
      <text>
        <r>
          <t/>
        </r>
      </text>
    </comment>
    <comment ref="O234" authorId="0">
      <text>
        <r>
          <t/>
        </r>
      </text>
    </comment>
    <comment ref="P234" authorId="0">
      <text>
        <r>
          <t/>
        </r>
      </text>
    </comment>
    <comment ref="Q234" authorId="0">
      <text>
        <r>
          <t/>
        </r>
      </text>
    </comment>
    <comment ref="R234" authorId="0">
      <text>
        <r>
          <t/>
        </r>
      </text>
    </comment>
    <comment ref="S234" authorId="0">
      <text>
        <r>
          <t/>
        </r>
      </text>
    </comment>
    <comment ref="T234" authorId="0">
      <text>
        <r>
          <t/>
        </r>
      </text>
    </comment>
    <comment ref="U234" authorId="0">
      <text>
        <r>
          <t/>
        </r>
      </text>
    </comment>
    <comment ref="F237" authorId="0">
      <text>
        <r>
          <t/>
        </r>
      </text>
    </comment>
    <comment ref="G237" authorId="0">
      <text>
        <r>
          <t/>
        </r>
      </text>
    </comment>
    <comment ref="H237" authorId="0">
      <text>
        <r>
          <t/>
        </r>
      </text>
    </comment>
    <comment ref="I237" authorId="0">
      <text>
        <r>
          <t/>
        </r>
      </text>
    </comment>
    <comment ref="J237" authorId="0">
      <text>
        <r>
          <t/>
        </r>
      </text>
    </comment>
    <comment ref="K237" authorId="0">
      <text>
        <r>
          <t/>
        </r>
      </text>
    </comment>
    <comment ref="L237" authorId="0">
      <text>
        <r>
          <t/>
        </r>
      </text>
    </comment>
    <comment ref="M237" authorId="0">
      <text>
        <r>
          <t/>
        </r>
      </text>
    </comment>
    <comment ref="N237" authorId="0">
      <text>
        <r>
          <t/>
        </r>
      </text>
    </comment>
    <comment ref="O237" authorId="0">
      <text>
        <r>
          <t/>
        </r>
      </text>
    </comment>
    <comment ref="P237" authorId="0">
      <text>
        <r>
          <t/>
        </r>
      </text>
    </comment>
    <comment ref="Q237" authorId="0">
      <text>
        <r>
          <t/>
        </r>
      </text>
    </comment>
    <comment ref="R237" authorId="0">
      <text>
        <r>
          <t/>
        </r>
      </text>
    </comment>
    <comment ref="S237" authorId="0">
      <text>
        <r>
          <t/>
        </r>
      </text>
    </comment>
    <comment ref="T237" authorId="0">
      <text>
        <r>
          <t/>
        </r>
      </text>
    </comment>
    <comment ref="U237" authorId="0">
      <text>
        <r>
          <t/>
        </r>
      </text>
    </comment>
    <comment ref="F238" authorId="0">
      <text>
        <r>
          <t/>
        </r>
      </text>
    </comment>
    <comment ref="G238" authorId="0">
      <text>
        <r>
          <t/>
        </r>
      </text>
    </comment>
    <comment ref="H238" authorId="0">
      <text>
        <r>
          <t/>
        </r>
      </text>
    </comment>
    <comment ref="I238" authorId="0">
      <text>
        <r>
          <t/>
        </r>
      </text>
    </comment>
    <comment ref="J238" authorId="0">
      <text>
        <r>
          <t/>
        </r>
      </text>
    </comment>
    <comment ref="K238" authorId="0">
      <text>
        <r>
          <t/>
        </r>
      </text>
    </comment>
    <comment ref="L238" authorId="0">
      <text>
        <r>
          <t/>
        </r>
      </text>
    </comment>
    <comment ref="M238" authorId="0">
      <text>
        <r>
          <t/>
        </r>
      </text>
    </comment>
    <comment ref="N238" authorId="0">
      <text>
        <r>
          <t/>
        </r>
      </text>
    </comment>
    <comment ref="O238" authorId="0">
      <text>
        <r>
          <t/>
        </r>
      </text>
    </comment>
    <comment ref="P238" authorId="0">
      <text>
        <r>
          <t/>
        </r>
      </text>
    </comment>
    <comment ref="Q238" authorId="0">
      <text>
        <r>
          <t/>
        </r>
      </text>
    </comment>
    <comment ref="R238" authorId="0">
      <text>
        <r>
          <t/>
        </r>
      </text>
    </comment>
    <comment ref="S238" authorId="0">
      <text>
        <r>
          <t/>
        </r>
      </text>
    </comment>
    <comment ref="T238" authorId="0">
      <text>
        <r>
          <t/>
        </r>
      </text>
    </comment>
    <comment ref="U238" authorId="0">
      <text>
        <r>
          <t/>
        </r>
      </text>
    </comment>
    <comment ref="C239" authorId="0">
      <text>
        <r>
          <t/>
        </r>
      </text>
    </comment>
    <comment ref="F239" authorId="0">
      <text>
        <r>
          <t/>
        </r>
      </text>
    </comment>
    <comment ref="G239" authorId="0">
      <text>
        <r>
          <t/>
        </r>
      </text>
    </comment>
    <comment ref="H239" authorId="0">
      <text>
        <r>
          <t/>
        </r>
      </text>
    </comment>
    <comment ref="I239" authorId="0">
      <text>
        <r>
          <t/>
        </r>
      </text>
    </comment>
    <comment ref="J239" authorId="0">
      <text>
        <r>
          <t/>
        </r>
      </text>
    </comment>
    <comment ref="K239" authorId="0">
      <text>
        <r>
          <t/>
        </r>
      </text>
    </comment>
    <comment ref="L239" authorId="0">
      <text>
        <r>
          <t/>
        </r>
      </text>
    </comment>
    <comment ref="M239" authorId="0">
      <text>
        <r>
          <t/>
        </r>
      </text>
    </comment>
    <comment ref="N239" authorId="0">
      <text>
        <r>
          <t/>
        </r>
      </text>
    </comment>
    <comment ref="O239" authorId="0">
      <text>
        <r>
          <t/>
        </r>
      </text>
    </comment>
    <comment ref="P239" authorId="0">
      <text>
        <r>
          <t/>
        </r>
      </text>
    </comment>
    <comment ref="Q239" authorId="0">
      <text>
        <r>
          <t/>
        </r>
      </text>
    </comment>
    <comment ref="R239" authorId="0">
      <text>
        <r>
          <t/>
        </r>
      </text>
    </comment>
    <comment ref="S239" authorId="0">
      <text>
        <r>
          <t/>
        </r>
      </text>
    </comment>
    <comment ref="T239" authorId="0">
      <text>
        <r>
          <t/>
        </r>
      </text>
    </comment>
    <comment ref="U239" authorId="0">
      <text>
        <r>
          <t/>
        </r>
      </text>
    </comment>
    <comment ref="F240" authorId="0">
      <text>
        <r>
          <t/>
        </r>
      </text>
    </comment>
    <comment ref="G240" authorId="0">
      <text>
        <r>
          <t/>
        </r>
      </text>
    </comment>
    <comment ref="H240" authorId="0">
      <text>
        <r>
          <t/>
        </r>
      </text>
    </comment>
    <comment ref="I240" authorId="0">
      <text>
        <r>
          <t/>
        </r>
      </text>
    </comment>
    <comment ref="J240" authorId="0">
      <text>
        <r>
          <t/>
        </r>
      </text>
    </comment>
    <comment ref="K240" authorId="0">
      <text>
        <r>
          <t/>
        </r>
      </text>
    </comment>
    <comment ref="L240" authorId="0">
      <text>
        <r>
          <t/>
        </r>
      </text>
    </comment>
    <comment ref="M240" authorId="0">
      <text>
        <r>
          <t/>
        </r>
      </text>
    </comment>
    <comment ref="N240" authorId="0">
      <text>
        <r>
          <t/>
        </r>
      </text>
    </comment>
    <comment ref="O240" authorId="0">
      <text>
        <r>
          <t/>
        </r>
      </text>
    </comment>
    <comment ref="P240" authorId="0">
      <text>
        <r>
          <t/>
        </r>
      </text>
    </comment>
    <comment ref="Q240" authorId="0">
      <text>
        <r>
          <t/>
        </r>
      </text>
    </comment>
    <comment ref="R240" authorId="0">
      <text>
        <r>
          <t/>
        </r>
      </text>
    </comment>
    <comment ref="S240" authorId="0">
      <text>
        <r>
          <t/>
        </r>
      </text>
    </comment>
    <comment ref="T240" authorId="0">
      <text>
        <r>
          <t/>
        </r>
      </text>
    </comment>
    <comment ref="U240" authorId="0">
      <text>
        <r>
          <t/>
        </r>
      </text>
    </comment>
    <comment ref="C241" authorId="0">
      <text>
        <r>
          <t/>
        </r>
      </text>
    </comment>
    <comment ref="F241" authorId="0">
      <text>
        <r>
          <t/>
        </r>
      </text>
    </comment>
    <comment ref="G241" authorId="0">
      <text>
        <r>
          <t/>
        </r>
      </text>
    </comment>
    <comment ref="H241" authorId="0">
      <text>
        <r>
          <t/>
        </r>
      </text>
    </comment>
    <comment ref="I241" authorId="0">
      <text>
        <r>
          <t/>
        </r>
      </text>
    </comment>
    <comment ref="J241" authorId="0">
      <text>
        <r>
          <t/>
        </r>
      </text>
    </comment>
    <comment ref="K241" authorId="0">
      <text>
        <r>
          <t/>
        </r>
      </text>
    </comment>
    <comment ref="L241" authorId="0">
      <text>
        <r>
          <t/>
        </r>
      </text>
    </comment>
    <comment ref="M241" authorId="0">
      <text>
        <r>
          <t/>
        </r>
      </text>
    </comment>
    <comment ref="N241" authorId="0">
      <text>
        <r>
          <t/>
        </r>
      </text>
    </comment>
    <comment ref="O241" authorId="0">
      <text>
        <r>
          <t/>
        </r>
      </text>
    </comment>
    <comment ref="P241" authorId="0">
      <text>
        <r>
          <t/>
        </r>
      </text>
    </comment>
    <comment ref="Q241" authorId="0">
      <text>
        <r>
          <t/>
        </r>
      </text>
    </comment>
    <comment ref="R241" authorId="0">
      <text>
        <r>
          <t/>
        </r>
      </text>
    </comment>
    <comment ref="S241" authorId="0">
      <text>
        <r>
          <t/>
        </r>
      </text>
    </comment>
    <comment ref="T241" authorId="0">
      <text>
        <r>
          <t/>
        </r>
      </text>
    </comment>
    <comment ref="U241" authorId="0">
      <text>
        <r>
          <t/>
        </r>
      </text>
    </comment>
    <comment ref="C245" authorId="0">
      <text>
        <r>
          <t/>
        </r>
      </text>
    </comment>
    <comment ref="F245" authorId="0">
      <text>
        <r>
          <t/>
        </r>
      </text>
    </comment>
    <comment ref="G245" authorId="0">
      <text>
        <r>
          <t/>
        </r>
      </text>
    </comment>
    <comment ref="H245" authorId="0">
      <text>
        <r>
          <t/>
        </r>
      </text>
    </comment>
    <comment ref="I245" authorId="0">
      <text>
        <r>
          <t/>
        </r>
      </text>
    </comment>
    <comment ref="J245" authorId="0">
      <text>
        <r>
          <t/>
        </r>
      </text>
    </comment>
    <comment ref="K245" authorId="0">
      <text>
        <r>
          <t/>
        </r>
      </text>
    </comment>
    <comment ref="L245" authorId="0">
      <text>
        <r>
          <t/>
        </r>
      </text>
    </comment>
    <comment ref="M245" authorId="0">
      <text>
        <r>
          <t/>
        </r>
      </text>
    </comment>
    <comment ref="N245" authorId="0">
      <text>
        <r>
          <t/>
        </r>
      </text>
    </comment>
    <comment ref="O245" authorId="0">
      <text>
        <r>
          <t/>
        </r>
      </text>
    </comment>
    <comment ref="P245" authorId="0">
      <text>
        <r>
          <t/>
        </r>
      </text>
    </comment>
    <comment ref="Q245" authorId="0">
      <text>
        <r>
          <t/>
        </r>
      </text>
    </comment>
    <comment ref="R245" authorId="0">
      <text>
        <r>
          <t/>
        </r>
      </text>
    </comment>
    <comment ref="S245" authorId="0">
      <text>
        <r>
          <t/>
        </r>
      </text>
    </comment>
    <comment ref="T245" authorId="0">
      <text>
        <r>
          <t/>
        </r>
      </text>
    </comment>
    <comment ref="U245" authorId="0">
      <text>
        <r>
          <t/>
        </r>
      </text>
    </comment>
    <comment ref="C246" authorId="0">
      <text>
        <r>
          <rPr>
            <b/>
          </rPr>
          <t xml:space="preserve">EDGAR Mapper:
</t>
        </r>
        <r>
          <t>Stock-Based Comp Expense maps directly to Share-based Payment Arrangement, Noncash Expense.</t>
        </r>
      </text>
    </comment>
    <comment ref="F246" authorId="0">
      <text>
        <r>
          <rPr>
            <b/>
          </rPr>
          <t xml:space="preserve">EDGAR Mapper:
</t>
        </r>
        <r>
          <t>Stock-Based Comp Expense maps directly to Share-based Payment Arrangement, Noncash Expense.</t>
        </r>
      </text>
    </comment>
    <comment ref="G246" authorId="0">
      <text>
        <r>
          <t/>
        </r>
      </text>
    </comment>
    <comment ref="H246" authorId="0">
      <text>
        <r>
          <t/>
        </r>
      </text>
    </comment>
    <comment ref="I246" authorId="0">
      <text>
        <r>
          <t/>
        </r>
      </text>
    </comment>
    <comment ref="J246" authorId="0">
      <text>
        <r>
          <t/>
        </r>
      </text>
    </comment>
    <comment ref="K246" authorId="0">
      <text>
        <r>
          <rPr>
            <b/>
          </rPr>
          <t xml:space="preserve">EDGAR Mapper:
</t>
        </r>
        <r>
          <t>Stock-Based Comp Expense maps directly to Share-based Payment Arrangement, Noncash Expense.</t>
        </r>
      </text>
    </comment>
    <comment ref="L246" authorId="0">
      <text>
        <r>
          <t/>
        </r>
      </text>
    </comment>
    <comment ref="M246" authorId="0">
      <text>
        <r>
          <t/>
        </r>
      </text>
    </comment>
    <comment ref="N246" authorId="0">
      <text>
        <r>
          <t/>
        </r>
      </text>
    </comment>
    <comment ref="O246" authorId="0">
      <text>
        <r>
          <t/>
        </r>
      </text>
    </comment>
    <comment ref="P246" authorId="0">
      <text>
        <r>
          <rPr>
            <b/>
          </rPr>
          <t xml:space="preserve">EDGAR Mapper:
</t>
        </r>
        <r>
          <t>Stock-Based Comp Expense maps directly to Share-based Payment Arrangement, Noncash Expense.</t>
        </r>
      </text>
    </comment>
    <comment ref="Q246" authorId="0">
      <text>
        <r>
          <t/>
        </r>
      </text>
    </comment>
    <comment ref="R246" authorId="0">
      <text>
        <r>
          <t/>
        </r>
      </text>
    </comment>
    <comment ref="S246" authorId="0">
      <text>
        <r>
          <t/>
        </r>
      </text>
    </comment>
    <comment ref="T246" authorId="0">
      <text>
        <r>
          <t/>
        </r>
      </text>
    </comment>
    <comment ref="U246" authorId="0">
      <text>
        <r>
          <rPr>
            <b/>
          </rPr>
          <t xml:space="preserve">EDGAR Mapper:
</t>
        </r>
        <r>
          <t>Stock-Based Comp Expense maps directly to Share-based Payment Arrangement, Noncash Expense.</t>
        </r>
      </text>
    </comment>
    <comment ref="F247" authorId="0">
      <text>
        <r>
          <t/>
        </r>
      </text>
    </comment>
    <comment ref="G247" authorId="0">
      <text>
        <r>
          <t/>
        </r>
      </text>
    </comment>
    <comment ref="H247" authorId="0">
      <text>
        <r>
          <t/>
        </r>
      </text>
    </comment>
    <comment ref="I247" authorId="0">
      <text>
        <r>
          <t/>
        </r>
      </text>
    </comment>
    <comment ref="J247" authorId="0">
      <text>
        <r>
          <t/>
        </r>
      </text>
    </comment>
    <comment ref="K247" authorId="0">
      <text>
        <r>
          <t/>
        </r>
      </text>
    </comment>
    <comment ref="L247" authorId="0">
      <text>
        <r>
          <t/>
        </r>
      </text>
    </comment>
    <comment ref="M247" authorId="0">
      <text>
        <r>
          <t/>
        </r>
      </text>
    </comment>
    <comment ref="N247" authorId="0">
      <text>
        <r>
          <t/>
        </r>
      </text>
    </comment>
    <comment ref="O247" authorId="0">
      <text>
        <r>
          <t/>
        </r>
      </text>
    </comment>
    <comment ref="P247" authorId="0">
      <text>
        <r>
          <t/>
        </r>
      </text>
    </comment>
    <comment ref="Q247" authorId="0">
      <text>
        <r>
          <t/>
        </r>
      </text>
    </comment>
    <comment ref="R247" authorId="0">
      <text>
        <r>
          <t/>
        </r>
      </text>
    </comment>
    <comment ref="S247" authorId="0">
      <text>
        <r>
          <t/>
        </r>
      </text>
    </comment>
    <comment ref="T247" authorId="0">
      <text>
        <r>
          <t/>
        </r>
      </text>
    </comment>
    <comment ref="U247" authorId="0">
      <text>
        <r>
          <t/>
        </r>
      </text>
    </comment>
    <comment ref="F249" authorId="0">
      <text>
        <r>
          <t/>
        </r>
      </text>
    </comment>
    <comment ref="G249" authorId="0">
      <text>
        <r>
          <t/>
        </r>
      </text>
    </comment>
    <comment ref="H249" authorId="0">
      <text>
        <r>
          <t/>
        </r>
      </text>
    </comment>
    <comment ref="I249" authorId="0">
      <text>
        <r>
          <t/>
        </r>
      </text>
    </comment>
    <comment ref="J249" authorId="0">
      <text>
        <r>
          <t/>
        </r>
      </text>
    </comment>
    <comment ref="K249" authorId="0">
      <text>
        <r>
          <t/>
        </r>
      </text>
    </comment>
    <comment ref="L249" authorId="0">
      <text>
        <r>
          <t/>
        </r>
      </text>
    </comment>
    <comment ref="M249" authorId="0">
      <text>
        <r>
          <t/>
        </r>
      </text>
    </comment>
    <comment ref="N249" authorId="0">
      <text>
        <r>
          <t/>
        </r>
      </text>
    </comment>
    <comment ref="O249" authorId="0">
      <text>
        <r>
          <t/>
        </r>
      </text>
    </comment>
    <comment ref="P249" authorId="0">
      <text>
        <r>
          <t/>
        </r>
      </text>
    </comment>
    <comment ref="Q249" authorId="0">
      <text>
        <r>
          <t/>
        </r>
      </text>
    </comment>
    <comment ref="R249" authorId="0">
      <text>
        <r>
          <t/>
        </r>
      </text>
    </comment>
    <comment ref="S249" authorId="0">
      <text>
        <r>
          <t/>
        </r>
      </text>
    </comment>
    <comment ref="T249" authorId="0">
      <text>
        <r>
          <t/>
        </r>
      </text>
    </comment>
    <comment ref="U249" authorId="0">
      <text>
        <r>
          <t/>
        </r>
      </text>
    </comment>
    <comment ref="F252" authorId="0">
      <text>
        <r>
          <t/>
        </r>
      </text>
    </comment>
    <comment ref="G252" authorId="0">
      <text>
        <r>
          <t/>
        </r>
      </text>
    </comment>
    <comment ref="H252" authorId="0">
      <text>
        <r>
          <t/>
        </r>
      </text>
    </comment>
    <comment ref="I252" authorId="0">
      <text>
        <r>
          <t/>
        </r>
      </text>
    </comment>
    <comment ref="J252" authorId="0">
      <text>
        <r>
          <t/>
        </r>
      </text>
    </comment>
    <comment ref="K252" authorId="0">
      <text>
        <r>
          <t/>
        </r>
      </text>
    </comment>
    <comment ref="L252" authorId="0">
      <text>
        <r>
          <t/>
        </r>
      </text>
    </comment>
    <comment ref="M252" authorId="0">
      <text>
        <r>
          <t/>
        </r>
      </text>
    </comment>
    <comment ref="N252" authorId="0">
      <text>
        <r>
          <t/>
        </r>
      </text>
    </comment>
    <comment ref="O252" authorId="0">
      <text>
        <r>
          <t/>
        </r>
      </text>
    </comment>
    <comment ref="P252" authorId="0">
      <text>
        <r>
          <t/>
        </r>
      </text>
    </comment>
    <comment ref="Q252" authorId="0">
      <text>
        <r>
          <t/>
        </r>
      </text>
    </comment>
    <comment ref="R252" authorId="0">
      <text>
        <r>
          <t/>
        </r>
      </text>
    </comment>
    <comment ref="S252" authorId="0">
      <text>
        <r>
          <t/>
        </r>
      </text>
    </comment>
    <comment ref="T252" authorId="0">
      <text>
        <r>
          <t/>
        </r>
      </text>
    </comment>
    <comment ref="U252" authorId="0">
      <text>
        <r>
          <t/>
        </r>
      </text>
    </comment>
    <comment ref="F253" authorId="0">
      <text>
        <r>
          <t/>
        </r>
      </text>
    </comment>
    <comment ref="G253" authorId="0">
      <text>
        <r>
          <t/>
        </r>
      </text>
    </comment>
    <comment ref="H253" authorId="0">
      <text>
        <r>
          <t/>
        </r>
      </text>
    </comment>
    <comment ref="I253" authorId="0">
      <text>
        <r>
          <t/>
        </r>
      </text>
    </comment>
    <comment ref="J253" authorId="0">
      <text>
        <r>
          <t/>
        </r>
      </text>
    </comment>
    <comment ref="K253" authorId="0">
      <text>
        <r>
          <t/>
        </r>
      </text>
    </comment>
    <comment ref="L253" authorId="0">
      <text>
        <r>
          <t/>
        </r>
      </text>
    </comment>
    <comment ref="M253" authorId="0">
      <text>
        <r>
          <t/>
        </r>
      </text>
    </comment>
    <comment ref="N253" authorId="0">
      <text>
        <r>
          <t/>
        </r>
      </text>
    </comment>
    <comment ref="O253" authorId="0">
      <text>
        <r>
          <t/>
        </r>
      </text>
    </comment>
    <comment ref="P253" authorId="0">
      <text>
        <r>
          <t/>
        </r>
      </text>
    </comment>
    <comment ref="Q253" authorId="0">
      <text>
        <r>
          <t/>
        </r>
      </text>
    </comment>
    <comment ref="R253" authorId="0">
      <text>
        <r>
          <t/>
        </r>
      </text>
    </comment>
    <comment ref="S253" authorId="0">
      <text>
        <r>
          <t/>
        </r>
      </text>
    </comment>
    <comment ref="T253" authorId="0">
      <text>
        <r>
          <t/>
        </r>
      </text>
    </comment>
    <comment ref="U253" authorId="0">
      <text>
        <r>
          <t/>
        </r>
      </text>
    </comment>
    <comment ref="F254" authorId="0">
      <text>
        <r>
          <rPr>
            <b/>
          </rPr>
          <t xml:space="preserve">EDGAR Mapper:
</t>
        </r>
        <r>
          <t>Dividends maps directly to Payments of Dividends.</t>
        </r>
      </text>
    </comment>
    <comment ref="G254" authorId="0">
      <text>
        <r>
          <t/>
        </r>
      </text>
    </comment>
    <comment ref="H254" authorId="0">
      <text>
        <r>
          <t/>
        </r>
      </text>
    </comment>
    <comment ref="I254" authorId="0">
      <text>
        <r>
          <t/>
        </r>
      </text>
    </comment>
    <comment ref="J254" authorId="0">
      <text>
        <r>
          <t/>
        </r>
      </text>
    </comment>
    <comment ref="K254" authorId="0">
      <text>
        <r>
          <rPr>
            <b/>
          </rPr>
          <t xml:space="preserve">EDGAR Mapper:
</t>
        </r>
        <r>
          <t>Dividends maps directly to Payments of Dividends.</t>
        </r>
      </text>
    </comment>
    <comment ref="L254" authorId="0">
      <text>
        <r>
          <t/>
        </r>
      </text>
    </comment>
    <comment ref="M254" authorId="0">
      <text>
        <r>
          <t/>
        </r>
      </text>
    </comment>
    <comment ref="N254" authorId="0">
      <text>
        <r>
          <t/>
        </r>
      </text>
    </comment>
    <comment ref="O254" authorId="0">
      <text>
        <r>
          <t/>
        </r>
      </text>
    </comment>
    <comment ref="P254" authorId="0">
      <text>
        <r>
          <rPr>
            <b/>
          </rPr>
          <t xml:space="preserve">EDGAR Mapper:
</t>
        </r>
        <r>
          <t>Dividends maps directly to Payments of Dividends.</t>
        </r>
      </text>
    </comment>
    <comment ref="Q254" authorId="0">
      <text>
        <r>
          <t/>
        </r>
      </text>
    </comment>
    <comment ref="R254" authorId="0">
      <text>
        <r>
          <t/>
        </r>
      </text>
    </comment>
    <comment ref="S254" authorId="0">
      <text>
        <r>
          <t/>
        </r>
      </text>
    </comment>
    <comment ref="T254" authorId="0">
      <text>
        <r>
          <t/>
        </r>
      </text>
    </comment>
    <comment ref="U254" authorId="0">
      <text>
        <r>
          <rPr>
            <b/>
          </rPr>
          <t xml:space="preserve">EDGAR Mapper:
</t>
        </r>
        <r>
          <t>Dividends maps directly to Payments of Dividends.</t>
        </r>
      </text>
    </comment>
    <comment ref="F255" authorId="0">
      <text>
        <r>
          <t/>
        </r>
      </text>
    </comment>
    <comment ref="G255" authorId="0">
      <text>
        <r>
          <t/>
        </r>
      </text>
    </comment>
    <comment ref="H255" authorId="0">
      <text>
        <r>
          <t/>
        </r>
      </text>
    </comment>
    <comment ref="I255" authorId="0">
      <text>
        <r>
          <t/>
        </r>
      </text>
    </comment>
    <comment ref="J255" authorId="0">
      <text>
        <r>
          <t/>
        </r>
      </text>
    </comment>
    <comment ref="K255" authorId="0">
      <text>
        <r>
          <t/>
        </r>
      </text>
    </comment>
    <comment ref="L255" authorId="0">
      <text>
        <r>
          <t/>
        </r>
      </text>
    </comment>
    <comment ref="M255" authorId="0">
      <text>
        <r>
          <t/>
        </r>
      </text>
    </comment>
    <comment ref="N255" authorId="0">
      <text>
        <r>
          <t/>
        </r>
      </text>
    </comment>
    <comment ref="O255" authorId="0">
      <text>
        <r>
          <t/>
        </r>
      </text>
    </comment>
    <comment ref="P255" authorId="0">
      <text>
        <r>
          <t/>
        </r>
      </text>
    </comment>
    <comment ref="Q255" authorId="0">
      <text>
        <r>
          <t/>
        </r>
      </text>
    </comment>
    <comment ref="R255" authorId="0">
      <text>
        <r>
          <t/>
        </r>
      </text>
    </comment>
    <comment ref="S255" authorId="0">
      <text>
        <r>
          <t/>
        </r>
      </text>
    </comment>
    <comment ref="T255" authorId="0">
      <text>
        <r>
          <t/>
        </r>
      </text>
    </comment>
    <comment ref="U255" authorId="0">
      <text>
        <r>
          <t/>
        </r>
      </text>
    </comment>
    <comment ref="F256" authorId="0">
      <text>
        <r>
          <t/>
        </r>
      </text>
    </comment>
    <comment ref="G256" authorId="0">
      <text>
        <r>
          <t/>
        </r>
      </text>
    </comment>
    <comment ref="H256" authorId="0">
      <text>
        <r>
          <t/>
        </r>
      </text>
    </comment>
    <comment ref="I256" authorId="0">
      <text>
        <r>
          <t/>
        </r>
      </text>
    </comment>
    <comment ref="J256" authorId="0">
      <text>
        <r>
          <t/>
        </r>
      </text>
    </comment>
    <comment ref="K256" authorId="0">
      <text>
        <r>
          <t/>
        </r>
      </text>
    </comment>
    <comment ref="L256" authorId="0">
      <text>
        <r>
          <t/>
        </r>
      </text>
    </comment>
    <comment ref="M256" authorId="0">
      <text>
        <r>
          <t/>
        </r>
      </text>
    </comment>
    <comment ref="N256" authorId="0">
      <text>
        <r>
          <t/>
        </r>
      </text>
    </comment>
    <comment ref="O256" authorId="0">
      <text>
        <r>
          <t/>
        </r>
      </text>
    </comment>
    <comment ref="P256" authorId="0">
      <text>
        <r>
          <t/>
        </r>
      </text>
    </comment>
    <comment ref="Q256" authorId="0">
      <text>
        <r>
          <t/>
        </r>
      </text>
    </comment>
    <comment ref="R256" authorId="0">
      <text>
        <r>
          <t/>
        </r>
      </text>
    </comment>
    <comment ref="S256" authorId="0">
      <text>
        <r>
          <t/>
        </r>
      </text>
    </comment>
    <comment ref="T256" authorId="0">
      <text>
        <r>
          <t/>
        </r>
      </text>
    </comment>
    <comment ref="U256" authorId="0">
      <text>
        <r>
          <t/>
        </r>
      </text>
    </comment>
    <comment ref="F259" authorId="0">
      <text>
        <r>
          <t/>
        </r>
      </text>
    </comment>
    <comment ref="G259" authorId="0">
      <text>
        <r>
          <t/>
        </r>
      </text>
    </comment>
    <comment ref="H259" authorId="0">
      <text>
        <r>
          <t/>
        </r>
      </text>
    </comment>
    <comment ref="I259" authorId="0">
      <text>
        <r>
          <t/>
        </r>
      </text>
    </comment>
    <comment ref="J259" authorId="0">
      <text>
        <r>
          <t/>
        </r>
      </text>
    </comment>
    <comment ref="K259" authorId="0">
      <text>
        <r>
          <t/>
        </r>
      </text>
    </comment>
    <comment ref="L259" authorId="0">
      <text>
        <r>
          <t/>
        </r>
      </text>
    </comment>
    <comment ref="M259" authorId="0">
      <text>
        <r>
          <t/>
        </r>
      </text>
    </comment>
    <comment ref="N259" authorId="0">
      <text>
        <r>
          <t/>
        </r>
      </text>
    </comment>
    <comment ref="O259" authorId="0">
      <text>
        <r>
          <t/>
        </r>
      </text>
    </comment>
    <comment ref="P259" authorId="0">
      <text>
        <r>
          <t/>
        </r>
      </text>
    </comment>
    <comment ref="Q259" authorId="0">
      <text>
        <r>
          <t/>
        </r>
      </text>
    </comment>
    <comment ref="R259" authorId="0">
      <text>
        <r>
          <t/>
        </r>
      </text>
    </comment>
    <comment ref="S259" authorId="0">
      <text>
        <r>
          <t/>
        </r>
      </text>
    </comment>
    <comment ref="T259" authorId="0">
      <text>
        <r>
          <t/>
        </r>
      </text>
    </comment>
    <comment ref="U259" authorId="0">
      <text>
        <r>
          <t/>
        </r>
      </text>
    </comment>
    <comment ref="F260" authorId="0">
      <text>
        <r>
          <t/>
        </r>
      </text>
    </comment>
    <comment ref="G260" authorId="0">
      <text>
        <r>
          <t/>
        </r>
      </text>
    </comment>
    <comment ref="H260" authorId="0">
      <text>
        <r>
          <t/>
        </r>
      </text>
    </comment>
    <comment ref="I260" authorId="0">
      <text>
        <r>
          <t/>
        </r>
      </text>
    </comment>
    <comment ref="J260" authorId="0">
      <text>
        <r>
          <t/>
        </r>
      </text>
    </comment>
    <comment ref="K260" authorId="0">
      <text>
        <r>
          <t/>
        </r>
      </text>
    </comment>
    <comment ref="L260" authorId="0">
      <text>
        <r>
          <t/>
        </r>
      </text>
    </comment>
    <comment ref="M260" authorId="0">
      <text>
        <r>
          <t/>
        </r>
      </text>
    </comment>
    <comment ref="N260" authorId="0">
      <text>
        <r>
          <t/>
        </r>
      </text>
    </comment>
    <comment ref="O260" authorId="0">
      <text>
        <r>
          <t/>
        </r>
      </text>
    </comment>
    <comment ref="P260" authorId="0">
      <text>
        <r>
          <t/>
        </r>
      </text>
    </comment>
    <comment ref="Q260" authorId="0">
      <text>
        <r>
          <t/>
        </r>
      </text>
    </comment>
    <comment ref="R260" authorId="0">
      <text>
        <r>
          <t/>
        </r>
      </text>
    </comment>
    <comment ref="S260" authorId="0">
      <text>
        <r>
          <t/>
        </r>
      </text>
    </comment>
    <comment ref="T260" authorId="0">
      <text>
        <r>
          <t/>
        </r>
      </text>
    </comment>
    <comment ref="U260" authorId="0">
      <text>
        <r>
          <t/>
        </r>
      </text>
    </comment>
    <comment ref="F261" authorId="0">
      <text>
        <r>
          <t/>
        </r>
      </text>
    </comment>
    <comment ref="G261" authorId="0">
      <text>
        <r>
          <t/>
        </r>
      </text>
    </comment>
    <comment ref="H261" authorId="0">
      <text>
        <r>
          <t/>
        </r>
      </text>
    </comment>
    <comment ref="I261" authorId="0">
      <text>
        <r>
          <t/>
        </r>
      </text>
    </comment>
    <comment ref="J261" authorId="0">
      <text>
        <r>
          <t/>
        </r>
      </text>
    </comment>
    <comment ref="K261" authorId="0">
      <text>
        <r>
          <t/>
        </r>
      </text>
    </comment>
    <comment ref="L261" authorId="0">
      <text>
        <r>
          <t/>
        </r>
      </text>
    </comment>
    <comment ref="M261" authorId="0">
      <text>
        <r>
          <t/>
        </r>
      </text>
    </comment>
    <comment ref="N261" authorId="0">
      <text>
        <r>
          <t/>
        </r>
      </text>
    </comment>
    <comment ref="O261" authorId="0">
      <text>
        <r>
          <t/>
        </r>
      </text>
    </comment>
    <comment ref="P261" authorId="0">
      <text>
        <r>
          <t/>
        </r>
      </text>
    </comment>
    <comment ref="Q261" authorId="0">
      <text>
        <r>
          <t/>
        </r>
      </text>
    </comment>
    <comment ref="R261" authorId="0">
      <text>
        <r>
          <t/>
        </r>
      </text>
    </comment>
    <comment ref="S261" authorId="0">
      <text>
        <r>
          <t/>
        </r>
      </text>
    </comment>
    <comment ref="T261" authorId="0">
      <text>
        <r>
          <t/>
        </r>
      </text>
    </comment>
    <comment ref="U261" authorId="0">
      <text>
        <r>
          <t/>
        </r>
      </text>
    </comment>
    <comment ref="F264" authorId="0">
      <text>
        <r>
          <t/>
        </r>
      </text>
    </comment>
    <comment ref="G264" authorId="0">
      <text>
        <r>
          <t/>
        </r>
      </text>
    </comment>
    <comment ref="H264" authorId="0">
      <text>
        <r>
          <t/>
        </r>
      </text>
    </comment>
    <comment ref="I264" authorId="0">
      <text>
        <r>
          <t/>
        </r>
      </text>
    </comment>
    <comment ref="J264" authorId="0">
      <text>
        <r>
          <t/>
        </r>
      </text>
    </comment>
    <comment ref="K264" authorId="0">
      <text>
        <r>
          <t/>
        </r>
      </text>
    </comment>
    <comment ref="L264" authorId="0">
      <text>
        <r>
          <t/>
        </r>
      </text>
    </comment>
    <comment ref="M264" authorId="0">
      <text>
        <r>
          <t/>
        </r>
      </text>
    </comment>
    <comment ref="N264" authorId="0">
      <text>
        <r>
          <t/>
        </r>
      </text>
    </comment>
    <comment ref="O264" authorId="0">
      <text>
        <r>
          <t/>
        </r>
      </text>
    </comment>
    <comment ref="P264" authorId="0">
      <text>
        <r>
          <t/>
        </r>
      </text>
    </comment>
    <comment ref="Q264" authorId="0">
      <text>
        <r>
          <t/>
        </r>
      </text>
    </comment>
    <comment ref="R264" authorId="0">
      <text>
        <r>
          <t/>
        </r>
      </text>
    </comment>
    <comment ref="S264" authorId="0">
      <text>
        <r>
          <t/>
        </r>
      </text>
    </comment>
    <comment ref="T264" authorId="0">
      <text>
        <r>
          <t/>
        </r>
      </text>
    </comment>
    <comment ref="U264" authorId="0">
      <text>
        <r>
          <t/>
        </r>
      </text>
    </comment>
    <comment ref="F265" authorId="0">
      <text>
        <r>
          <t/>
        </r>
      </text>
    </comment>
    <comment ref="G265" authorId="0">
      <text>
        <r>
          <t/>
        </r>
      </text>
    </comment>
    <comment ref="H265" authorId="0">
      <text>
        <r>
          <t/>
        </r>
      </text>
    </comment>
    <comment ref="I265" authorId="0">
      <text>
        <r>
          <t/>
        </r>
      </text>
    </comment>
    <comment ref="J265" authorId="0">
      <text>
        <r>
          <t/>
        </r>
      </text>
    </comment>
    <comment ref="K265" authorId="0">
      <text>
        <r>
          <t/>
        </r>
      </text>
    </comment>
    <comment ref="L265" authorId="0">
      <text>
        <r>
          <t/>
        </r>
      </text>
    </comment>
    <comment ref="M265" authorId="0">
      <text>
        <r>
          <t/>
        </r>
      </text>
    </comment>
    <comment ref="N265" authorId="0">
      <text>
        <r>
          <t/>
        </r>
      </text>
    </comment>
    <comment ref="O265" authorId="0">
      <text>
        <r>
          <t/>
        </r>
      </text>
    </comment>
    <comment ref="P265" authorId="0">
      <text>
        <r>
          <t/>
        </r>
      </text>
    </comment>
    <comment ref="Q265" authorId="0">
      <text>
        <r>
          <t/>
        </r>
      </text>
    </comment>
    <comment ref="R265" authorId="0">
      <text>
        <r>
          <t/>
        </r>
      </text>
    </comment>
    <comment ref="S265" authorId="0">
      <text>
        <r>
          <t/>
        </r>
      </text>
    </comment>
    <comment ref="T265" authorId="0">
      <text>
        <r>
          <t/>
        </r>
      </text>
    </comment>
    <comment ref="U265" authorId="0">
      <text>
        <r>
          <t/>
        </r>
      </text>
    </comment>
    <comment ref="F266" authorId="0">
      <text>
        <r>
          <t/>
        </r>
      </text>
    </comment>
    <comment ref="G266" authorId="0">
      <text>
        <r>
          <t/>
        </r>
      </text>
    </comment>
    <comment ref="H266" authorId="0">
      <text>
        <r>
          <t/>
        </r>
      </text>
    </comment>
    <comment ref="I266" authorId="0">
      <text>
        <r>
          <t/>
        </r>
      </text>
    </comment>
    <comment ref="J266" authorId="0">
      <text>
        <r>
          <t/>
        </r>
      </text>
    </comment>
    <comment ref="K266" authorId="0">
      <text>
        <r>
          <t/>
        </r>
      </text>
    </comment>
    <comment ref="L266" authorId="0">
      <text>
        <r>
          <t/>
        </r>
      </text>
    </comment>
    <comment ref="M266" authorId="0">
      <text>
        <r>
          <t/>
        </r>
      </text>
    </comment>
    <comment ref="N266" authorId="0">
      <text>
        <r>
          <t/>
        </r>
      </text>
    </comment>
    <comment ref="O266" authorId="0">
      <text>
        <r>
          <t/>
        </r>
      </text>
    </comment>
    <comment ref="P266" authorId="0">
      <text>
        <r>
          <t/>
        </r>
      </text>
    </comment>
    <comment ref="Q266" authorId="0">
      <text>
        <r>
          <t/>
        </r>
      </text>
    </comment>
    <comment ref="R266" authorId="0">
      <text>
        <r>
          <t/>
        </r>
      </text>
    </comment>
    <comment ref="S266" authorId="0">
      <text>
        <r>
          <t/>
        </r>
      </text>
    </comment>
    <comment ref="T266" authorId="0">
      <text>
        <r>
          <t/>
        </r>
      </text>
    </comment>
    <comment ref="U266" authorId="0">
      <text>
        <r>
          <t/>
        </r>
      </text>
    </comment>
    <comment ref="F267" authorId="0">
      <text>
        <r>
          <t/>
        </r>
      </text>
    </comment>
    <comment ref="G267" authorId="0">
      <text>
        <r>
          <t/>
        </r>
      </text>
    </comment>
    <comment ref="H267" authorId="0">
      <text>
        <r>
          <t/>
        </r>
      </text>
    </comment>
    <comment ref="I267" authorId="0">
      <text>
        <r>
          <t/>
        </r>
      </text>
    </comment>
    <comment ref="J267" authorId="0">
      <text>
        <r>
          <t/>
        </r>
      </text>
    </comment>
    <comment ref="K267" authorId="0">
      <text>
        <r>
          <t/>
        </r>
      </text>
    </comment>
    <comment ref="L267" authorId="0">
      <text>
        <r>
          <t/>
        </r>
      </text>
    </comment>
    <comment ref="M267" authorId="0">
      <text>
        <r>
          <t/>
        </r>
      </text>
    </comment>
    <comment ref="N267" authorId="0">
      <text>
        <r>
          <t/>
        </r>
      </text>
    </comment>
    <comment ref="O267" authorId="0">
      <text>
        <r>
          <t/>
        </r>
      </text>
    </comment>
    <comment ref="P267" authorId="0">
      <text>
        <r>
          <t/>
        </r>
      </text>
    </comment>
    <comment ref="Q267" authorId="0">
      <text>
        <r>
          <t/>
        </r>
      </text>
    </comment>
    <comment ref="R267" authorId="0">
      <text>
        <r>
          <t/>
        </r>
      </text>
    </comment>
    <comment ref="S267" authorId="0">
      <text>
        <r>
          <t/>
        </r>
      </text>
    </comment>
    <comment ref="T267" authorId="0">
      <text>
        <r>
          <t/>
        </r>
      </text>
    </comment>
    <comment ref="U267" authorId="0">
      <text>
        <r>
          <t/>
        </r>
      </text>
    </comment>
    <comment ref="C271" authorId="0">
      <text>
        <r>
          <t/>
        </r>
      </text>
    </comment>
    <comment ref="F271" authorId="0">
      <text>
        <r>
          <t/>
        </r>
      </text>
    </comment>
    <comment ref="G271" authorId="0">
      <text>
        <r>
          <t/>
        </r>
      </text>
    </comment>
    <comment ref="H271" authorId="0">
      <text>
        <r>
          <t/>
        </r>
      </text>
    </comment>
    <comment ref="I271" authorId="0">
      <text>
        <r>
          <t/>
        </r>
      </text>
    </comment>
    <comment ref="J271" authorId="0">
      <text>
        <r>
          <t/>
        </r>
      </text>
    </comment>
    <comment ref="K271" authorId="0">
      <text>
        <r>
          <t/>
        </r>
      </text>
    </comment>
    <comment ref="L271" authorId="0">
      <text>
        <r>
          <t/>
        </r>
      </text>
    </comment>
    <comment ref="M271" authorId="0">
      <text>
        <r>
          <t/>
        </r>
      </text>
    </comment>
    <comment ref="N271" authorId="0">
      <text>
        <r>
          <t/>
        </r>
      </text>
    </comment>
    <comment ref="O271" authorId="0">
      <text>
        <r>
          <t/>
        </r>
      </text>
    </comment>
    <comment ref="P271" authorId="0">
      <text>
        <r>
          <t/>
        </r>
      </text>
    </comment>
    <comment ref="Q271" authorId="0">
      <text>
        <r>
          <t/>
        </r>
      </text>
    </comment>
    <comment ref="R271" authorId="0">
      <text>
        <r>
          <t/>
        </r>
      </text>
    </comment>
    <comment ref="S271" authorId="0">
      <text>
        <r>
          <t/>
        </r>
      </text>
    </comment>
    <comment ref="T271" authorId="0">
      <text>
        <r>
          <t/>
        </r>
      </text>
    </comment>
    <comment ref="U271" authorId="0">
      <text>
        <r>
          <t/>
        </r>
      </text>
    </comment>
    <comment ref="F272" authorId="0">
      <text>
        <r>
          <t/>
        </r>
      </text>
    </comment>
    <comment ref="G272" authorId="0">
      <text>
        <r>
          <t/>
        </r>
      </text>
    </comment>
    <comment ref="H272" authorId="0">
      <text>
        <r>
          <t/>
        </r>
      </text>
    </comment>
    <comment ref="I272" authorId="0">
      <text>
        <r>
          <t/>
        </r>
      </text>
    </comment>
    <comment ref="J272" authorId="0">
      <text>
        <r>
          <t/>
        </r>
      </text>
    </comment>
    <comment ref="K272" authorId="0">
      <text>
        <r>
          <t/>
        </r>
      </text>
    </comment>
    <comment ref="L272" authorId="0">
      <text>
        <r>
          <t/>
        </r>
      </text>
    </comment>
    <comment ref="M272" authorId="0">
      <text>
        <r>
          <t/>
        </r>
      </text>
    </comment>
    <comment ref="N272" authorId="0">
      <text>
        <r>
          <t/>
        </r>
      </text>
    </comment>
    <comment ref="O272" authorId="0">
      <text>
        <r>
          <t/>
        </r>
      </text>
    </comment>
    <comment ref="P272" authorId="0">
      <text>
        <r>
          <t/>
        </r>
      </text>
    </comment>
    <comment ref="Q272" authorId="0">
      <text>
        <r>
          <t/>
        </r>
      </text>
    </comment>
    <comment ref="R272" authorId="0">
      <text>
        <r>
          <t/>
        </r>
      </text>
    </comment>
    <comment ref="S272" authorId="0">
      <text>
        <r>
          <t/>
        </r>
      </text>
    </comment>
    <comment ref="T272" authorId="0">
      <text>
        <r>
          <t/>
        </r>
      </text>
    </comment>
    <comment ref="U272" authorId="0">
      <text>
        <r>
          <t/>
        </r>
      </text>
    </comment>
    <comment ref="F273" authorId="0">
      <text>
        <r>
          <t/>
        </r>
      </text>
    </comment>
    <comment ref="G273" authorId="0">
      <text>
        <r>
          <t/>
        </r>
      </text>
    </comment>
    <comment ref="H273" authorId="0">
      <text>
        <r>
          <t/>
        </r>
      </text>
    </comment>
    <comment ref="I273" authorId="0">
      <text>
        <r>
          <t/>
        </r>
      </text>
    </comment>
    <comment ref="J273" authorId="0">
      <text>
        <r>
          <t/>
        </r>
      </text>
    </comment>
    <comment ref="K273" authorId="0">
      <text>
        <r>
          <t/>
        </r>
      </text>
    </comment>
    <comment ref="L273" authorId="0">
      <text>
        <r>
          <t/>
        </r>
      </text>
    </comment>
    <comment ref="M273" authorId="0">
      <text>
        <r>
          <t/>
        </r>
      </text>
    </comment>
    <comment ref="N273" authorId="0">
      <text>
        <r>
          <t/>
        </r>
      </text>
    </comment>
    <comment ref="O273" authorId="0">
      <text>
        <r>
          <t/>
        </r>
      </text>
    </comment>
    <comment ref="P273" authorId="0">
      <text>
        <r>
          <t/>
        </r>
      </text>
    </comment>
    <comment ref="Q273" authorId="0">
      <text>
        <r>
          <t/>
        </r>
      </text>
    </comment>
    <comment ref="R273" authorId="0">
      <text>
        <r>
          <t/>
        </r>
      </text>
    </comment>
    <comment ref="S273" authorId="0">
      <text>
        <r>
          <t/>
        </r>
      </text>
    </comment>
    <comment ref="T273" authorId="0">
      <text>
        <r>
          <t/>
        </r>
      </text>
    </comment>
    <comment ref="U273" authorId="0">
      <text>
        <r>
          <t/>
        </r>
      </text>
    </comment>
    <comment ref="F275" authorId="0">
      <text>
        <r>
          <t/>
        </r>
      </text>
    </comment>
    <comment ref="G275" authorId="0">
      <text>
        <r>
          <t/>
        </r>
      </text>
    </comment>
    <comment ref="H275" authorId="0">
      <text>
        <r>
          <t/>
        </r>
      </text>
    </comment>
    <comment ref="I275" authorId="0">
      <text>
        <r>
          <t/>
        </r>
      </text>
    </comment>
    <comment ref="J275" authorId="0">
      <text>
        <r>
          <t/>
        </r>
      </text>
    </comment>
    <comment ref="K275" authorId="0">
      <text>
        <r>
          <t/>
        </r>
      </text>
    </comment>
    <comment ref="L275" authorId="0">
      <text>
        <r>
          <t/>
        </r>
      </text>
    </comment>
    <comment ref="M275" authorId="0">
      <text>
        <r>
          <t/>
        </r>
      </text>
    </comment>
    <comment ref="N275" authorId="0">
      <text>
        <r>
          <t/>
        </r>
      </text>
    </comment>
    <comment ref="O275" authorId="0">
      <text>
        <r>
          <t/>
        </r>
      </text>
    </comment>
    <comment ref="P275" authorId="0">
      <text>
        <r>
          <t/>
        </r>
      </text>
    </comment>
    <comment ref="Q275" authorId="0">
      <text>
        <r>
          <t/>
        </r>
      </text>
    </comment>
    <comment ref="R275" authorId="0">
      <text>
        <r>
          <t/>
        </r>
      </text>
    </comment>
    <comment ref="S275" authorId="0">
      <text>
        <r>
          <t/>
        </r>
      </text>
    </comment>
    <comment ref="T275" authorId="0">
      <text>
        <r>
          <t/>
        </r>
      </text>
    </comment>
    <comment ref="U275" authorId="0">
      <text>
        <r>
          <t/>
        </r>
      </text>
    </comment>
    <comment ref="C278" authorId="0">
      <text>
        <r>
          <t/>
        </r>
      </text>
    </comment>
    <comment ref="F278" authorId="0">
      <text>
        <r>
          <t/>
        </r>
      </text>
    </comment>
    <comment ref="G278" authorId="0">
      <text>
        <r>
          <t/>
        </r>
      </text>
    </comment>
    <comment ref="H278" authorId="0">
      <text>
        <r>
          <t/>
        </r>
      </text>
    </comment>
    <comment ref="I278" authorId="0">
      <text>
        <r>
          <t/>
        </r>
      </text>
    </comment>
    <comment ref="J278" authorId="0">
      <text>
        <r>
          <t/>
        </r>
      </text>
    </comment>
    <comment ref="K278" authorId="0">
      <text>
        <r>
          <t/>
        </r>
      </text>
    </comment>
    <comment ref="L278" authorId="0">
      <text>
        <r>
          <t/>
        </r>
      </text>
    </comment>
    <comment ref="M278" authorId="0">
      <text>
        <r>
          <t/>
        </r>
      </text>
    </comment>
    <comment ref="N278" authorId="0">
      <text>
        <r>
          <t/>
        </r>
      </text>
    </comment>
    <comment ref="O278" authorId="0">
      <text>
        <r>
          <t/>
        </r>
      </text>
    </comment>
    <comment ref="P278" authorId="0">
      <text>
        <r>
          <t/>
        </r>
      </text>
    </comment>
    <comment ref="Q278" authorId="0">
      <text>
        <r>
          <t/>
        </r>
      </text>
    </comment>
    <comment ref="R278" authorId="0">
      <text>
        <r>
          <t/>
        </r>
      </text>
    </comment>
    <comment ref="S278" authorId="0">
      <text>
        <r>
          <t/>
        </r>
      </text>
    </comment>
    <comment ref="T278" authorId="0">
      <text>
        <r>
          <t/>
        </r>
      </text>
    </comment>
    <comment ref="U278" authorId="0">
      <text>
        <r>
          <t/>
        </r>
      </text>
    </comment>
    <comment ref="C279" authorId="0">
      <text>
        <r>
          <t/>
        </r>
      </text>
    </comment>
    <comment ref="F279" authorId="0">
      <text>
        <r>
          <t/>
        </r>
      </text>
    </comment>
    <comment ref="G279" authorId="0">
      <text>
        <r>
          <t/>
        </r>
      </text>
    </comment>
    <comment ref="H279" authorId="0">
      <text>
        <r>
          <t/>
        </r>
      </text>
    </comment>
    <comment ref="I279" authorId="0">
      <text>
        <r>
          <t/>
        </r>
      </text>
    </comment>
    <comment ref="J279" authorId="0">
      <text>
        <r>
          <t/>
        </r>
      </text>
    </comment>
    <comment ref="K279" authorId="0">
      <text>
        <r>
          <t/>
        </r>
      </text>
    </comment>
    <comment ref="L279" authorId="0">
      <text>
        <r>
          <t/>
        </r>
      </text>
    </comment>
    <comment ref="M279" authorId="0">
      <text>
        <r>
          <t/>
        </r>
      </text>
    </comment>
    <comment ref="N279" authorId="0">
      <text>
        <r>
          <t/>
        </r>
      </text>
    </comment>
    <comment ref="O279" authorId="0">
      <text>
        <r>
          <t/>
        </r>
      </text>
    </comment>
    <comment ref="P279" authorId="0">
      <text>
        <r>
          <t/>
        </r>
      </text>
    </comment>
    <comment ref="Q279" authorId="0">
      <text>
        <r>
          <t/>
        </r>
      </text>
    </comment>
    <comment ref="R279" authorId="0">
      <text>
        <r>
          <t/>
        </r>
      </text>
    </comment>
    <comment ref="S279" authorId="0">
      <text>
        <r>
          <t/>
        </r>
      </text>
    </comment>
    <comment ref="T279" authorId="0">
      <text>
        <r>
          <t/>
        </r>
      </text>
    </comment>
    <comment ref="U279" authorId="0">
      <text>
        <r>
          <t/>
        </r>
      </text>
    </comment>
    <comment ref="F280" authorId="0">
      <text>
        <r>
          <t/>
        </r>
      </text>
    </comment>
    <comment ref="G280" authorId="0">
      <text>
        <r>
          <t/>
        </r>
      </text>
    </comment>
    <comment ref="H280" authorId="0">
      <text>
        <r>
          <t/>
        </r>
      </text>
    </comment>
    <comment ref="I280" authorId="0">
      <text>
        <r>
          <t/>
        </r>
      </text>
    </comment>
    <comment ref="J280" authorId="0">
      <text>
        <r>
          <t/>
        </r>
      </text>
    </comment>
    <comment ref="K280" authorId="0">
      <text>
        <r>
          <t/>
        </r>
      </text>
    </comment>
    <comment ref="L280" authorId="0">
      <text>
        <r>
          <t/>
        </r>
      </text>
    </comment>
    <comment ref="M280" authorId="0">
      <text>
        <r>
          <t/>
        </r>
      </text>
    </comment>
    <comment ref="N280" authorId="0">
      <text>
        <r>
          <t/>
        </r>
      </text>
    </comment>
    <comment ref="O280" authorId="0">
      <text>
        <r>
          <t/>
        </r>
      </text>
    </comment>
    <comment ref="P280" authorId="0">
      <text>
        <r>
          <t/>
        </r>
      </text>
    </comment>
    <comment ref="Q280" authorId="0">
      <text>
        <r>
          <t/>
        </r>
      </text>
    </comment>
    <comment ref="R280" authorId="0">
      <text>
        <r>
          <t/>
        </r>
      </text>
    </comment>
    <comment ref="S280" authorId="0">
      <text>
        <r>
          <t/>
        </r>
      </text>
    </comment>
    <comment ref="T280" authorId="0">
      <text>
        <r>
          <t/>
        </r>
      </text>
    </comment>
    <comment ref="U280" authorId="0">
      <text>
        <r>
          <t/>
        </r>
      </text>
    </comment>
    <comment ref="C282" authorId="0">
      <text>
        <r>
          <t/>
        </r>
      </text>
    </comment>
    <comment ref="F282" authorId="0">
      <text>
        <r>
          <t/>
        </r>
      </text>
    </comment>
    <comment ref="G282" authorId="0">
      <text>
        <r>
          <t/>
        </r>
      </text>
    </comment>
    <comment ref="H282" authorId="0">
      <text>
        <r>
          <t/>
        </r>
      </text>
    </comment>
    <comment ref="I282" authorId="0">
      <text>
        <r>
          <t/>
        </r>
      </text>
    </comment>
    <comment ref="J282" authorId="0">
      <text>
        <r>
          <t/>
        </r>
      </text>
    </comment>
    <comment ref="K282" authorId="0">
      <text>
        <r>
          <t/>
        </r>
      </text>
    </comment>
    <comment ref="L282" authorId="0">
      <text>
        <r>
          <t/>
        </r>
      </text>
    </comment>
    <comment ref="M282" authorId="0">
      <text>
        <r>
          <t/>
        </r>
      </text>
    </comment>
    <comment ref="N282" authorId="0">
      <text>
        <r>
          <t/>
        </r>
      </text>
    </comment>
    <comment ref="O282" authorId="0">
      <text>
        <r>
          <t/>
        </r>
      </text>
    </comment>
    <comment ref="P282" authorId="0">
      <text>
        <r>
          <t/>
        </r>
      </text>
    </comment>
    <comment ref="Q282" authorId="0">
      <text>
        <r>
          <t/>
        </r>
      </text>
    </comment>
    <comment ref="R282" authorId="0">
      <text>
        <r>
          <t/>
        </r>
      </text>
    </comment>
    <comment ref="S282" authorId="0">
      <text>
        <r>
          <t/>
        </r>
      </text>
    </comment>
    <comment ref="T282" authorId="0">
      <text>
        <r>
          <t/>
        </r>
      </text>
    </comment>
    <comment ref="U282" authorId="0">
      <text>
        <r>
          <t/>
        </r>
      </text>
    </comment>
    <comment ref="F283" authorId="0">
      <text>
        <r>
          <t/>
        </r>
      </text>
    </comment>
    <comment ref="G283" authorId="0">
      <text>
        <r>
          <t/>
        </r>
      </text>
    </comment>
    <comment ref="H283" authorId="0">
      <text>
        <r>
          <t/>
        </r>
      </text>
    </comment>
    <comment ref="I283" authorId="0">
      <text>
        <r>
          <t/>
        </r>
      </text>
    </comment>
    <comment ref="J283" authorId="0">
      <text>
        <r>
          <t/>
        </r>
      </text>
    </comment>
    <comment ref="K283" authorId="0">
      <text>
        <r>
          <t/>
        </r>
      </text>
    </comment>
    <comment ref="L283" authorId="0">
      <text>
        <r>
          <t/>
        </r>
      </text>
    </comment>
    <comment ref="M283" authorId="0">
      <text>
        <r>
          <t/>
        </r>
      </text>
    </comment>
    <comment ref="N283" authorId="0">
      <text>
        <r>
          <t/>
        </r>
      </text>
    </comment>
    <comment ref="O283" authorId="0">
      <text>
        <r>
          <t/>
        </r>
      </text>
    </comment>
    <comment ref="P283" authorId="0">
      <text>
        <r>
          <t/>
        </r>
      </text>
    </comment>
    <comment ref="Q283" authorId="0">
      <text>
        <r>
          <t/>
        </r>
      </text>
    </comment>
    <comment ref="R283" authorId="0">
      <text>
        <r>
          <t/>
        </r>
      </text>
    </comment>
    <comment ref="S283" authorId="0">
      <text>
        <r>
          <t/>
        </r>
      </text>
    </comment>
    <comment ref="T283" authorId="0">
      <text>
        <r>
          <t/>
        </r>
      </text>
    </comment>
    <comment ref="U283" authorId="0">
      <text>
        <r>
          <t/>
        </r>
      </text>
    </comment>
    <comment ref="C284" authorId="0">
      <text>
        <r>
          <t/>
        </r>
      </text>
    </comment>
    <comment ref="F284" authorId="0">
      <text>
        <r>
          <t/>
        </r>
      </text>
    </comment>
    <comment ref="G284" authorId="0">
      <text>
        <r>
          <t/>
        </r>
      </text>
    </comment>
    <comment ref="H284" authorId="0">
      <text>
        <r>
          <t/>
        </r>
      </text>
    </comment>
    <comment ref="I284" authorId="0">
      <text>
        <r>
          <t/>
        </r>
      </text>
    </comment>
    <comment ref="J284" authorId="0">
      <text>
        <r>
          <t/>
        </r>
      </text>
    </comment>
    <comment ref="K284" authorId="0">
      <text>
        <r>
          <t/>
        </r>
      </text>
    </comment>
    <comment ref="L284" authorId="0">
      <text>
        <r>
          <t/>
        </r>
      </text>
    </comment>
    <comment ref="M284" authorId="0">
      <text>
        <r>
          <t/>
        </r>
      </text>
    </comment>
    <comment ref="N284" authorId="0">
      <text>
        <r>
          <t/>
        </r>
      </text>
    </comment>
    <comment ref="O284" authorId="0">
      <text>
        <r>
          <t/>
        </r>
      </text>
    </comment>
    <comment ref="P284" authorId="0">
      <text>
        <r>
          <t/>
        </r>
      </text>
    </comment>
    <comment ref="Q284" authorId="0">
      <text>
        <r>
          <t/>
        </r>
      </text>
    </comment>
    <comment ref="R284" authorId="0">
      <text>
        <r>
          <t/>
        </r>
      </text>
    </comment>
    <comment ref="S284" authorId="0">
      <text>
        <r>
          <t/>
        </r>
      </text>
    </comment>
    <comment ref="T284" authorId="0">
      <text>
        <r>
          <t/>
        </r>
      </text>
    </comment>
    <comment ref="U284" authorId="0">
      <text>
        <r>
          <t/>
        </r>
      </text>
    </comment>
    <comment ref="F286" authorId="0">
      <text>
        <r>
          <t/>
        </r>
      </text>
    </comment>
    <comment ref="G286" authorId="0">
      <text>
        <r>
          <t/>
        </r>
      </text>
    </comment>
    <comment ref="H286" authorId="0">
      <text>
        <r>
          <t/>
        </r>
      </text>
    </comment>
    <comment ref="I286" authorId="0">
      <text>
        <r>
          <t/>
        </r>
      </text>
    </comment>
    <comment ref="J286" authorId="0">
      <text>
        <r>
          <t/>
        </r>
      </text>
    </comment>
    <comment ref="K286" authorId="0">
      <text>
        <r>
          <t/>
        </r>
      </text>
    </comment>
    <comment ref="L286" authorId="0">
      <text>
        <r>
          <t/>
        </r>
      </text>
    </comment>
    <comment ref="M286" authorId="0">
      <text>
        <r>
          <t/>
        </r>
      </text>
    </comment>
    <comment ref="N286" authorId="0">
      <text>
        <r>
          <t/>
        </r>
      </text>
    </comment>
    <comment ref="O286" authorId="0">
      <text>
        <r>
          <t/>
        </r>
      </text>
    </comment>
    <comment ref="P286" authorId="0">
      <text>
        <r>
          <t/>
        </r>
      </text>
    </comment>
    <comment ref="Q286" authorId="0">
      <text>
        <r>
          <t/>
        </r>
      </text>
    </comment>
    <comment ref="R286" authorId="0">
      <text>
        <r>
          <t/>
        </r>
      </text>
    </comment>
    <comment ref="S286" authorId="0">
      <text>
        <r>
          <t/>
        </r>
      </text>
    </comment>
    <comment ref="T286" authorId="0">
      <text>
        <r>
          <t/>
        </r>
      </text>
    </comment>
    <comment ref="U286" authorId="0">
      <text>
        <r>
          <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F299" authorId="0">
      <text>
        <r>
          <t/>
        </r>
      </text>
    </comment>
    <comment ref="G299" authorId="0">
      <text>
        <r>
          <t/>
        </r>
      </text>
    </comment>
    <comment ref="H299" authorId="0">
      <text>
        <r>
          <t/>
        </r>
      </text>
    </comment>
    <comment ref="I299" authorId="0">
      <text>
        <r>
          <t/>
        </r>
      </text>
    </comment>
    <comment ref="J299" authorId="0">
      <text>
        <r>
          <t/>
        </r>
      </text>
    </comment>
    <comment ref="K299" authorId="0">
      <text>
        <r>
          <t/>
        </r>
      </text>
    </comment>
    <comment ref="L299" authorId="0">
      <text>
        <r>
          <t/>
        </r>
      </text>
    </comment>
    <comment ref="M299" authorId="0">
      <text>
        <r>
          <t/>
        </r>
      </text>
    </comment>
    <comment ref="N299" authorId="0">
      <text>
        <r>
          <t/>
        </r>
      </text>
    </comment>
    <comment ref="O299" authorId="0">
      <text>
        <r>
          <t/>
        </r>
      </text>
    </comment>
    <comment ref="P299" authorId="0">
      <text>
        <r>
          <t/>
        </r>
      </text>
    </comment>
    <comment ref="Q299" authorId="0">
      <text>
        <r>
          <t/>
        </r>
      </text>
    </comment>
    <comment ref="R299" authorId="0">
      <text>
        <r>
          <t/>
        </r>
      </text>
    </comment>
    <comment ref="S299" authorId="0">
      <text>
        <r>
          <t/>
        </r>
      </text>
    </comment>
    <comment ref="T299" authorId="0">
      <text>
        <r>
          <t/>
        </r>
      </text>
    </comment>
    <comment ref="U299" authorId="0">
      <text>
        <r>
          <t/>
        </r>
      </text>
    </comment>
    <comment ref="F302" authorId="0">
      <text>
        <r>
          <t/>
        </r>
      </text>
    </comment>
    <comment ref="G302" authorId="0">
      <text>
        <r>
          <t/>
        </r>
      </text>
    </comment>
    <comment ref="H302" authorId="0">
      <text>
        <r>
          <t/>
        </r>
      </text>
    </comment>
    <comment ref="I302" authorId="0">
      <text>
        <r>
          <t/>
        </r>
      </text>
    </comment>
    <comment ref="J302" authorId="0">
      <text>
        <r>
          <t/>
        </r>
      </text>
    </comment>
    <comment ref="K302" authorId="0">
      <text>
        <r>
          <t/>
        </r>
      </text>
    </comment>
    <comment ref="L302" authorId="0">
      <text>
        <r>
          <t/>
        </r>
      </text>
    </comment>
    <comment ref="M302" authorId="0">
      <text>
        <r>
          <t/>
        </r>
      </text>
    </comment>
    <comment ref="N302" authorId="0">
      <text>
        <r>
          <t/>
        </r>
      </text>
    </comment>
    <comment ref="O302" authorId="0">
      <text>
        <r>
          <t/>
        </r>
      </text>
    </comment>
    <comment ref="P302" authorId="0">
      <text>
        <r>
          <t/>
        </r>
      </text>
    </comment>
    <comment ref="Q302" authorId="0">
      <text>
        <r>
          <t/>
        </r>
      </text>
    </comment>
    <comment ref="R302" authorId="0">
      <text>
        <r>
          <t/>
        </r>
      </text>
    </comment>
    <comment ref="S302" authorId="0">
      <text>
        <r>
          <t/>
        </r>
      </text>
    </comment>
    <comment ref="T302" authorId="0">
      <text>
        <r>
          <t/>
        </r>
      </text>
    </comment>
    <comment ref="U302" authorId="0">
      <text>
        <r>
          <t/>
        </r>
      </text>
    </comment>
    <comment ref="F303" authorId="0">
      <text>
        <r>
          <t/>
        </r>
      </text>
    </comment>
    <comment ref="G303" authorId="0">
      <text>
        <r>
          <t/>
        </r>
      </text>
    </comment>
    <comment ref="H303" authorId="0">
      <text>
        <r>
          <t/>
        </r>
      </text>
    </comment>
    <comment ref="I303" authorId="0">
      <text>
        <r>
          <t/>
        </r>
      </text>
    </comment>
    <comment ref="J303" authorId="0">
      <text>
        <r>
          <t/>
        </r>
      </text>
    </comment>
    <comment ref="K303" authorId="0">
      <text>
        <r>
          <t/>
        </r>
      </text>
    </comment>
    <comment ref="L303" authorId="0">
      <text>
        <r>
          <t/>
        </r>
      </text>
    </comment>
    <comment ref="M303" authorId="0">
      <text>
        <r>
          <t/>
        </r>
      </text>
    </comment>
    <comment ref="N303" authorId="0">
      <text>
        <r>
          <t/>
        </r>
      </text>
    </comment>
    <comment ref="O303" authorId="0">
      <text>
        <r>
          <t/>
        </r>
      </text>
    </comment>
    <comment ref="P303" authorId="0">
      <text>
        <r>
          <t/>
        </r>
      </text>
    </comment>
    <comment ref="Q303" authorId="0">
      <text>
        <r>
          <t/>
        </r>
      </text>
    </comment>
    <comment ref="R303" authorId="0">
      <text>
        <r>
          <t/>
        </r>
      </text>
    </comment>
    <comment ref="S303" authorId="0">
      <text>
        <r>
          <t/>
        </r>
      </text>
    </comment>
    <comment ref="T303" authorId="0">
      <text>
        <r>
          <t/>
        </r>
      </text>
    </comment>
    <comment ref="U303" authorId="0">
      <text>
        <r>
          <t/>
        </r>
      </text>
    </comment>
    <comment ref="F304" authorId="0">
      <text>
        <r>
          <t/>
        </r>
      </text>
    </comment>
    <comment ref="G304" authorId="0">
      <text>
        <r>
          <t/>
        </r>
      </text>
    </comment>
    <comment ref="H304" authorId="0">
      <text>
        <r>
          <t/>
        </r>
      </text>
    </comment>
    <comment ref="I304" authorId="0">
      <text>
        <r>
          <t/>
        </r>
      </text>
    </comment>
    <comment ref="J304" authorId="0">
      <text>
        <r>
          <t/>
        </r>
      </text>
    </comment>
    <comment ref="K304" authorId="0">
      <text>
        <r>
          <t/>
        </r>
      </text>
    </comment>
    <comment ref="L304" authorId="0">
      <text>
        <r>
          <t/>
        </r>
      </text>
    </comment>
    <comment ref="M304" authorId="0">
      <text>
        <r>
          <t/>
        </r>
      </text>
    </comment>
    <comment ref="N304" authorId="0">
      <text>
        <r>
          <t/>
        </r>
      </text>
    </comment>
    <comment ref="O304" authorId="0">
      <text>
        <r>
          <t/>
        </r>
      </text>
    </comment>
    <comment ref="P304" authorId="0">
      <text>
        <r>
          <t/>
        </r>
      </text>
    </comment>
    <comment ref="Q304" authorId="0">
      <text>
        <r>
          <t/>
        </r>
      </text>
    </comment>
    <comment ref="R304" authorId="0">
      <text>
        <r>
          <t/>
        </r>
      </text>
    </comment>
    <comment ref="S304" authorId="0">
      <text>
        <r>
          <t/>
        </r>
      </text>
    </comment>
    <comment ref="T304" authorId="0">
      <text>
        <r>
          <t/>
        </r>
      </text>
    </comment>
    <comment ref="U304" authorId="0">
      <text>
        <r>
          <t/>
        </r>
      </text>
    </comment>
    <comment ref="F307" authorId="0">
      <text>
        <r>
          <t/>
        </r>
      </text>
    </comment>
    <comment ref="G307" authorId="0">
      <text>
        <r>
          <t/>
        </r>
      </text>
    </comment>
    <comment ref="H307" authorId="0">
      <text>
        <r>
          <t/>
        </r>
      </text>
    </comment>
    <comment ref="I307" authorId="0">
      <text>
        <r>
          <t/>
        </r>
      </text>
    </comment>
    <comment ref="J307" authorId="0">
      <text>
        <r>
          <t/>
        </r>
      </text>
    </comment>
    <comment ref="K307" authorId="0">
      <text>
        <r>
          <t/>
        </r>
      </text>
    </comment>
    <comment ref="L307" authorId="0">
      <text>
        <r>
          <t/>
        </r>
      </text>
    </comment>
    <comment ref="M307" authorId="0">
      <text>
        <r>
          <t/>
        </r>
      </text>
    </comment>
    <comment ref="N307" authorId="0">
      <text>
        <r>
          <t/>
        </r>
      </text>
    </comment>
    <comment ref="O307" authorId="0">
      <text>
        <r>
          <t/>
        </r>
      </text>
    </comment>
    <comment ref="P307" authorId="0">
      <text>
        <r>
          <t/>
        </r>
      </text>
    </comment>
    <comment ref="Q307" authorId="0">
      <text>
        <r>
          <t/>
        </r>
      </text>
    </comment>
    <comment ref="R307" authorId="0">
      <text>
        <r>
          <t/>
        </r>
      </text>
    </comment>
    <comment ref="S307" authorId="0">
      <text>
        <r>
          <t/>
        </r>
      </text>
    </comment>
    <comment ref="T307" authorId="0">
      <text>
        <r>
          <t/>
        </r>
      </text>
    </comment>
    <comment ref="U307" authorId="0">
      <text>
        <r>
          <t/>
        </r>
      </text>
    </comment>
    <comment ref="F308" authorId="0">
      <text>
        <r>
          <t/>
        </r>
      </text>
    </comment>
    <comment ref="G308" authorId="0">
      <text>
        <r>
          <t/>
        </r>
      </text>
    </comment>
    <comment ref="H308" authorId="0">
      <text>
        <r>
          <t/>
        </r>
      </text>
    </comment>
    <comment ref="I308" authorId="0">
      <text>
        <r>
          <t/>
        </r>
      </text>
    </comment>
    <comment ref="J308" authorId="0">
      <text>
        <r>
          <t/>
        </r>
      </text>
    </comment>
    <comment ref="K308" authorId="0">
      <text>
        <r>
          <t/>
        </r>
      </text>
    </comment>
    <comment ref="L308" authorId="0">
      <text>
        <r>
          <t/>
        </r>
      </text>
    </comment>
    <comment ref="M308" authorId="0">
      <text>
        <r>
          <t/>
        </r>
      </text>
    </comment>
    <comment ref="N308" authorId="0">
      <text>
        <r>
          <t/>
        </r>
      </text>
    </comment>
    <comment ref="O308" authorId="0">
      <text>
        <r>
          <t/>
        </r>
      </text>
    </comment>
    <comment ref="P308" authorId="0">
      <text>
        <r>
          <t/>
        </r>
      </text>
    </comment>
    <comment ref="Q308" authorId="0">
      <text>
        <r>
          <t/>
        </r>
      </text>
    </comment>
    <comment ref="R308" authorId="0">
      <text>
        <r>
          <t/>
        </r>
      </text>
    </comment>
    <comment ref="S308" authorId="0">
      <text>
        <r>
          <t/>
        </r>
      </text>
    </comment>
    <comment ref="T308" authorId="0">
      <text>
        <r>
          <t/>
        </r>
      </text>
    </comment>
    <comment ref="U308" authorId="0">
      <text>
        <r>
          <t/>
        </r>
      </text>
    </comment>
    <comment ref="F309" authorId="0">
      <text>
        <r>
          <t/>
        </r>
      </text>
    </comment>
    <comment ref="G309" authorId="0">
      <text>
        <r>
          <t/>
        </r>
      </text>
    </comment>
    <comment ref="H309" authorId="0">
      <text>
        <r>
          <t/>
        </r>
      </text>
    </comment>
    <comment ref="I309" authorId="0">
      <text>
        <r>
          <t/>
        </r>
      </text>
    </comment>
    <comment ref="J309" authorId="0">
      <text>
        <r>
          <t/>
        </r>
      </text>
    </comment>
    <comment ref="K309" authorId="0">
      <text>
        <r>
          <t/>
        </r>
      </text>
    </comment>
    <comment ref="L309" authorId="0">
      <text>
        <r>
          <t/>
        </r>
      </text>
    </comment>
    <comment ref="M309" authorId="0">
      <text>
        <r>
          <t/>
        </r>
      </text>
    </comment>
    <comment ref="N309" authorId="0">
      <text>
        <r>
          <t/>
        </r>
      </text>
    </comment>
    <comment ref="O309" authorId="0">
      <text>
        <r>
          <t/>
        </r>
      </text>
    </comment>
    <comment ref="P309" authorId="0">
      <text>
        <r>
          <t/>
        </r>
      </text>
    </comment>
    <comment ref="Q309" authorId="0">
      <text>
        <r>
          <t/>
        </r>
      </text>
    </comment>
    <comment ref="R309" authorId="0">
      <text>
        <r>
          <t/>
        </r>
      </text>
    </comment>
    <comment ref="S309" authorId="0">
      <text>
        <r>
          <t/>
        </r>
      </text>
    </comment>
    <comment ref="T309" authorId="0">
      <text>
        <r>
          <t/>
        </r>
      </text>
    </comment>
    <comment ref="U309" authorId="0">
      <text>
        <r>
          <t/>
        </r>
      </text>
    </comment>
    <comment ref="F310" authorId="0">
      <text>
        <r>
          <t/>
        </r>
      </text>
    </comment>
    <comment ref="G310" authorId="0">
      <text>
        <r>
          <t/>
        </r>
      </text>
    </comment>
    <comment ref="H310" authorId="0">
      <text>
        <r>
          <t/>
        </r>
      </text>
    </comment>
    <comment ref="I310" authorId="0">
      <text>
        <r>
          <t/>
        </r>
      </text>
    </comment>
    <comment ref="J310" authorId="0">
      <text>
        <r>
          <t/>
        </r>
      </text>
    </comment>
    <comment ref="K310" authorId="0">
      <text>
        <r>
          <t/>
        </r>
      </text>
    </comment>
    <comment ref="L310" authorId="0">
      <text>
        <r>
          <t/>
        </r>
      </text>
    </comment>
    <comment ref="M310" authorId="0">
      <text>
        <r>
          <t/>
        </r>
      </text>
    </comment>
    <comment ref="N310" authorId="0">
      <text>
        <r>
          <t/>
        </r>
      </text>
    </comment>
    <comment ref="O310" authorId="0">
      <text>
        <r>
          <t/>
        </r>
      </text>
    </comment>
    <comment ref="P310" authorId="0">
      <text>
        <r>
          <t/>
        </r>
      </text>
    </comment>
    <comment ref="Q310" authorId="0">
      <text>
        <r>
          <t/>
        </r>
      </text>
    </comment>
    <comment ref="R310" authorId="0">
      <text>
        <r>
          <t/>
        </r>
      </text>
    </comment>
    <comment ref="S310" authorId="0">
      <text>
        <r>
          <t/>
        </r>
      </text>
    </comment>
    <comment ref="T310" authorId="0">
      <text>
        <r>
          <t/>
        </r>
      </text>
    </comment>
    <comment ref="U310" authorId="0">
      <text>
        <r>
          <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Reported maps directly to Reported Revenue.</t>
        </r>
      </text>
    </comment>
    <comment ref="G8" authorId="0">
      <text>
        <r>
          <rPr>
            <b/>
          </rPr>
          <t xml:space="preserve">EDGAR Mapper:
</t>
        </r>
        <r>
          <t>Reported maps directly to Reported Revenue.</t>
        </r>
      </text>
    </comment>
    <comment ref="H8" authorId="0">
      <text>
        <r>
          <rPr>
            <b/>
          </rPr>
          <t xml:space="preserve">EDGAR Mapper:
</t>
        </r>
        <r>
          <t>Reported maps directly to Reported Revenue.</t>
        </r>
      </text>
    </comment>
    <comment ref="K8" authorId="0">
      <text>
        <r>
          <rPr>
            <b/>
          </rPr>
          <t xml:space="preserve">EDGAR Mapper:
</t>
        </r>
        <r>
          <t>Reported maps directly to Reported Revenue.</t>
        </r>
      </text>
    </comment>
    <comment ref="L8" authorId="0">
      <text>
        <r>
          <rPr>
            <b/>
          </rPr>
          <t xml:space="preserve">EDGAR Mapper:
</t>
        </r>
        <r>
          <t>Reported maps directly to Reported Revenue.</t>
        </r>
      </text>
    </comment>
    <comment ref="M8" authorId="0">
      <text>
        <r>
          <rPr>
            <b/>
          </rPr>
          <t xml:space="preserve">EDGAR Mapper:
</t>
        </r>
        <r>
          <t>Reported maps directly to Reported Revenue.</t>
        </r>
      </text>
    </comment>
    <comment ref="N8" authorId="0">
      <text>
        <r>
          <rPr>
            <b/>
          </rPr>
          <t xml:space="preserve">EDGAR Mapper:
</t>
        </r>
        <r>
          <t>Reported maps directly to Reported Revenue.</t>
        </r>
      </text>
    </comment>
    <comment ref="P8" authorId="0">
      <text>
        <r>
          <rPr>
            <b/>
          </rPr>
          <t xml:space="preserve">EDGAR Mapper:
</t>
        </r>
        <r>
          <t>Reported maps directly to Reported Revenue.</t>
        </r>
      </text>
    </comment>
    <comment ref="Q8" authorId="0">
      <text>
        <r>
          <rPr>
            <b/>
          </rPr>
          <t xml:space="preserve">EDGAR Mapper:
</t>
        </r>
        <r>
          <t>Reported maps directly to Reported Revenue.</t>
        </r>
      </text>
    </comment>
    <comment ref="R8" authorId="0">
      <text>
        <r>
          <rPr>
            <b/>
          </rPr>
          <t xml:space="preserve">EDGAR Mapper:
</t>
        </r>
        <r>
          <t>Reported maps directly to Reported Revenue.</t>
        </r>
      </text>
    </comment>
    <comment ref="S8" authorId="0">
      <text>
        <r>
          <rPr>
            <b/>
          </rPr>
          <t xml:space="preserve">EDGAR Mapper:
</t>
        </r>
        <r>
          <t>Reported maps directly to Reported Revenue.</t>
        </r>
      </text>
    </comment>
    <comment ref="U8" authorId="0">
      <text>
        <r>
          <rPr>
            <b/>
          </rPr>
          <t xml:space="preserve">EDGAR Mapper:
</t>
        </r>
        <r>
          <t>Reported maps directly to Reported Revenue.</t>
        </r>
      </text>
    </comment>
    <comment ref="F34" authorId="0">
      <text>
        <r>
          <rPr>
            <b/>
          </rPr>
          <t xml:space="preserve">EDGAR Mapper:
</t>
        </r>
        <r>
          <t>Material Reconciling Items maps directly to Material Reconciling Items Operating Income.</t>
        </r>
      </text>
    </comment>
    <comment ref="G34" authorId="0">
      <text>
        <r>
          <rPr>
            <b/>
          </rPr>
          <t xml:space="preserve">EDGAR Mapper:
</t>
        </r>
        <r>
          <t>Material Reconciling Items maps directly to Material Reconciling Items Operating Income.</t>
        </r>
      </text>
    </comment>
    <comment ref="H34" authorId="0">
      <text>
        <r>
          <rPr>
            <b/>
          </rPr>
          <t xml:space="preserve">EDGAR Mapper:
</t>
        </r>
        <r>
          <t>Material Reconciling Items maps directly to Material Reconciling Items Operating Income.</t>
        </r>
      </text>
    </comment>
    <comment ref="K34" authorId="0">
      <text>
        <r>
          <rPr>
            <b/>
          </rPr>
          <t xml:space="preserve">EDGAR Mapper:
</t>
        </r>
        <r>
          <t>Material Reconciling Items maps directly to Material Reconciling Items Operating Income.</t>
        </r>
      </text>
    </comment>
    <comment ref="L34" authorId="0">
      <text>
        <r>
          <rPr>
            <b/>
          </rPr>
          <t xml:space="preserve">EDGAR Mapper:
</t>
        </r>
        <r>
          <t>Material Reconciling Items maps directly to Material Reconciling Items Operating Income.</t>
        </r>
      </text>
    </comment>
    <comment ref="M34" authorId="0">
      <text>
        <r>
          <rPr>
            <b/>
          </rPr>
          <t xml:space="preserve">EDGAR Mapper:
</t>
        </r>
        <r>
          <t>Material Reconciling Items maps directly to Material Reconciling Items Operating Income.</t>
        </r>
      </text>
    </comment>
    <comment ref="N34" authorId="0">
      <text>
        <r>
          <rPr>
            <b/>
          </rPr>
          <t xml:space="preserve">EDGAR Mapper:
</t>
        </r>
        <r>
          <t>Material Reconciling Items maps directly to Material Reconciling Items Operating Income.</t>
        </r>
      </text>
    </comment>
    <comment ref="P34" authorId="0">
      <text>
        <r>
          <rPr>
            <b/>
          </rPr>
          <t xml:space="preserve">EDGAR Mapper:
</t>
        </r>
        <r>
          <t>Material Reconciling Items maps directly to Material Reconciling Items Operating Income.</t>
        </r>
      </text>
    </comment>
    <comment ref="Q34" authorId="0">
      <text>
        <r>
          <rPr>
            <b/>
          </rPr>
          <t xml:space="preserve">EDGAR Mapper:
</t>
        </r>
        <r>
          <t>Material Reconciling Items maps directly to Material Reconciling Items Operating Income.</t>
        </r>
      </text>
    </comment>
    <comment ref="R34" authorId="0">
      <text>
        <r>
          <rPr>
            <b/>
          </rPr>
          <t xml:space="preserve">EDGAR Mapper:
</t>
        </r>
        <r>
          <t>Material Reconciling Items maps directly to Material Reconciling Items Operating Income.</t>
        </r>
      </text>
    </comment>
    <comment ref="S34" authorId="0">
      <text>
        <r>
          <rPr>
            <b/>
          </rPr>
          <t xml:space="preserve">EDGAR Mapper:
</t>
        </r>
        <r>
          <t>Material Reconciling Items maps directly to Material Reconciling Items Operating Income.</t>
        </r>
      </text>
    </comment>
    <comment ref="U34" authorId="0">
      <text>
        <r>
          <rPr>
            <b/>
          </rPr>
          <t xml:space="preserve">EDGAR Mapper:
</t>
        </r>
        <r>
          <t>Material Reconciling Items maps directly to Material Reconciling Items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t/>
        </r>
      </text>
    </comment>
    <comment ref="G52" authorId="0">
      <text>
        <r>
          <t/>
        </r>
      </text>
    </comment>
    <comment ref="H52" authorId="0">
      <text>
        <r>
          <t/>
        </r>
      </text>
    </comment>
    <comment ref="I52" authorId="0">
      <text>
        <r>
          <t/>
        </r>
      </text>
    </comment>
    <comment ref="K52" authorId="0">
      <text>
        <r>
          <t/>
        </r>
      </text>
    </comment>
    <comment ref="L52" authorId="0">
      <text>
        <r>
          <t/>
        </r>
      </text>
    </comment>
    <comment ref="M52" authorId="0">
      <text>
        <r>
          <t/>
        </r>
      </text>
    </comment>
    <comment ref="N52" authorId="0">
      <text>
        <r>
          <t/>
        </r>
      </text>
    </comment>
    <comment ref="P52" authorId="0">
      <text>
        <r>
          <t/>
        </r>
      </text>
    </comment>
    <comment ref="Q52" authorId="0">
      <text>
        <r>
          <t/>
        </r>
      </text>
    </comment>
    <comment ref="R52" authorId="0">
      <text>
        <r>
          <t/>
        </r>
      </text>
    </comment>
    <comment ref="S52" authorId="0">
      <text>
        <r>
          <t/>
        </r>
      </text>
    </comment>
    <comment ref="U52" authorId="0">
      <text>
        <r>
          <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rgb="FF000000"/>
            <family val="2"/>
            <sz val="11"/>
            <rFont val="Calibri"/>
          </rPr>
          <t xml:space="preserve">======
</t>
        </r>
        <r>
          <rPr>
            <color rgb="FF000000"/>
            <family val="2"/>
            <sz val="11"/>
            <rFont val="Calibri"/>
          </rPr>
          <t xml:space="preserve">ID#AAABbnJBVyo
</t>
        </r>
        <r>
          <rPr>
            <color rgb="FF000000"/>
            <family val="2"/>
            <sz val="11"/>
            <rFont val="Calibri"/>
          </rPr>
          <t xml:space="preserve">Zach Pfeffer    (2025-01-14 21:09:38)
</t>
        </r>
        <r>
          <rPr>
            <color rgb="FF000000"/>
            <family val="2"/>
            <sz val="11"/>
            <rFont val="Calibri"/>
          </rPr>
          <t xml:space="preserve">Copy all numbers in these two tables and paste into the two tables above as values
</t>
        </r>
        <r>
          <rPr>
            <color rgb="FF000000"/>
            <family val="2"/>
            <sz val="11"/>
            <rFont val="Calibri"/>
          </rPr>
          <t xml:space="preserve">
</t>
        </r>
        <r>
          <rPr>
            <color rgb="FF000000"/>
            <family val="2"/>
            <sz val="11"/>
            <rFont val="Calibri"/>
          </rPr>
          <t xml:space="preserve">Ctrl + C and then use the shortcut Ctrl + Alt + V + V to paste in as values
</t>
        </r>
        <r>
          <rPr>
            <color rgb="FF000000"/>
            <family val="2"/>
            <sz val="11"/>
            <rFont val="Calibri"/>
          </rPr>
          <t xml:space="preserve">
</t>
        </r>
        <r>
          <rPr>
            <color rgb="FF000000"/>
            <family val="2"/>
            <sz val="11"/>
            <rFont val="Calibri"/>
          </rPr>
          <t>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<sst xmlns="http://schemas.openxmlformats.org/spreadsheetml/2006/main" count="87342" uniqueCount="5901">
  <si>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</si>
  <si>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</si>
  <si>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</si>
  <si>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</si>
  <si>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</si>
  <si>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</si>
  <si>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</si>
  <si>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</si>
  <si>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</si>
  <si>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</si>
  <si>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</si>
  <si>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</si>
  <si>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</si>
  <si>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</si>
  <si>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</si>
  <si>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</si>
  <si>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</si>
  <si>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</si>
  <si>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</si>
  <si>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</si>
  <si>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</si>
  <si>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</si>
  <si>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</si>
  <si>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</si>
  <si>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COCA COLA CO</t>
  </si>
  <si>
    <t>Ticker</t>
  </si>
  <si>
    <t>KO</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</si>
  <si>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</si>
  <si>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</si>
  <si>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</si>
  <si>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</si>
  <si>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</si>
  <si>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</si>
  <si>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</si>
  <si>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</si>
  <si>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</si>
  <si>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</si>
  <si>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</si>
  <si>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</si>
  <si>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</si>
  <si>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</si>
  <si>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</si>
  <si>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</si>
  <si>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</si>
  <si>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</si>
  <si>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</si>
  <si>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</si>
  <si>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</si>
  <si>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</si>
  <si>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</si>
  <si>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</si>
  <si>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</si>
  <si>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</si>
  <si>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</si>
  <si>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</si>
  <si>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</si>
  <si>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</si>
  <si>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</si>
  <si>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</si>
  <si>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</si>
  <si>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</si>
  <si>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</si>
  <si>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</si>
  <si>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</si>
  <si>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</si>
  <si>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</si>
  <si>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</si>
  <si>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</si>
  <si>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</si>
  <si>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</si>
  <si>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</si>
  <si>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</si>
  <si>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</si>
  <si>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</si>
  <si>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</si>
  <si>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</si>
  <si>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</si>
  <si>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</si>
  <si>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</si>
  <si>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</si>
  <si>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</si>
  <si>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</si>
  <si>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</si>
  <si>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</si>
  <si>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</si>
  <si>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</si>
  <si>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</si>
  <si>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</si>
  <si>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</si>
  <si>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</si>
  <si>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</si>
  <si>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</si>
  <si>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</si>
  <si>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</si>
  <si>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</si>
  <si>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</si>
  <si>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</si>
  <si>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</si>
  <si>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</si>
  <si>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</si>
  <si>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</si>
  <si>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</si>
  <si>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</si>
  <si>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</si>
  <si>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</si>
  <si>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</si>
  <si>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</si>
  <si>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</si>
  <si>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</si>
  <si>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</si>
  <si>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</si>
  <si>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</si>
  <si>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</si>
  <si>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</si>
  <si>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</si>
  <si>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</si>
  <si>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</si>
  <si>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</si>
  <si>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</si>
  <si>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</si>
  <si>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</si>
  <si>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</si>
  <si>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</si>
  <si>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</si>
  <si>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</si>
  <si>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</si>
  <si>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</si>
  <si>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</si>
  <si>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</si>
  <si>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</si>
  <si>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</si>
  <si>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</si>
  <si>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</si>
  <si>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</si>
  <si>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</si>
  <si>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</si>
  <si>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</si>
  <si>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</si>
  <si>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</si>
  <si>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</si>
  <si>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</si>
  <si>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</si>
  <si>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</si>
  <si>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</si>
  <si>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</si>
  <si>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</si>
  <si>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</si>
  <si>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</si>
  <si>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</si>
  <si>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</si>
  <si>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</si>
  <si>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</si>
  <si>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</si>
  <si>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</si>
  <si>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</si>
  <si>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</si>
  <si>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</si>
  <si>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</si>
  <si>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</si>
  <si>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</si>
  <si>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</si>
  <si>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</si>
  <si>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</si>
  <si>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</si>
  <si>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</si>
  <si>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</si>
  <si>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</si>
  <si>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</si>
  <si>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</si>
  <si>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</si>
  <si>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</si>
  <si>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</si>
  <si>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</si>
  <si>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</si>
  <si>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</si>
  <si>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</si>
  <si>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</si>
  <si>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</si>
  <si>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</si>
  <si>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</si>
  <si>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</si>
  <si>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</si>
  <si>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</si>
  <si>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</si>
  <si>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</si>
  <si>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</si>
  <si>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</si>
  <si>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</si>
  <si>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</si>
  <si>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</si>
  <si>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</si>
  <si>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</si>
  <si>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</si>
  <si>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</si>
  <si>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</si>
  <si>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</si>
  <si>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</si>
  <si>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</si>
  <si>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</si>
  <si>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</si>
  <si>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</si>
  <si>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</si>
  <si>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</si>
  <si>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</si>
  <si>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</si>
  <si>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</si>
  <si>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</si>
  <si>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</si>
  <si>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</si>
  <si>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</si>
  <si>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</si>
  <si>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</si>
  <si>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</si>
  <si>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</si>
  <si>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</si>
  <si>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</si>
  <si>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</si>
  <si>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</si>
  <si>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</si>
  <si>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</si>
  <si>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</si>
  <si>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</si>
  <si>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</si>
  <si>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</si>
  <si>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</si>
  <si>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</si>
  <si>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</si>
  <si>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</si>
  <si>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</si>
  <si>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</si>
  <si>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</si>
  <si>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</si>
  <si>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</si>
  <si>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</si>
  <si>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</si>
  <si>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</si>
  <si>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</si>
  <si>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</si>
  <si>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</si>
  <si>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</si>
  <si>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</si>
  <si>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</si>
  <si>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</si>
  <si>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</si>
  <si>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</si>
  <si>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</si>
  <si>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</si>
  <si>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</si>
  <si>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</si>
  <si>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</si>
  <si>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</si>
  <si>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</si>
  <si>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</si>
  <si>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</si>
  <si>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</si>
  <si>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</si>
  <si>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</si>
  <si>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</si>
  <si>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</si>
  <si>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</si>
  <si>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</si>
  <si>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</si>
  <si>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</si>
  <si>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</si>
  <si>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</si>
  <si>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</si>
  <si>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</si>
  <si>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</si>
  <si>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</si>
  <si>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</si>
  <si>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</si>
  <si>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</si>
  <si>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</si>
  <si>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</si>
  <si>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</si>
  <si>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</si>
  <si>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</si>
  <si>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</si>
  <si>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</si>
  <si>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</si>
  <si>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</si>
  <si>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</si>
  <si>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</si>
  <si>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</si>
  <si>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</si>
  <si>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</si>
  <si>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</si>
  <si>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</si>
  <si>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</si>
  <si>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</si>
  <si>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</si>
  <si>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</si>
  <si>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</si>
  <si>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</si>
  <si>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</si>
  <si>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</si>
  <si>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</si>
  <si>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</si>
  <si>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</si>
  <si>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</si>
  <si>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</si>
  <si>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</si>
  <si>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</si>
  <si>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</si>
  <si>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</si>
  <si>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</si>
  <si>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</si>
  <si>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</si>
  <si>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</si>
  <si>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</si>
  <si>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</si>
  <si>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</si>
  <si>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</si>
  <si>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</si>
  <si>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</si>
  <si>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</si>
  <si>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</si>
  <si>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</si>
  <si>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</si>
  <si>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</si>
  <si>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</si>
  <si>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</si>
  <si>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</si>
  <si>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</si>
  <si>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</si>
  <si>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</si>
  <si>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</si>
  <si>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</si>
  <si>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</si>
  <si>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</si>
  <si>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</si>
  <si>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</si>
  <si>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</si>
  <si>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</si>
  <si>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</si>
  <si>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</si>
  <si>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</si>
  <si>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</si>
  <si>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</si>
  <si>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</si>
  <si>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</si>
  <si>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</si>
  <si>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</si>
  <si>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</si>
  <si>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</si>
  <si>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</si>
  <si>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</si>
  <si>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</si>
  <si>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</si>
  <si>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</si>
  <si>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</si>
  <si>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</si>
  <si>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</si>
  <si>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</si>
  <si>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</si>
  <si>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</si>
  <si>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</si>
  <si>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</si>
  <si>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</si>
  <si>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</si>
  <si>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</si>
  <si>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</si>
  <si>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</si>
  <si>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</si>
  <si>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</si>
  <si>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</si>
  <si>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</si>
  <si>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</si>
  <si>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</si>
  <si>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</si>
  <si>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</si>
  <si>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</si>
  <si>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</si>
  <si>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</si>
  <si>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</si>
  <si>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</si>
  <si>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</si>
  <si>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</si>
  <si>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</si>
  <si>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</si>
  <si>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</si>
  <si>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</si>
  <si>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</si>
  <si>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</si>
  <si>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</si>
  <si>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</si>
  <si>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</si>
  <si>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</si>
  <si>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</si>
  <si>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</si>
  <si>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</si>
  <si>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</si>
  <si>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</si>
  <si>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</si>
  <si>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</si>
  <si>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</si>
  <si>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</si>
  <si>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</si>
  <si>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</si>
  <si>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</si>
  <si>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</si>
  <si>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</si>
  <si>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</si>
  <si>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</si>
  <si>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</si>
  <si>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</si>
  <si>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</si>
  <si>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</si>
  <si>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</si>
  <si>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</si>
  <si>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</si>
  <si>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</si>
  <si>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</si>
  <si>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</si>
  <si>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</si>
  <si>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</si>
  <si>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</si>
  <si>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</si>
  <si>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</si>
  <si>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</si>
  <si>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</si>
  <si>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</si>
  <si>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</si>
  <si>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</si>
  <si>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</si>
  <si>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</si>
  <si>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</si>
  <si>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</si>
  <si>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</si>
  <si>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</si>
  <si>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</si>
  <si>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</si>
  <si>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</si>
  <si>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</si>
  <si>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</si>
  <si>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</si>
  <si>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</si>
  <si>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</si>
  <si>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</si>
  <si>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</si>
  <si>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</si>
  <si>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</si>
  <si>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</si>
  <si>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</si>
  <si>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</si>
  <si>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Reported Revenue</t>
  </si>
  <si>
    <t/>
  </si>
  <si>
    <t>Revenue Mix</t>
  </si>
  <si>
    <t>Reported</t>
  </si>
  <si>
    <t>Segment 2</t>
  </si>
  <si>
    <t>Segment 3</t>
  </si>
  <si>
    <t>Segment 4</t>
  </si>
  <si>
    <t>Segment 5</t>
  </si>
  <si>
    <t>Segment 6</t>
  </si>
  <si>
    <t>""</t>
  </si>
  <si>
    <t>Boeing Military Aircraft</t>
  </si>
  <si>
    <t>Network &amp; Space Systems</t>
  </si>
  <si>
    <t>Global Services &amp; Support</t>
  </si>
  <si>
    <t>Total Company Operating Income</t>
  </si>
  <si>
    <t>Material Reconciling Items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</si>
  <si>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</si>
  <si>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</si>
  <si>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</si>
  <si>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</si>
  <si>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</si>
  <si>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</si>
  <si>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</si>
  <si>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</si>
  <si>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</si>
  <si>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</si>
  <si>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</si>
  <si>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</si>
  <si>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</si>
  <si>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</si>
  <si>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</si>
  <si>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</si>
  <si>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</si>
  <si>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</si>
  <si>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</si>
  <si>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</si>
  <si>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</si>
  <si>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</si>
  <si>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</si>
  <si>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</si>
  <si>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</si>
  <si>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</si>
  <si>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</si>
  <si>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</si>
  <si>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</si>
  <si>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</si>
  <si>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</si>
  <si>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</si>
  <si>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</si>
  <si>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</si>
  <si>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</si>
  <si>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</si>
  <si>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</si>
  <si>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</si>
  <si>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</si>
  <si>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</si>
  <si>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</si>
  <si>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</si>
  <si>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</si>
  <si>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</si>
  <si>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</si>
  <si>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</si>
  <si>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</si>
  <si>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</si>
  <si>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</si>
  <si>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</si>
  <si>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</si>
  <si>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</si>
  <si>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</si>
  <si>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</si>
  <si>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</si>
  <si>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</si>
  <si>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</si>
  <si>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</si>
  <si>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</si>
  <si>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</si>
  <si>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</si>
  <si>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</si>
  <si>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</si>
  <si>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</si>
  <si>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</si>
  <si>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</si>
  <si>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</si>
  <si>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</si>
  <si>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</si>
  <si>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</si>
  <si>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</si>
  <si>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</si>
  <si>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</si>
  <si>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</si>
  <si>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</si>
  <si>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</si>
  <si>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</si>
  <si>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</si>
  <si>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</si>
  <si>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</si>
  <si>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</si>
  <si>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</si>
  <si>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</si>
  <si>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</si>
  <si>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</si>
  <si>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</si>
  <si>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</si>
  <si>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</si>
  <si>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</si>
  <si>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</si>
  <si>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</si>
  <si>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</si>
  <si>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</si>
  <si>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</si>
  <si>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</si>
  <si>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</si>
  <si>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</si>
  <si>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</si>
  <si>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</si>
  <si>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</si>
  <si>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</si>
  <si>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</si>
  <si>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</si>
  <si>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</si>
  <si>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</si>
  <si>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</si>
  <si>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</si>
  <si>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</si>
  <si>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</si>
  <si>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</si>
  <si>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</si>
  <si>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</si>
  <si>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</si>
  <si>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</si>
  <si>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</si>
  <si>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</si>
  <si>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</si>
  <si>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</si>
  <si>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</si>
  <si>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</si>
  <si>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</si>
  <si>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</si>
  <si>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</si>
  <si>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</si>
  <si>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</si>
  <si>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</si>
  <si>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</si>
  <si>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</si>
  <si>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</si>
  <si>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</si>
  <si>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</si>
  <si>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</si>
  <si>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</si>
  <si>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</si>
  <si>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</si>
  <si>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</si>
  <si>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</si>
  <si>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</si>
  <si>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</si>
  <si>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</si>
  <si>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</si>
  <si>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</si>
  <si>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</si>
  <si>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</si>
  <si>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</si>
  <si>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</si>
  <si>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</si>
  <si>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</si>
  <si>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</si>
  <si>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</si>
  <si>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</si>
  <si>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</si>
  <si>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</si>
  <si>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</si>
  <si>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</si>
  <si>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</si>
  <si>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</si>
  <si>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</si>
  <si>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</si>
  <si>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</si>
  <si>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</si>
  <si>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</si>
  <si>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</si>
  <si>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</si>
  <si>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</si>
  <si>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</si>
  <si>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</si>
  <si>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</si>
  <si>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</si>
  <si>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</si>
  <si>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</si>
  <si>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</si>
  <si>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</si>
  <si>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</si>
  <si>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</si>
  <si>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</si>
  <si>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</si>
  <si>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</si>
  <si>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</si>
  <si>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</si>
  <si>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</si>
  <si>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</si>
  <si>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</si>
  <si>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</si>
  <si>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</si>
  <si>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</si>
  <si>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</si>
  <si>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</si>
  <si>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</si>
  <si>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</si>
  <si>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</si>
  <si>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</si>
  <si>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</si>
  <si>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</si>
  <si>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</si>
  <si>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</si>
  <si>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</si>
  <si>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</si>
  <si>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</si>
  <si>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</si>
  <si>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</si>
  <si>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</si>
  <si>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</si>
  <si>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</si>
  <si>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</si>
  <si>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</si>
  <si>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</si>
  <si>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</si>
  <si>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</si>
  <si>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</si>
  <si>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</si>
  <si>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</si>
  <si>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</si>
  <si>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</si>
  <si>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</si>
  <si>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</si>
  <si>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</si>
  <si>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</si>
  <si>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</si>
  <si>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</si>
  <si>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</si>
  <si>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</si>
  <si>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</si>
  <si>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</si>
  <si>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</si>
  <si>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</si>
  <si>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</si>
  <si>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</si>
  <si>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</si>
  <si>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</si>
  <si>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</si>
  <si>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</si>
  <si>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</si>
  <si>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</si>
  <si>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</si>
  <si>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</si>
  <si>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</si>
  <si>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</si>
  <si>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</si>
  <si>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</si>
  <si>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</si>
  <si>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</si>
  <si>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</si>
  <si>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</si>
  <si>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</si>
  <si>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</si>
  <si>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</si>
  <si>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</si>
  <si>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</si>
  <si>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</si>
  <si>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</si>
  <si>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</si>
  <si>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</si>
  <si>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</si>
  <si>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</si>
  <si>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</si>
  <si>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</si>
  <si>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</si>
  <si>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</si>
  <si>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</si>
  <si>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</si>
  <si>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</si>
  <si>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</si>
  <si>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</si>
  <si>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</si>
  <si>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</si>
  <si>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</si>
  <si>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</si>
  <si>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</si>
  <si>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</si>
  <si>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</si>
  <si>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</si>
  <si>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</si>
  <si>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</si>
  <si>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</si>
  <si>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</si>
  <si>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</si>
  <si>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</si>
  <si>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</si>
  <si>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</si>
  <si>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</si>
  <si>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</si>
  <si>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</si>
  <si>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</si>
  <si>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</si>
  <si>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</si>
  <si>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</si>
  <si>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</si>
  <si>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</si>
  <si>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</si>
  <si>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</si>
  <si>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</si>
  <si>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</si>
  <si>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</si>
  <si>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</si>
  <si>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</si>
  <si>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</si>
  <si>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</si>
  <si>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</si>
  <si>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</si>
  <si>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</si>
  <si>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</si>
  <si>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</si>
  <si>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</si>
  <si>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</si>
  <si>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</si>
  <si>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</si>
  <si>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</si>
  <si>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</si>
  <si>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</si>
  <si>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</si>
  <si>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</si>
  <si>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</si>
  <si>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</si>
  <si>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</si>
  <si>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</si>
  <si>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</si>
  <si>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</si>
  <si>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</si>
  <si>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</si>
  <si>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</si>
  <si>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</si>
  <si>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</si>
  <si>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</si>
  <si>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</si>
  <si>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</si>
  <si>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</si>
  <si>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</si>
  <si>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</si>
  <si>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</si>
  <si>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</si>
  <si>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</si>
  <si>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</si>
  <si>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</si>
  <si>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</si>
  <si>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</si>
  <si>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</si>
  <si>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</si>
  <si>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</si>
  <si>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</si>
  <si>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</si>
  <si>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</si>
  <si>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</si>
  <si>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</si>
  <si>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</si>
  <si>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</si>
  <si>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</si>
  <si>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</si>
  <si>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</si>
  <si>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</si>
  <si>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</si>
  <si>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</si>
  <si>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</si>
  <si>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</si>
  <si>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</si>
  <si>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</si>
  <si>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</si>
  <si>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</si>
  <si>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</si>
  <si>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</si>
  <si>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</si>
  <si>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</si>
  <si>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</si>
  <si>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</si>
  <si>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</si>
  <si>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</si>
  <si>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</si>
  <si>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</si>
  <si>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</si>
  <si>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</si>
  <si>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</si>
  <si>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</si>
  <si>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</si>
  <si>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</si>
  <si>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</si>
  <si>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</si>
  <si>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</si>
  <si>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</si>
  <si>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</si>
  <si>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</si>
  <si>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</si>
  <si>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</si>
  <si>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</si>
  <si>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</si>
  <si>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</si>
  <si>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</si>
  <si>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</si>
  <si>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</si>
  <si>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</si>
  <si>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</si>
  <si>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</si>
  <si>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</si>
  <si>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</si>
  <si>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</si>
  <si>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</si>
  <si>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</si>
  <si>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</si>
  <si>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</si>
  <si>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</si>
  <si>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</si>
  <si>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</si>
  <si>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</si>
  <si>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</si>
  <si>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</si>
  <si>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</si>
  <si>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</si>
  <si>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</si>
  <si>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</si>
  <si>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</si>
  <si>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</si>
  <si>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</si>
  <si>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</si>
  <si>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</si>
  <si>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</si>
  <si>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</si>
  <si>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</si>
  <si>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</si>
  <si>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</si>
  <si>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</si>
  <si>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</si>
  <si>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</si>
  <si>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</si>
  <si>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</si>
  <si>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</si>
  <si>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</si>
  <si>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</si>
  <si>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</si>
  <si>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</si>
  <si>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</si>
  <si>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</si>
  <si>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</si>
  <si>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</si>
  <si>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</si>
  <si>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</si>
  <si>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</si>
  <si>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</si>
  <si>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</si>
  <si>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</si>
  <si>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</si>
  <si>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</si>
  <si>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</si>
  <si>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</si>
  <si>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</si>
  <si>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</si>
  <si>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</si>
  <si>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</si>
  <si>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</si>
  <si>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</si>
  <si>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</si>
  <si>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</si>
  <si>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</si>
  <si>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</si>
  <si>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</si>
  <si>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</si>
  <si>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</si>
  <si>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</si>
  <si>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</si>
  <si>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</si>
  <si>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</si>
  <si>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</si>
  <si>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</si>
  <si>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</si>
  <si>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</si>
  <si>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</si>
  <si>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</si>
  <si>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</si>
  <si>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</si>
  <si>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</si>
  <si>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</si>
  <si>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</si>
  <si>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</si>
  <si>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</si>
  <si>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</si>
  <si>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</si>
  <si>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</si>
  <si>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</si>
  <si>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</si>
  <si>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</si>
  <si>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</si>
  <si>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</si>
  <si>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</si>
  <si>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</si>
  <si>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</si>
  <si>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</si>
  <si>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</si>
  <si>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</si>
  <si>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</si>
  <si>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</si>
  <si>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</si>
  <si>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</si>
  <si>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</si>
  <si>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</si>
  <si>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</si>
  <si>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</si>
  <si>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</si>
  <si>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</si>
  <si>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</si>
  <si>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</si>
  <si>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</si>
  <si>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</si>
  <si>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</si>
  <si>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</si>
  <si>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</si>
  <si>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</si>
  <si>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</si>
  <si>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</si>
  <si>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</si>
  <si>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</si>
  <si>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</si>
  <si>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</si>
  <si>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model period</t>
  </si>
  <si>
    <t>model column</t>
  </si>
  <si>
    <t>form type</t>
  </si>
  <si>
    <t>period end date</t>
  </si>
  <si>
    <t>fiscal year label</t>
  </si>
  <si>
    <t>fiscal quarter label</t>
  </si>
  <si>
    <t>accession / filing id</t>
  </si>
  <si>
    <t>filing date</t>
  </si>
  <si>
    <t>1Q23</t>
  </si>
  <si>
    <t>F</t>
  </si>
  <si>
    <t>10-Q</t>
  </si>
  <si>
    <t>2023-03-31</t>
  </si>
  <si>
    <t>FY23</t>
  </si>
  <si>
    <t>Q1</t>
  </si>
  <si>
    <t>0000021344-23-000024</t>
  </si>
  <si>
    <t>2023-04-26</t>
  </si>
  <si>
    <t>2Q23</t>
  </si>
  <si>
    <t>G</t>
  </si>
  <si>
    <t>2023-06-30</t>
  </si>
  <si>
    <t>Q2</t>
  </si>
  <si>
    <t>0000021344-23-000048</t>
  </si>
  <si>
    <t>2023-07-27</t>
  </si>
  <si>
    <t>3Q23</t>
  </si>
  <si>
    <t>H</t>
  </si>
  <si>
    <t>2023-09-29</t>
  </si>
  <si>
    <t>Q3</t>
  </si>
  <si>
    <t>0000021344-23-000060</t>
  </si>
  <si>
    <t>2023-10-24</t>
  </si>
  <si>
    <t>4Q23</t>
  </si>
  <si>
    <t>I</t>
  </si>
  <si>
    <t>10-K</t>
  </si>
  <si>
    <t>2023-12-31</t>
  </si>
  <si>
    <t>Q4</t>
  </si>
  <si>
    <t>0000021344-24-000009</t>
  </si>
  <si>
    <t>2024-02-20</t>
  </si>
  <si>
    <t>J</t>
  </si>
  <si>
    <t>1Q24</t>
  </si>
  <si>
    <t>K</t>
  </si>
  <si>
    <t>10-Q/A</t>
  </si>
  <si>
    <t>2024-03-29</t>
  </si>
  <si>
    <t>FY24</t>
  </si>
  <si>
    <t>0000021344-24-000019</t>
  </si>
  <si>
    <t>2024-05-30</t>
  </si>
  <si>
    <t>2Q24</t>
  </si>
  <si>
    <t>L</t>
  </si>
  <si>
    <t>2024-06-28</t>
  </si>
  <si>
    <t>0000021344-24-000044</t>
  </si>
  <si>
    <t>2024-07-29</t>
  </si>
  <si>
    <t>3Q24</t>
  </si>
  <si>
    <t>M</t>
  </si>
  <si>
    <t>2024-09-27</t>
  </si>
  <si>
    <t>0000021344-24-000060</t>
  </si>
  <si>
    <t>2024-10-24</t>
  </si>
  <si>
    <t>4Q24</t>
  </si>
  <si>
    <t>N</t>
  </si>
  <si>
    <t>2024-12-31</t>
  </si>
  <si>
    <t>0000021344-25-000011</t>
  </si>
  <si>
    <t>2025-02-20</t>
  </si>
  <si>
    <t>O</t>
  </si>
  <si>
    <t>1Q25</t>
  </si>
  <si>
    <t>P</t>
  </si>
  <si>
    <t>2025-03-28</t>
  </si>
  <si>
    <t>FY25</t>
  </si>
  <si>
    <t>0000021344-25-000029</t>
  </si>
  <si>
    <t>2025-05-01</t>
  </si>
  <si>
    <t>2Q25</t>
  </si>
  <si>
    <t>Q</t>
  </si>
  <si>
    <t>2025-06-27</t>
  </si>
  <si>
    <t>0000021344-25-000061</t>
  </si>
  <si>
    <t>2025-07-24</t>
  </si>
  <si>
    <t>3Q25</t>
  </si>
  <si>
    <t>R</t>
  </si>
  <si>
    <t>2025-09-26</t>
  </si>
  <si>
    <t>0001628280-25-046054</t>
  </si>
  <si>
    <t>2025-10-23</t>
  </si>
  <si>
    <t>4Q25</t>
  </si>
  <si>
    <t>S</t>
  </si>
  <si>
    <t>2025-12-31</t>
  </si>
  <si>
    <t>0001628280-26-010047</t>
  </si>
  <si>
    <t>2026-02-20</t>
  </si>
  <si>
    <t>T</t>
  </si>
  <si>
    <t>1Q26</t>
  </si>
  <si>
    <t>U</t>
  </si>
  <si>
    <t>2026-04-03</t>
  </si>
  <si>
    <t>FY26</t>
  </si>
  <si>
    <t>0001628280-26-028802</t>
  </si>
  <si>
    <t>2026-04-30</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</si>
  <si>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</si>
  <si>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</si>
  <si>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</si>
  <si>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</si>
  <si>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</si>
  <si>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</si>
  <si>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</si>
  <si>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</si>
  <si>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</si>
  <si>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</si>
  <si>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</si>
  <si>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</si>
  <si>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</si>
  <si>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</si>
  <si>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</si>
  <si>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</si>
  <si>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</si>
  <si>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</si>
  <si>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</si>
  <si>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</si>
  <si>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</si>
  <si>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</si>
  <si>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</si>
  <si>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</si>
  <si>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final source line item(s)</t>
  </si>
  <si>
    <t>source section(s)</t>
  </si>
  <si>
    <t>recommended model row(s)</t>
  </si>
  <si>
    <t>classification reason(s)</t>
  </si>
  <si>
    <t>LLM classification used</t>
  </si>
  <si>
    <t>classification validation passed</t>
  </si>
  <si>
    <t>F26</t>
  </si>
  <si>
    <t>cleared</t>
  </si>
  <si>
    <t>balance</t>
  </si>
  <si>
    <t>pre-run historical hardcode cleared</t>
  </si>
  <si>
    <t>Prior hardcoded value 91 was cleared before current-company SEC mapping.</t>
  </si>
  <si>
    <t>cleared before write</t>
  </si>
  <si>
    <t>high</t>
  </si>
  <si>
    <t>Pre-run cleanup cleared this cell so unsupported template or prior-company values cannot survive.</t>
  </si>
  <si>
    <t>G26</t>
  </si>
  <si>
    <t>H26</t>
  </si>
  <si>
    <t>Prior hardcoded value 92 was cleared before current-company SEC mapping.</t>
  </si>
  <si>
    <t>I26</t>
  </si>
  <si>
    <t>K26</t>
  </si>
  <si>
    <t>Prior hardcoded value 90 was cleared before current-company SEC mapping.</t>
  </si>
  <si>
    <t>L26</t>
  </si>
  <si>
    <t>M26</t>
  </si>
  <si>
    <t>N26</t>
  </si>
  <si>
    <t>P26</t>
  </si>
  <si>
    <t>Q26</t>
  </si>
  <si>
    <t>R26</t>
  </si>
  <si>
    <t>S26</t>
  </si>
  <si>
    <t>U26</t>
  </si>
  <si>
    <t>F29</t>
  </si>
  <si>
    <t>income</t>
  </si>
  <si>
    <t>Prior hardcoded value -11348 was cleared before current-company SEC mapping.</t>
  </si>
  <si>
    <t>G29</t>
  </si>
  <si>
    <t>Prior hardcoded value -13689 was cleared before current-company SEC mapping.</t>
  </si>
  <si>
    <t>H29</t>
  </si>
  <si>
    <t>Prior hardcoded value -11755 was cleared before current-company SEC mapping.</t>
  </si>
  <si>
    <t>K29</t>
  </si>
  <si>
    <t>Prior hardcoded value -12160 was cleared before current-company SEC mapping.</t>
  </si>
  <si>
    <t>L29</t>
  </si>
  <si>
    <t>Prior hardcoded value -14252 was cleared before current-company SEC mapping.</t>
  </si>
  <si>
    <t>M29</t>
  </si>
  <si>
    <t>Prior hardcoded value -11748 was cleared before current-company SEC mapping.</t>
  </si>
  <si>
    <t>N29</t>
  </si>
  <si>
    <t>Prior hardcoded value -11045 was cleared before current-company SEC mapping.</t>
  </si>
  <si>
    <t>P29</t>
  </si>
  <si>
    <t>Prior hardcoded value -13162 was cleared before current-company SEC mapping.</t>
  </si>
  <si>
    <t>Q29</t>
  </si>
  <si>
    <t>Prior hardcoded value -17998 was cleared before current-company SEC mapping.</t>
  </si>
  <si>
    <t>R29</t>
  </si>
  <si>
    <t>Prior hardcoded value -15009 was cleared before current-company SEC mapping.</t>
  </si>
  <si>
    <t>S29</t>
  </si>
  <si>
    <t>Prior hardcoded value -13845 was cleared before current-company SEC mapping.</t>
  </si>
  <si>
    <t>U29</t>
  </si>
  <si>
    <t>Prior hardcoded value -16292 was cleared before current-company SEC mapping.</t>
  </si>
  <si>
    <t>F32</t>
  </si>
  <si>
    <t>Prior hardcoded value -4187 was cleared before current-company SEC mapping.</t>
  </si>
  <si>
    <t>G32</t>
  </si>
  <si>
    <t>Prior hardcoded value -4691 was cleared before current-company SEC mapping.</t>
  </si>
  <si>
    <t>H32</t>
  </si>
  <si>
    <t>Prior hardcoded value -4270 was cleared before current-company SEC mapping.</t>
  </si>
  <si>
    <t>K32</t>
  </si>
  <si>
    <t>Prior hardcoded value -3862 was cleared before current-company SEC mapping.</t>
  </si>
  <si>
    <t>L32</t>
  </si>
  <si>
    <t>Prior hardcoded value -4048 was cleared before current-company SEC mapping.</t>
  </si>
  <si>
    <t>M32</t>
  </si>
  <si>
    <t>Prior hardcoded value -3772 was cleared before current-company SEC mapping.</t>
  </si>
  <si>
    <t>N32</t>
  </si>
  <si>
    <t>Prior hardcoded value -3685 was cleared before current-company SEC mapping.</t>
  </si>
  <si>
    <t>P32</t>
  </si>
  <si>
    <t>Prior hardcoded value -4196 was cleared before current-company SEC mapping.</t>
  </si>
  <si>
    <t>Q32</t>
  </si>
  <si>
    <t>Prior hardcoded value -5020 was cleared before current-company SEC mapping.</t>
  </si>
  <si>
    <t>R32</t>
  </si>
  <si>
    <t>Prior hardcoded value -4770 was cleared before current-company SEC mapping.</t>
  </si>
  <si>
    <t>S32</t>
  </si>
  <si>
    <t>Prior hardcoded value -3307 was cleared before current-company SEC mapping.</t>
  </si>
  <si>
    <t>U32</t>
  </si>
  <si>
    <t>Prior hardcoded value -4494 was cleared before current-company SEC mapping.</t>
  </si>
  <si>
    <t>F33</t>
  </si>
  <si>
    <t>Prior hardcoded value 0 was cleared before current-company SEC mapping.</t>
  </si>
  <si>
    <t>G33</t>
  </si>
  <si>
    <t>H33</t>
  </si>
  <si>
    <t>I33</t>
  </si>
  <si>
    <t>K33</t>
  </si>
  <si>
    <t>L33</t>
  </si>
  <si>
    <t>M33</t>
  </si>
  <si>
    <t>N33</t>
  </si>
  <si>
    <t>P33</t>
  </si>
  <si>
    <t>Q33</t>
  </si>
  <si>
    <t>R33</t>
  </si>
  <si>
    <t>S33</t>
  </si>
  <si>
    <t>U33</t>
  </si>
  <si>
    <t>F34</t>
  </si>
  <si>
    <t>Prior hardcoded value -360 was cleared before current-company SEC mapping.</t>
  </si>
  <si>
    <t>G34</t>
  </si>
  <si>
    <t>Prior hardcoded value -345 was cleared before current-company SEC mapping.</t>
  </si>
  <si>
    <t>H34</t>
  </si>
  <si>
    <t>Prior hardcoded value -433 was cleared before current-company SEC mapping.</t>
  </si>
  <si>
    <t>K34</t>
  </si>
  <si>
    <t>Prior hardcoded value -302 was cleared before current-company SEC mapping.</t>
  </si>
  <si>
    <t>L34</t>
  </si>
  <si>
    <t>Prior hardcoded value -311 was cleared before current-company SEC mapping.</t>
  </si>
  <si>
    <t>M34</t>
  </si>
  <si>
    <t>Prior hardcoded value -310 was cleared before current-company SEC mapping.</t>
  </si>
  <si>
    <t>N34</t>
  </si>
  <si>
    <t>Prior hardcoded value -339 was cleared before current-company SEC mapping.</t>
  </si>
  <si>
    <t>P34</t>
  </si>
  <si>
    <t>Prior hardcoded value -326 was cleared before current-company SEC mapping.</t>
  </si>
  <si>
    <t>Q34</t>
  </si>
  <si>
    <t>Prior hardcoded value -327 was cleared before current-company SEC mapping.</t>
  </si>
  <si>
    <t>R34</t>
  </si>
  <si>
    <t>Prior hardcoded value -355 was cleared before current-company SEC mapping.</t>
  </si>
  <si>
    <t>S34</t>
  </si>
  <si>
    <t>Prior hardcoded value -390 was cleared before current-company SEC mapping.</t>
  </si>
  <si>
    <t>U34</t>
  </si>
  <si>
    <t>Prior hardcoded value -391 was cleared before current-company SEC mapping.</t>
  </si>
  <si>
    <t>F35</t>
  </si>
  <si>
    <t>G35</t>
  </si>
  <si>
    <t>H35</t>
  </si>
  <si>
    <t>I35</t>
  </si>
  <si>
    <t>K35</t>
  </si>
  <si>
    <t>L35</t>
  </si>
  <si>
    <t>M35</t>
  </si>
  <si>
    <t>N35</t>
  </si>
  <si>
    <t>P35</t>
  </si>
  <si>
    <t>Q35</t>
  </si>
  <si>
    <t>R35</t>
  </si>
  <si>
    <t>S35</t>
  </si>
  <si>
    <t>U35</t>
  </si>
  <si>
    <t>F38</t>
  </si>
  <si>
    <t>G38</t>
  </si>
  <si>
    <t>H38</t>
  </si>
  <si>
    <t>I38</t>
  </si>
  <si>
    <t>K38</t>
  </si>
  <si>
    <t>L38</t>
  </si>
  <si>
    <t>M38</t>
  </si>
  <si>
    <t>N38</t>
  </si>
  <si>
    <t>P38</t>
  </si>
  <si>
    <t>Q38</t>
  </si>
  <si>
    <t>R38</t>
  </si>
  <si>
    <t>S38</t>
  </si>
  <si>
    <t>U38</t>
  </si>
  <si>
    <t>F39</t>
  </si>
  <si>
    <t>Prior hardcoded value -160 was cleared before current-company SEC mapping.</t>
  </si>
  <si>
    <t>G39</t>
  </si>
  <si>
    <t>Prior hardcoded value -152 was cleared before current-company SEC mapping.</t>
  </si>
  <si>
    <t>H39</t>
  </si>
  <si>
    <t>Prior hardcoded value -153 was cleared before current-company SEC mapping.</t>
  </si>
  <si>
    <t>K39</t>
  </si>
  <si>
    <t>Prior hardcoded value -162 was cleared before current-company SEC mapping.</t>
  </si>
  <si>
    <t>L39</t>
  </si>
  <si>
    <t>Prior hardcoded value -169 was cleared before current-company SEC mapping.</t>
  </si>
  <si>
    <t>M39</t>
  </si>
  <si>
    <t>Prior hardcoded value -177 was cleared before current-company SEC mapping.</t>
  </si>
  <si>
    <t>N39</t>
  </si>
  <si>
    <t>Prior hardcoded value -183 was cleared before current-company SEC mapping.</t>
  </si>
  <si>
    <t>P39</t>
  </si>
  <si>
    <t>Prior hardcoded value -205 was cleared before current-company SEC mapping.</t>
  </si>
  <si>
    <t>Q39</t>
  </si>
  <si>
    <t>Prior hardcoded value -219 was cleared before current-company SEC mapping.</t>
  </si>
  <si>
    <t>R39</t>
  </si>
  <si>
    <t>Prior hardcoded value -221 was cleared before current-company SEC mapping.</t>
  </si>
  <si>
    <t>S39</t>
  </si>
  <si>
    <t>Prior hardcoded value -204 was cleared before current-company SEC mapping.</t>
  </si>
  <si>
    <t>U39</t>
  </si>
  <si>
    <t>Prior hardcoded value -211 was cleared before current-company SEC mapping.</t>
  </si>
  <si>
    <t>F40</t>
  </si>
  <si>
    <t>G40</t>
  </si>
  <si>
    <t>H40</t>
  </si>
  <si>
    <t>I40</t>
  </si>
  <si>
    <t>K40</t>
  </si>
  <si>
    <t>L40</t>
  </si>
  <si>
    <t>M40</t>
  </si>
  <si>
    <t>N40</t>
  </si>
  <si>
    <t>P40</t>
  </si>
  <si>
    <t>Q40</t>
  </si>
  <si>
    <t>R40</t>
  </si>
  <si>
    <t>S40</t>
  </si>
  <si>
    <t>U40</t>
  </si>
  <si>
    <t>F41</t>
  </si>
  <si>
    <t>G41</t>
  </si>
  <si>
    <t>H41</t>
  </si>
  <si>
    <t>I41</t>
  </si>
  <si>
    <t>K41</t>
  </si>
  <si>
    <t>L41</t>
  </si>
  <si>
    <t>M41</t>
  </si>
  <si>
    <t>N41</t>
  </si>
  <si>
    <t>P41</t>
  </si>
  <si>
    <t>Q41</t>
  </si>
  <si>
    <t>R41</t>
  </si>
  <si>
    <t>Prior hardcoded value -1060 was cleared before current-company SEC mapping.</t>
  </si>
  <si>
    <t>U41</t>
  </si>
  <si>
    <t>F44</t>
  </si>
  <si>
    <t>Prior hardcoded value -317 was cleared before current-company SEC mapping.</t>
  </si>
  <si>
    <t>G44</t>
  </si>
  <si>
    <t>Prior hardcoded value -490 was cleared before current-company SEC mapping.</t>
  </si>
  <si>
    <t>H44</t>
  </si>
  <si>
    <t>Prior hardcoded value -175 was cleared before current-company SEC mapping.</t>
  </si>
  <si>
    <t>K44</t>
  </si>
  <si>
    <t>Prior hardcoded value -209 was cleared before current-company SEC mapping.</t>
  </si>
  <si>
    <t>L44</t>
  </si>
  <si>
    <t>Prior hardcoded value -536 was cleared before current-company SEC mapping.</t>
  </si>
  <si>
    <t>M44</t>
  </si>
  <si>
    <t>Prior hardcoded value -332 was cleared before current-company SEC mapping.</t>
  </si>
  <si>
    <t>N44</t>
  </si>
  <si>
    <t>Prior hardcoded value -265 was cleared before current-company SEC mapping.</t>
  </si>
  <si>
    <t>P44</t>
  </si>
  <si>
    <t>Prior hardcoded value -449 was cleared before current-company SEC mapping.</t>
  </si>
  <si>
    <t>Q44</t>
  </si>
  <si>
    <t>Prior hardcoded value -910 was cleared before current-company SEC mapping.</t>
  </si>
  <si>
    <t>R44</t>
  </si>
  <si>
    <t>Prior hardcoded value -202 was cleared before current-company SEC mapping.</t>
  </si>
  <si>
    <t>S44</t>
  </si>
  <si>
    <t>Prior hardcoded value -342 was cleared before current-company SEC mapping.</t>
  </si>
  <si>
    <t>U44</t>
  </si>
  <si>
    <t>Prior hardcoded value -713 was cleared before current-company SEC mapping.</t>
  </si>
  <si>
    <t>F47</t>
  </si>
  <si>
    <t>G47</t>
  </si>
  <si>
    <t>H47</t>
  </si>
  <si>
    <t>I47</t>
  </si>
  <si>
    <t>K47</t>
  </si>
  <si>
    <t>L47</t>
  </si>
  <si>
    <t>M47</t>
  </si>
  <si>
    <t>N47</t>
  </si>
  <si>
    <t>P47</t>
  </si>
  <si>
    <t>Q47</t>
  </si>
  <si>
    <t>R47</t>
  </si>
  <si>
    <t>S47</t>
  </si>
  <si>
    <t>U47</t>
  </si>
  <si>
    <t>F48</t>
  </si>
  <si>
    <t>G48</t>
  </si>
  <si>
    <t>Prior hardcoded value 170.9 was cleared before current-company SEC mapping.</t>
  </si>
  <si>
    <t>I48</t>
  </si>
  <si>
    <t>Prior hardcoded value 1465.8 was cleared before current-company SEC mapping.</t>
  </si>
  <si>
    <t>K48</t>
  </si>
  <si>
    <t>Prior hardcoded value -71.7 was cleared before current-company SEC mapping.</t>
  </si>
  <si>
    <t>L48</t>
  </si>
  <si>
    <t>Prior hardcoded value 7.8 was cleared before current-company SEC mapping.</t>
  </si>
  <si>
    <t>M48</t>
  </si>
  <si>
    <t>Prior hardcoded value 38.5 was cleared before current-company SEC mapping.</t>
  </si>
  <si>
    <t>N48</t>
  </si>
  <si>
    <t>Prior hardcoded value 213.9 was cleared before current-company SEC mapping.</t>
  </si>
  <si>
    <t>P48</t>
  </si>
  <si>
    <t>Prior hardcoded value 7.6 was cleared before current-company SEC mapping.</t>
  </si>
  <si>
    <t>Q48</t>
  </si>
  <si>
    <t>Prior hardcoded value 7.5 was cleared before current-company SEC mapping.</t>
  </si>
  <si>
    <t>R48</t>
  </si>
  <si>
    <t>Prior hardcoded value 806.8 was cleared before current-company SEC mapping.</t>
  </si>
  <si>
    <t>S48</t>
  </si>
  <si>
    <t>U48</t>
  </si>
  <si>
    <t>F49</t>
  </si>
  <si>
    <t>G49</t>
  </si>
  <si>
    <t>H49</t>
  </si>
  <si>
    <t>I49</t>
  </si>
  <si>
    <t>K49</t>
  </si>
  <si>
    <t>L49</t>
  </si>
  <si>
    <t>M49</t>
  </si>
  <si>
    <t>N49</t>
  </si>
  <si>
    <t>P49</t>
  </si>
  <si>
    <t>Q49</t>
  </si>
  <si>
    <t>R49</t>
  </si>
  <si>
    <t>S49</t>
  </si>
  <si>
    <t>U49</t>
  </si>
  <si>
    <t>F50</t>
  </si>
  <si>
    <t>G50</t>
  </si>
  <si>
    <t>H50</t>
  </si>
  <si>
    <t>I50</t>
  </si>
  <si>
    <t>K50</t>
  </si>
  <si>
    <t>L50</t>
  </si>
  <si>
    <t>M50</t>
  </si>
  <si>
    <t>N50</t>
  </si>
  <si>
    <t>P50</t>
  </si>
  <si>
    <t>Q50</t>
  </si>
  <si>
    <t>R50</t>
  </si>
  <si>
    <t>S50</t>
  </si>
  <si>
    <t>U50</t>
  </si>
  <si>
    <t>P120</t>
  </si>
  <si>
    <t>Prior hardcoded value 6156 was cleared before current-company SEC mapping.</t>
  </si>
  <si>
    <t>Q120</t>
  </si>
  <si>
    <t>Prior hardcoded value 12726 was cleared before current-company SEC mapping.</t>
  </si>
  <si>
    <t>R120</t>
  </si>
  <si>
    <t>Prior hardcoded value 10101 was cleared before current-company SEC mapping.</t>
  </si>
  <si>
    <t>S120</t>
  </si>
  <si>
    <t>Prior hardcoded value 5196 was cleared before current-company SEC mapping.</t>
  </si>
  <si>
    <t>F121</t>
  </si>
  <si>
    <t>G121</t>
  </si>
  <si>
    <t>H121</t>
  </si>
  <si>
    <t>I121</t>
  </si>
  <si>
    <t>K121</t>
  </si>
  <si>
    <t>L121</t>
  </si>
  <si>
    <t>M121</t>
  </si>
  <si>
    <t>N121</t>
  </si>
  <si>
    <t>P121</t>
  </si>
  <si>
    <t>Q121</t>
  </si>
  <si>
    <t>R121</t>
  </si>
  <si>
    <t>S121</t>
  </si>
  <si>
    <t>U121</t>
  </si>
  <si>
    <t>F122</t>
  </si>
  <si>
    <t>Prior hardcoded value 13204 was cleared before current-company SEC mapping.</t>
  </si>
  <si>
    <t>G122</t>
  </si>
  <si>
    <t>Prior hardcoded value 11885 was cleared before current-company SEC mapping.</t>
  </si>
  <si>
    <t>H122</t>
  </si>
  <si>
    <t>Prior hardcoded value 12365 was cleared before current-company SEC mapping.</t>
  </si>
  <si>
    <t>I122</t>
  </si>
  <si>
    <t>Prior hardcoded value 12561 was cleared before current-company SEC mapping.</t>
  </si>
  <si>
    <t>K122</t>
  </si>
  <si>
    <t>Prior hardcoded value 15026 was cleared before current-company SEC mapping.</t>
  </si>
  <si>
    <t>L122</t>
  </si>
  <si>
    <t>Prior hardcoded value 13730 was cleared before current-company SEC mapping.</t>
  </si>
  <si>
    <t>M122</t>
  </si>
  <si>
    <t>Prior hardcoded value 13716 was cleared before current-company SEC mapping.</t>
  </si>
  <si>
    <t>N122</t>
  </si>
  <si>
    <t>Prior hardcoded value 13179 was cleared before current-company SEC mapping.</t>
  </si>
  <si>
    <t>P122</t>
  </si>
  <si>
    <t>Prior hardcoded value 14283 was cleared before current-company SEC mapping.</t>
  </si>
  <si>
    <t>Q122</t>
  </si>
  <si>
    <t>Prior hardcoded value 13831 was cleared before current-company SEC mapping.</t>
  </si>
  <si>
    <t>R122</t>
  </si>
  <si>
    <t>Prior hardcoded value 15712 was cleared before current-company SEC mapping.</t>
  </si>
  <si>
    <t>S122</t>
  </si>
  <si>
    <t>Prior hardcoded value 16193 was cleared before current-company SEC mapping.</t>
  </si>
  <si>
    <t>U122</t>
  </si>
  <si>
    <t>Prior hardcoded value 18382 was cleared before current-company SEC mapping.</t>
  </si>
  <si>
    <t>F123</t>
  </si>
  <si>
    <t>Prior hardcoded value 1059 was cleared before current-company SEC mapping.</t>
  </si>
  <si>
    <t>G123</t>
  </si>
  <si>
    <t>Prior hardcoded value 956 was cleared before current-company SEC mapping.</t>
  </si>
  <si>
    <t>H123</t>
  </si>
  <si>
    <t>Prior hardcoded value 897 was cleared before current-company SEC mapping.</t>
  </si>
  <si>
    <t>I123</t>
  </si>
  <si>
    <t>Prior hardcoded value 938 was cleared before current-company SEC mapping.</t>
  </si>
  <si>
    <t>K123</t>
  </si>
  <si>
    <t>Prior hardcoded value 1146 was cleared before current-company SEC mapping.</t>
  </si>
  <si>
    <t>L123</t>
  </si>
  <si>
    <t>Prior hardcoded value 995 was cleared before current-company SEC mapping.</t>
  </si>
  <si>
    <t>M123</t>
  </si>
  <si>
    <t>Prior hardcoded value 1025 was cleared before current-company SEC mapping.</t>
  </si>
  <si>
    <t>N123</t>
  </si>
  <si>
    <t>Prior hardcoded value 1263 was cleared before current-company SEC mapping.</t>
  </si>
  <si>
    <t>P123</t>
  </si>
  <si>
    <t>Prior hardcoded value 1487 was cleared before current-company SEC mapping.</t>
  </si>
  <si>
    <t>Q123</t>
  </si>
  <si>
    <t>Prior hardcoded value 1160 was cleared before current-company SEC mapping.</t>
  </si>
  <si>
    <t>R123</t>
  </si>
  <si>
    <t>Prior hardcoded value 1103 was cleared before current-company SEC mapping.</t>
  </si>
  <si>
    <t>S123</t>
  </si>
  <si>
    <t>Prior hardcoded value 937 was cleared before current-company SEC mapping.</t>
  </si>
  <si>
    <t>U123</t>
  </si>
  <si>
    <t>Prior hardcoded value 1288 was cleared before current-company SEC mapping.</t>
  </si>
  <si>
    <t>F126</t>
  </si>
  <si>
    <t>Prior hardcoded value 19500 was cleared before current-company SEC mapping.</t>
  </si>
  <si>
    <t>G126</t>
  </si>
  <si>
    <t>Prior hardcoded value 19172 was cleared before current-company SEC mapping.</t>
  </si>
  <si>
    <t>H126</t>
  </si>
  <si>
    <t>Prior hardcoded value 18923 was cleared before current-company SEC mapping.</t>
  </si>
  <si>
    <t>I126</t>
  </si>
  <si>
    <t>Prior hardcoded value 18432 was cleared before current-company SEC mapping.</t>
  </si>
  <si>
    <t>K126</t>
  </si>
  <si>
    <t>Prior hardcoded value 18150 was cleared before current-company SEC mapping.</t>
  </si>
  <si>
    <t>L126</t>
  </si>
  <si>
    <t>Prior hardcoded value 18203 was cleared before current-company SEC mapping.</t>
  </si>
  <si>
    <t>M126</t>
  </si>
  <si>
    <t>Prior hardcoded value 18371 was cleared before current-company SEC mapping.</t>
  </si>
  <si>
    <t>N126</t>
  </si>
  <si>
    <t>Prior hardcoded value 18669 was cleared before current-company SEC mapping.</t>
  </si>
  <si>
    <t>P126</t>
  </si>
  <si>
    <t>Prior hardcoded value 18501 was cleared before current-company SEC mapping.</t>
  </si>
  <si>
    <t>Q126</t>
  </si>
  <si>
    <t>Prior hardcoded value 18612 was cleared before current-company SEC mapping.</t>
  </si>
  <si>
    <t>R126</t>
  </si>
  <si>
    <t>Prior hardcoded value 18683 was cleared before current-company SEC mapping.</t>
  </si>
  <si>
    <t>S126</t>
  </si>
  <si>
    <t>Prior hardcoded value 22987 was cleared before current-company SEC mapping.</t>
  </si>
  <si>
    <t>U126</t>
  </si>
  <si>
    <t>Prior hardcoded value 19059 was cleared before current-company SEC mapping.</t>
  </si>
  <si>
    <t>F127</t>
  </si>
  <si>
    <t>G127</t>
  </si>
  <si>
    <t>H127</t>
  </si>
  <si>
    <t>I127</t>
  </si>
  <si>
    <t>K127</t>
  </si>
  <si>
    <t>L127</t>
  </si>
  <si>
    <t>M127</t>
  </si>
  <si>
    <t>N127</t>
  </si>
  <si>
    <t>P127</t>
  </si>
  <si>
    <t>Q127</t>
  </si>
  <si>
    <t>R127</t>
  </si>
  <si>
    <t>S127</t>
  </si>
  <si>
    <t>U127</t>
  </si>
  <si>
    <t>F128</t>
  </si>
  <si>
    <t>G128</t>
  </si>
  <si>
    <t>Prior hardcoded value 1271 was cleared before current-company SEC mapping.</t>
  </si>
  <si>
    <t>H128</t>
  </si>
  <si>
    <t>Prior hardcoded value 1272 was cleared before current-company SEC mapping.</t>
  </si>
  <si>
    <t>I128</t>
  </si>
  <si>
    <t>Prior hardcoded value 303 was cleared before current-company SEC mapping.</t>
  </si>
  <si>
    <t>K128</t>
  </si>
  <si>
    <t>L128</t>
  </si>
  <si>
    <t>M128</t>
  </si>
  <si>
    <t>N128</t>
  </si>
  <si>
    <t>P128</t>
  </si>
  <si>
    <t>Q128</t>
  </si>
  <si>
    <t>R128</t>
  </si>
  <si>
    <t>S128</t>
  </si>
  <si>
    <t>Prior hardcoded value 311 was cleared before current-company SEC mapping.</t>
  </si>
  <si>
    <t>U128</t>
  </si>
  <si>
    <t>P129</t>
  </si>
  <si>
    <t>Prior hardcoded value 5405 was cleared before current-company SEC mapping.</t>
  </si>
  <si>
    <t>Q129</t>
  </si>
  <si>
    <t>Prior hardcoded value 5434 was cleared before current-company SEC mapping.</t>
  </si>
  <si>
    <t>R129</t>
  </si>
  <si>
    <t>Prior hardcoded value 5281 was cleared before current-company SEC mapping.</t>
  </si>
  <si>
    <t>S129</t>
  </si>
  <si>
    <t>Prior hardcoded value 1111 was cleared before current-company SEC mapping.</t>
  </si>
  <si>
    <t>F134</t>
  </si>
  <si>
    <t>Prior hardcoded value 10104 was cleared before current-company SEC mapping.</t>
  </si>
  <si>
    <t>G134</t>
  </si>
  <si>
    <t>Prior hardcoded value 8984 was cleared before current-company SEC mapping.</t>
  </si>
  <si>
    <t>H134</t>
  </si>
  <si>
    <t>Prior hardcoded value 9283 was cleared before current-company SEC mapping.</t>
  </si>
  <si>
    <t>I134</t>
  </si>
  <si>
    <t>Prior hardcoded value 8279 was cleared before current-company SEC mapping.</t>
  </si>
  <si>
    <t>K134</t>
  </si>
  <si>
    <t>Prior hardcoded value 11485 was cleared before current-company SEC mapping.</t>
  </si>
  <si>
    <t>L134</t>
  </si>
  <si>
    <t>Prior hardcoded value 9499 was cleared before current-company SEC mapping.</t>
  </si>
  <si>
    <t>M134</t>
  </si>
  <si>
    <t>Prior hardcoded value 8822 was cleared before current-company SEC mapping.</t>
  </si>
  <si>
    <t>N134</t>
  </si>
  <si>
    <t>Prior hardcoded value 7659 was cleared before current-company SEC mapping.</t>
  </si>
  <si>
    <t>P134</t>
  </si>
  <si>
    <t>Prior hardcoded value 10841 was cleared before current-company SEC mapping.</t>
  </si>
  <si>
    <t>Q134</t>
  </si>
  <si>
    <t>Prior hardcoded value 12916 was cleared before current-company SEC mapping.</t>
  </si>
  <si>
    <t>R134</t>
  </si>
  <si>
    <t>Prior hardcoded value 12759 was cleared before current-company SEC mapping.</t>
  </si>
  <si>
    <t>S134</t>
  </si>
  <si>
    <t>Prior hardcoded value 10884 was cleared before current-company SEC mapping.</t>
  </si>
  <si>
    <t>U134</t>
  </si>
  <si>
    <t>Prior hardcoded value 13964 was cleared before current-company SEC mapping.</t>
  </si>
  <si>
    <t>F135</t>
  </si>
  <si>
    <t>Prior hardcoded value 715 was cleared before current-company SEC mapping.</t>
  </si>
  <si>
    <t>G135</t>
  </si>
  <si>
    <t>Prior hardcoded value 671 was cleared before current-company SEC mapping.</t>
  </si>
  <si>
    <t>H135</t>
  </si>
  <si>
    <t>Prior hardcoded value 806 was cleared before current-company SEC mapping.</t>
  </si>
  <si>
    <t>I135</t>
  </si>
  <si>
    <t>Prior hardcoded value 662 was cleared before current-company SEC mapping.</t>
  </si>
  <si>
    <t>K135</t>
  </si>
  <si>
    <t>Prior hardcoded value 769 was cleared before current-company SEC mapping.</t>
  </si>
  <si>
    <t>L135</t>
  </si>
  <si>
    <t>Prior hardcoded value 717 was cleared before current-company SEC mapping.</t>
  </si>
  <si>
    <t>M135</t>
  </si>
  <si>
    <t>Prior hardcoded value 779 was cleared before current-company SEC mapping.</t>
  </si>
  <si>
    <t>N135</t>
  </si>
  <si>
    <t>Prior hardcoded value 684 was cleared before current-company SEC mapping.</t>
  </si>
  <si>
    <t>P135</t>
  </si>
  <si>
    <t>Prior hardcoded value 982 was cleared before current-company SEC mapping.</t>
  </si>
  <si>
    <t>Q135</t>
  </si>
  <si>
    <t>Prior hardcoded value 1139 was cleared before current-company SEC mapping.</t>
  </si>
  <si>
    <t>R135</t>
  </si>
  <si>
    <t>Prior hardcoded value 1117 was cleared before current-company SEC mapping.</t>
  </si>
  <si>
    <t>S135</t>
  </si>
  <si>
    <t>Prior hardcoded value 2411 was cleared before current-company SEC mapping.</t>
  </si>
  <si>
    <t>U135</t>
  </si>
  <si>
    <t>Prior hardcoded value 1312 was cleared before current-company SEC mapping.</t>
  </si>
  <si>
    <t>P136</t>
  </si>
  <si>
    <t>Prior hardcoded value 5898 was cleared before current-company SEC mapping.</t>
  </si>
  <si>
    <t>Q136</t>
  </si>
  <si>
    <t>Prior hardcoded value 6706 was cleared before current-company SEC mapping.</t>
  </si>
  <si>
    <t>R136</t>
  </si>
  <si>
    <t>Prior hardcoded value 5079 was cleared before current-company SEC mapping.</t>
  </si>
  <si>
    <t>S136</t>
  </si>
  <si>
    <t>Prior hardcoded value 3614 was cleared before current-company SEC mapping.</t>
  </si>
  <si>
    <t>F139</t>
  </si>
  <si>
    <t>G139</t>
  </si>
  <si>
    <t>H139</t>
  </si>
  <si>
    <t>I139</t>
  </si>
  <si>
    <t>K139</t>
  </si>
  <si>
    <t>L139</t>
  </si>
  <si>
    <t>M139</t>
  </si>
  <si>
    <t>N139</t>
  </si>
  <si>
    <t>P139</t>
  </si>
  <si>
    <t>Q139</t>
  </si>
  <si>
    <t>R139</t>
  </si>
  <si>
    <t>S139</t>
  </si>
  <si>
    <t>U139</t>
  </si>
  <si>
    <t>P140</t>
  </si>
  <si>
    <t>Prior hardcoded value 20804 was cleared before current-company SEC mapping.</t>
  </si>
  <si>
    <t>Q140</t>
  </si>
  <si>
    <t>Prior hardcoded value 20806 was cleared before current-company SEC mapping.</t>
  </si>
  <si>
    <t>R140</t>
  </si>
  <si>
    <t>Prior hardcoded value 21794 was cleared before current-company SEC mapping.</t>
  </si>
  <si>
    <t>S140</t>
  </si>
  <si>
    <t>Prior hardcoded value 26211 was cleared before current-company SEC mapping.</t>
  </si>
  <si>
    <t>F141</t>
  </si>
  <si>
    <t>G141</t>
  </si>
  <si>
    <t>H141</t>
  </si>
  <si>
    <t>I141</t>
  </si>
  <si>
    <t>K141</t>
  </si>
  <si>
    <t>L141</t>
  </si>
  <si>
    <t>M141</t>
  </si>
  <si>
    <t>N141</t>
  </si>
  <si>
    <t>P141</t>
  </si>
  <si>
    <t>Q141</t>
  </si>
  <si>
    <t>R141</t>
  </si>
  <si>
    <t>S141</t>
  </si>
  <si>
    <t>Prior hardcoded value 168 was cleared before current-company SEC mapping.</t>
  </si>
  <si>
    <t>U141</t>
  </si>
  <si>
    <t>P142</t>
  </si>
  <si>
    <t>Prior hardcoded value 5591 was cleared before current-company SEC mapping.</t>
  </si>
  <si>
    <t>Q142</t>
  </si>
  <si>
    <t>Prior hardcoded value 5840 was cleared before current-company SEC mapping.</t>
  </si>
  <si>
    <t>R142</t>
  </si>
  <si>
    <t>Prior hardcoded value 6058 was cleared before current-company SEC mapping.</t>
  </si>
  <si>
    <t>S142</t>
  </si>
  <si>
    <t>Prior hardcoded value 2010 was cleared before current-company SEC mapping.</t>
  </si>
  <si>
    <t>F147</t>
  </si>
  <si>
    <t>Prior hardcoded value 411 was cleared before current-company SEC mapping.</t>
  </si>
  <si>
    <t>G147</t>
  </si>
  <si>
    <t>Prior hardcoded value 406 was cleared before current-company SEC mapping.</t>
  </si>
  <si>
    <t>H147</t>
  </si>
  <si>
    <t>Prior hardcoded value 403 was cleared before current-company SEC mapping.</t>
  </si>
  <si>
    <t>I147</t>
  </si>
  <si>
    <t>Prior hardcoded value 401 was cleared before current-company SEC mapping.</t>
  </si>
  <si>
    <t>K147</t>
  </si>
  <si>
    <t>Prior hardcoded value 397 was cleared before current-company SEC mapping.</t>
  </si>
  <si>
    <t>L147</t>
  </si>
  <si>
    <t>Prior hardcoded value 388 was cleared before current-company SEC mapping.</t>
  </si>
  <si>
    <t>M147</t>
  </si>
  <si>
    <t>Prior hardcoded value 384 was cleared before current-company SEC mapping.</t>
  </si>
  <si>
    <t>N147</t>
  </si>
  <si>
    <t>Prior hardcoded value 381 was cleared before current-company SEC mapping.</t>
  </si>
  <si>
    <t>P147</t>
  </si>
  <si>
    <t>Prior hardcoded value 387 was cleared before current-company SEC mapping.</t>
  </si>
  <si>
    <t>Q147</t>
  </si>
  <si>
    <t>Prior hardcoded value 507 was cleared before current-company SEC mapping.</t>
  </si>
  <si>
    <t>R147</t>
  </si>
  <si>
    <t>Prior hardcoded value 376 was cleared before current-company SEC mapping.</t>
  </si>
  <si>
    <t>S147</t>
  </si>
  <si>
    <t>Prior hardcoded value 456 was cleared before current-company SEC mapping.</t>
  </si>
  <si>
    <t>U147</t>
  </si>
  <si>
    <t>Prior hardcoded value 358 was cleared before current-company SEC mapping.</t>
  </si>
  <si>
    <t>F148</t>
  </si>
  <si>
    <t>G148</t>
  </si>
  <si>
    <t>Prior hardcoded value 5517 was cleared before current-company SEC mapping.</t>
  </si>
  <si>
    <t>H148</t>
  </si>
  <si>
    <t>Prior hardcoded value 5156 was cleared before current-company SEC mapping.</t>
  </si>
  <si>
    <t>I148</t>
  </si>
  <si>
    <t>Prior hardcoded value 3452 was cleared before current-company SEC mapping.</t>
  </si>
  <si>
    <t>K148</t>
  </si>
  <si>
    <t>Prior hardcoded value 3095 was cleared before current-company SEC mapping.</t>
  </si>
  <si>
    <t>L148</t>
  </si>
  <si>
    <t>Prior hardcoded value 2439 was cleared before current-company SEC mapping.</t>
  </si>
  <si>
    <t>M148</t>
  </si>
  <si>
    <t>Prior hardcoded value 2238 was cleared before current-company SEC mapping.</t>
  </si>
  <si>
    <t>N148</t>
  </si>
  <si>
    <t>Prior hardcoded value 1727 was cleared before current-company SEC mapping.</t>
  </si>
  <si>
    <t>P148</t>
  </si>
  <si>
    <t>Prior hardcoded value 1722 was cleared before current-company SEC mapping.</t>
  </si>
  <si>
    <t>Q148</t>
  </si>
  <si>
    <t>Prior hardcoded value 4134 was cleared before current-company SEC mapping.</t>
  </si>
  <si>
    <t>R148</t>
  </si>
  <si>
    <t>Prior hardcoded value 3942 was cleared before current-company SEC mapping.</t>
  </si>
  <si>
    <t>S148</t>
  </si>
  <si>
    <t>U148</t>
  </si>
  <si>
    <t>Prior hardcoded value 98 was cleared before current-company SEC mapping.</t>
  </si>
  <si>
    <t>F149</t>
  </si>
  <si>
    <t>G149</t>
  </si>
  <si>
    <t>H149</t>
  </si>
  <si>
    <t>I149</t>
  </si>
  <si>
    <t>K149</t>
  </si>
  <si>
    <t>L149</t>
  </si>
  <si>
    <t>M149</t>
  </si>
  <si>
    <t>N149</t>
  </si>
  <si>
    <t>P149</t>
  </si>
  <si>
    <t>Q149</t>
  </si>
  <si>
    <t>R149</t>
  </si>
  <si>
    <t>S149</t>
  </si>
  <si>
    <t>U149</t>
  </si>
  <si>
    <t>F150</t>
  </si>
  <si>
    <t>Prior hardcoded value -71 was cleared before current-company SEC mapping.</t>
  </si>
  <si>
    <t>G150</t>
  </si>
  <si>
    <t>Prior hardcoded value -142 was cleared before current-company SEC mapping.</t>
  </si>
  <si>
    <t>H150</t>
  </si>
  <si>
    <t>Prior hardcoded value -165 was cleared before current-company SEC mapping.</t>
  </si>
  <si>
    <t>I150</t>
  </si>
  <si>
    <t>K150</t>
  </si>
  <si>
    <t>Prior hardcoded value -256 was cleared before current-company SEC mapping.</t>
  </si>
  <si>
    <t>L150</t>
  </si>
  <si>
    <t>Prior hardcoded value -187 was cleared before current-company SEC mapping.</t>
  </si>
  <si>
    <t>M150</t>
  </si>
  <si>
    <t>Prior hardcoded value -164 was cleared before current-company SEC mapping.</t>
  </si>
  <si>
    <t>N150</t>
  </si>
  <si>
    <t>Prior hardcoded value -136 was cleared before current-company SEC mapping.</t>
  </si>
  <si>
    <t>P150</t>
  </si>
  <si>
    <t>Prior hardcoded value -393 was cleared before current-company SEC mapping.</t>
  </si>
  <si>
    <t>Q150</t>
  </si>
  <si>
    <t>Prior hardcoded value -285 was cleared before current-company SEC mapping.</t>
  </si>
  <si>
    <t>R150</t>
  </si>
  <si>
    <t>Prior hardcoded value -245 was cleared before current-company SEC mapping.</t>
  </si>
  <si>
    <t>S150</t>
  </si>
  <si>
    <t>U150</t>
  </si>
  <si>
    <t>Prior hardcoded value -11 was cleared before current-company SEC mapping.</t>
  </si>
  <si>
    <t>F153</t>
  </si>
  <si>
    <t>G153</t>
  </si>
  <si>
    <t>H153</t>
  </si>
  <si>
    <t>I153</t>
  </si>
  <si>
    <t>K153</t>
  </si>
  <si>
    <t>L153</t>
  </si>
  <si>
    <t>M153</t>
  </si>
  <si>
    <t>N153</t>
  </si>
  <si>
    <t>P153</t>
  </si>
  <si>
    <t>Q153</t>
  </si>
  <si>
    <t>R153</t>
  </si>
  <si>
    <t>S153</t>
  </si>
  <si>
    <t>U153</t>
  </si>
  <si>
    <t>F193</t>
  </si>
  <si>
    <t>Prior hardcoded value 224 was cleared before current-company SEC mapping.</t>
  </si>
  <si>
    <t>G193</t>
  </si>
  <si>
    <t>Prior hardcoded value 319 was cleared before current-company SEC mapping.</t>
  </si>
  <si>
    <t>H193</t>
  </si>
  <si>
    <t>I193</t>
  </si>
  <si>
    <t>Prior hardcoded value 328 was cleared before current-company SEC mapping.</t>
  </si>
  <si>
    <t>K193</t>
  </si>
  <si>
    <t>Prior hardcoded value 205 was cleared before current-company SEC mapping.</t>
  </si>
  <si>
    <t>L193</t>
  </si>
  <si>
    <t>Prior hardcoded value 321 was cleared before current-company SEC mapping.</t>
  </si>
  <si>
    <t>M193</t>
  </si>
  <si>
    <t>N193</t>
  </si>
  <si>
    <t>Prior hardcoded value 557 was cleared before current-company SEC mapping.</t>
  </si>
  <si>
    <t>P193</t>
  </si>
  <si>
    <t>Q193</t>
  </si>
  <si>
    <t>Prior hardcoded value 382 was cleared before current-company SEC mapping.</t>
  </si>
  <si>
    <t>R193</t>
  </si>
  <si>
    <t>Prior hardcoded value 462 was cleared before current-company SEC mapping.</t>
  </si>
  <si>
    <t>S193</t>
  </si>
  <si>
    <t>U193</t>
  </si>
  <si>
    <t>Prior hardcoded value 461 was cleared before current-company SEC mapping.</t>
  </si>
  <si>
    <t>F194</t>
  </si>
  <si>
    <t>G194</t>
  </si>
  <si>
    <t>H194</t>
  </si>
  <si>
    <t>I194</t>
  </si>
  <si>
    <t>K194</t>
  </si>
  <si>
    <t>L194</t>
  </si>
  <si>
    <t>M194</t>
  </si>
  <si>
    <t>N194</t>
  </si>
  <si>
    <t>P194</t>
  </si>
  <si>
    <t>Q194</t>
  </si>
  <si>
    <t>R194</t>
  </si>
  <si>
    <t>S194</t>
  </si>
  <si>
    <t>U194</t>
  </si>
  <si>
    <t>F195</t>
  </si>
  <si>
    <t>G195</t>
  </si>
  <si>
    <t>H195</t>
  </si>
  <si>
    <t>I195</t>
  </si>
  <si>
    <t>K195</t>
  </si>
  <si>
    <t>L195</t>
  </si>
  <si>
    <t>M195</t>
  </si>
  <si>
    <t>N195</t>
  </si>
  <si>
    <t>P195</t>
  </si>
  <si>
    <t>Q195</t>
  </si>
  <si>
    <t>R195</t>
  </si>
  <si>
    <t>S195</t>
  </si>
  <si>
    <t>U195</t>
  </si>
  <si>
    <t>Prior hardcoded value -64 was cleared before current-company SEC mapping.</t>
  </si>
  <si>
    <t>F207</t>
  </si>
  <si>
    <t>support</t>
  </si>
  <si>
    <t>G207</t>
  </si>
  <si>
    <t>H207</t>
  </si>
  <si>
    <t>I207</t>
  </si>
  <si>
    <t>K207</t>
  </si>
  <si>
    <t>L207</t>
  </si>
  <si>
    <t>M207</t>
  </si>
  <si>
    <t>N207</t>
  </si>
  <si>
    <t>P207</t>
  </si>
  <si>
    <t>Q207</t>
  </si>
  <si>
    <t>R207</t>
  </si>
  <si>
    <t>S207</t>
  </si>
  <si>
    <t>U207</t>
  </si>
  <si>
    <t>F209</t>
  </si>
  <si>
    <t>G209</t>
  </si>
  <si>
    <t>H209</t>
  </si>
  <si>
    <t>I209</t>
  </si>
  <si>
    <t>K209</t>
  </si>
  <si>
    <t>L209</t>
  </si>
  <si>
    <t>M209</t>
  </si>
  <si>
    <t>N209</t>
  </si>
  <si>
    <t>P209</t>
  </si>
  <si>
    <t>Q209</t>
  </si>
  <si>
    <t>R209</t>
  </si>
  <si>
    <t>S209</t>
  </si>
  <si>
    <t>U209</t>
  </si>
  <si>
    <t>F239</t>
  </si>
  <si>
    <t>Prior hardcoded value 86 was cleared before current-company SEC mapping.</t>
  </si>
  <si>
    <t>G239</t>
  </si>
  <si>
    <t>Prior hardcoded value 91.8 was cleared before current-company SEC mapping.</t>
  </si>
  <si>
    <t>H239</t>
  </si>
  <si>
    <t>Prior hardcoded value 95.7 was cleared before current-company SEC mapping.</t>
  </si>
  <si>
    <t>I239</t>
  </si>
  <si>
    <t>Prior hardcoded value 111.3 was cleared before current-company SEC mapping.</t>
  </si>
  <si>
    <t>K239</t>
  </si>
  <si>
    <t>Prior hardcoded value 102.4 was cleared before current-company SEC mapping.</t>
  </si>
  <si>
    <t>L239</t>
  </si>
  <si>
    <t>Prior hardcoded value 102.6 was cleared before current-company SEC mapping.</t>
  </si>
  <si>
    <t>M239</t>
  </si>
  <si>
    <t>Prior hardcoded value 108.4 was cleared before current-company SEC mapping.</t>
  </si>
  <si>
    <t>N239</t>
  </si>
  <si>
    <t>Prior hardcoded value 105.4 was cleared before current-company SEC mapping.</t>
  </si>
  <si>
    <t>P239</t>
  </si>
  <si>
    <t>Prior hardcoded value 98.8 was cleared before current-company SEC mapping.</t>
  </si>
  <si>
    <t>Q239</t>
  </si>
  <si>
    <t>R239</t>
  </si>
  <si>
    <t>Prior hardcoded value 169.2 was cleared before current-company SEC mapping.</t>
  </si>
  <si>
    <t>S239</t>
  </si>
  <si>
    <t>Prior hardcoded value 209.5 was cleared before current-company SEC mapping.</t>
  </si>
  <si>
    <t>U239</t>
  </si>
  <si>
    <t>Prior hardcoded value 182.2 was cleared before current-company SEC mapping.</t>
  </si>
  <si>
    <t>F241</t>
  </si>
  <si>
    <t>Prior hardcoded value 728 was cleared before current-company SEC mapping.</t>
  </si>
  <si>
    <t>G241</t>
  </si>
  <si>
    <t>Prior hardcoded value 1118 was cleared before current-company SEC mapping.</t>
  </si>
  <si>
    <t>I241</t>
  </si>
  <si>
    <t>Prior hardcoded value 539 was cleared before current-company SEC mapping.</t>
  </si>
  <si>
    <t>K241</t>
  </si>
  <si>
    <t>Prior hardcoded value 826 was cleared before current-company SEC mapping.</t>
  </si>
  <si>
    <t>L241</t>
  </si>
  <si>
    <t>Prior hardcoded value 1944 was cleared before current-company SEC mapping.</t>
  </si>
  <si>
    <t>M241</t>
  </si>
  <si>
    <t>Prior hardcoded value 879 was cleared before current-company SEC mapping.</t>
  </si>
  <si>
    <t>N241</t>
  </si>
  <si>
    <t>Prior hardcoded value 664 was cleared before current-company SEC mapping.</t>
  </si>
  <si>
    <t>P241</t>
  </si>
  <si>
    <t>Prior hardcoded value 966 was cleared before current-company SEC mapping.</t>
  </si>
  <si>
    <t>Q241</t>
  </si>
  <si>
    <t>R241</t>
  </si>
  <si>
    <t>Prior hardcoded value 562 was cleared before current-company SEC mapping.</t>
  </si>
  <si>
    <t>U241</t>
  </si>
  <si>
    <t>Prior hardcoded value 3038 was cleared before current-company SEC mapping.</t>
  </si>
  <si>
    <t>F245</t>
  </si>
  <si>
    <t>G245</t>
  </si>
  <si>
    <t>H245</t>
  </si>
  <si>
    <t>I245</t>
  </si>
  <si>
    <t>K245</t>
  </si>
  <si>
    <t>L245</t>
  </si>
  <si>
    <t>M245</t>
  </si>
  <si>
    <t>N245</t>
  </si>
  <si>
    <t>P245</t>
  </si>
  <si>
    <t>Q245</t>
  </si>
  <si>
    <t>R245</t>
  </si>
  <si>
    <t>S245</t>
  </si>
  <si>
    <t>U245</t>
  </si>
  <si>
    <t>F246</t>
  </si>
  <si>
    <t>Prior hardcoded value 24 was cleared before current-company SEC mapping.</t>
  </si>
  <si>
    <t>I246</t>
  </si>
  <si>
    <t>Prior hardcoded value -5 was cleared before current-company SEC mapping.</t>
  </si>
  <si>
    <t>K246</t>
  </si>
  <si>
    <t>Prior hardcoded value 42 was cleared before current-company SEC mapping.</t>
  </si>
  <si>
    <t>M246</t>
  </si>
  <si>
    <t>P246</t>
  </si>
  <si>
    <t>Prior hardcoded value 27 was cleared before current-company SEC mapping.</t>
  </si>
  <si>
    <t>Q246</t>
  </si>
  <si>
    <t>Prior hardcoded value 37 was cleared before current-company SEC mapping.</t>
  </si>
  <si>
    <t>R246</t>
  </si>
  <si>
    <t>Prior hardcoded value 43 was cleared before current-company SEC mapping.</t>
  </si>
  <si>
    <t>U246</t>
  </si>
  <si>
    <t>Prior hardcoded value 54 was cleared before current-company SEC mapping.</t>
  </si>
  <si>
    <t>F254</t>
  </si>
  <si>
    <t>Prior hardcoded value -340 was cleared before current-company SEC mapping.</t>
  </si>
  <si>
    <t>G254</t>
  </si>
  <si>
    <t>Prior hardcoded value -338 was cleared before current-company SEC mapping.</t>
  </si>
  <si>
    <t>H254</t>
  </si>
  <si>
    <t>I254</t>
  </si>
  <si>
    <t>Prior hardcoded value -387 was cleared before current-company SEC mapping.</t>
  </si>
  <si>
    <t>K254</t>
  </si>
  <si>
    <t>Prior hardcoded value -385 was cleared before current-company SEC mapping.</t>
  </si>
  <si>
    <t>L254</t>
  </si>
  <si>
    <t>Prior hardcoded value -382 was cleared before current-company SEC mapping.</t>
  </si>
  <si>
    <t>M254</t>
  </si>
  <si>
    <t>Prior hardcoded value -428 was cleared before current-company SEC mapping.</t>
  </si>
  <si>
    <t>N254</t>
  </si>
  <si>
    <t>Prior hardcoded value -423 was cleared before current-company SEC mapping.</t>
  </si>
  <si>
    <t>P254</t>
  </si>
  <si>
    <t>Prior hardcoded value -420 was cleared before current-company SEC mapping.</t>
  </si>
  <si>
    <t>Q254</t>
  </si>
  <si>
    <t>Prior hardcoded value -416 was cleared before current-company SEC mapping.</t>
  </si>
  <si>
    <t>R254</t>
  </si>
  <si>
    <t>S254</t>
  </si>
  <si>
    <t>Prior hardcoded value -452 was cleared before current-company SEC mapping.</t>
  </si>
  <si>
    <t>U254</t>
  </si>
  <si>
    <t>Prior hardcoded value -440 was cleared before current-company SEC mapping.</t>
  </si>
  <si>
    <t>F271</t>
  </si>
  <si>
    <t>G271</t>
  </si>
  <si>
    <t>H271</t>
  </si>
  <si>
    <t>I271</t>
  </si>
  <si>
    <t>K271</t>
  </si>
  <si>
    <t>L271</t>
  </si>
  <si>
    <t>M271</t>
  </si>
  <si>
    <t>N271</t>
  </si>
  <si>
    <t>P271</t>
  </si>
  <si>
    <t>Q271</t>
  </si>
  <si>
    <t>R271</t>
  </si>
  <si>
    <t>S271</t>
  </si>
  <si>
    <t>U271</t>
  </si>
  <si>
    <t>F280</t>
  </si>
  <si>
    <t>Prior hardcoded value 816.2 was cleared before current-company SEC mapping.</t>
  </si>
  <si>
    <t>G280</t>
  </si>
  <si>
    <t>Prior hardcoded value 808.3 was cleared before current-company SEC mapping.</t>
  </si>
  <si>
    <t>H280</t>
  </si>
  <si>
    <t>Prior hardcoded value 803 was cleared before current-company SEC mapping.</t>
  </si>
  <si>
    <t>J280</t>
  </si>
  <si>
    <t>Prior hardcoded value 612.5 was cleared before current-company SEC mapping.</t>
  </si>
  <si>
    <t>K280</t>
  </si>
  <si>
    <t>L280</t>
  </si>
  <si>
    <t>M280</t>
  </si>
  <si>
    <t>O280</t>
  </si>
  <si>
    <t>Prior hardcoded value 795.9 was cleared before current-company SEC mapping.</t>
  </si>
  <si>
    <t>P280</t>
  </si>
  <si>
    <t>Prior hardcoded value 755 was cleared before current-company SEC mapping.</t>
  </si>
  <si>
    <t>Q280</t>
  </si>
  <si>
    <t>Prior hardcoded value 755.7 was cleared before current-company SEC mapping.</t>
  </si>
  <si>
    <t>R280</t>
  </si>
  <si>
    <t>Prior hardcoded value 732.7 was cleared before current-company SEC mapping.</t>
  </si>
  <si>
    <t>S280</t>
  </si>
  <si>
    <t>Prior hardcoded value 754.9 was cleared before current-company SEC mapping.</t>
  </si>
  <si>
    <t>U280</t>
  </si>
  <si>
    <t>Prior hardcoded value 706.9 was cleared before current-company SEC mapping.</t>
  </si>
  <si>
    <t>F282</t>
  </si>
  <si>
    <t>Prior hardcoded value 825 was cleared before current-company SEC mapping.</t>
  </si>
  <si>
    <t>G282</t>
  </si>
  <si>
    <t>Prior hardcoded value 813 was cleared before current-company SEC mapping.</t>
  </si>
  <si>
    <t>H282</t>
  </si>
  <si>
    <t>I282</t>
  </si>
  <si>
    <t>Prior hardcoded value 801 was cleared before current-company SEC mapping.</t>
  </si>
  <si>
    <t>K282</t>
  </si>
  <si>
    <t>L282</t>
  </si>
  <si>
    <t>M282</t>
  </si>
  <si>
    <t>N282</t>
  </si>
  <si>
    <t>P282</t>
  </si>
  <si>
    <t>Q282</t>
  </si>
  <si>
    <t>Prior hardcoded value 752 was cleared before current-company SEC mapping.</t>
  </si>
  <si>
    <t>R282</t>
  </si>
  <si>
    <t>S282</t>
  </si>
  <si>
    <t>Prior hardcoded value 748 was cleared before current-company SEC mapping.</t>
  </si>
  <si>
    <t>U282</t>
  </si>
  <si>
    <t>Prior hardcoded value 718 was cleared before current-company SEC mapping.</t>
  </si>
  <si>
    <t>F284</t>
  </si>
  <si>
    <t>G284</t>
  </si>
  <si>
    <t>Prior hardcoded value 814 was cleared before current-company SEC mapping.</t>
  </si>
  <si>
    <t>H284</t>
  </si>
  <si>
    <t>Prior hardcoded value 807 was cleared before current-company SEC mapping.</t>
  </si>
  <si>
    <t>I284</t>
  </si>
  <si>
    <t>K284</t>
  </si>
  <si>
    <t>L284</t>
  </si>
  <si>
    <t>M284</t>
  </si>
  <si>
    <t>N284</t>
  </si>
  <si>
    <t>P284</t>
  </si>
  <si>
    <t>Prior hardcoded value 756 was cleared before current-company SEC mapping.</t>
  </si>
  <si>
    <t>Q284</t>
  </si>
  <si>
    <t>Prior hardcoded value 753 was cleared before current-company SEC mapping.</t>
  </si>
  <si>
    <t>R284</t>
  </si>
  <si>
    <t>Prior hardcoded value 754 was cleared before current-company SEC mapping.</t>
  </si>
  <si>
    <t>S284</t>
  </si>
  <si>
    <t>Prior hardcoded value 750 was cleared before current-company SEC mapping.</t>
  </si>
  <si>
    <t>U284</t>
  </si>
  <si>
    <t>Prior hardcoded value 720 was cleared before current-company SEC mapping.</t>
  </si>
  <si>
    <t>direct</t>
  </si>
  <si>
    <t>CostOfGoodsAndServicesSold=4317mm</t>
  </si>
  <si>
    <t>Cost of Goods and Services Sold</t>
  </si>
  <si>
    <t>https://www.sec.gov/Archives/edgar/data/21344/000002134423000024/</t>
  </si>
  <si>
    <t>2023-01-01</t>
  </si>
  <si>
    <t>not a formula cell</t>
  </si>
  <si>
    <t>copied</t>
  </si>
  <si>
    <t>OK!</t>
  </si>
  <si>
    <t>Cost of Goods Sold maps directly to Cost of Goods and Services Sold.</t>
  </si>
  <si>
    <t>CostOfGoodsAndServicesSold=4912mm</t>
  </si>
  <si>
    <t>https://www.sec.gov/Archives/edgar/data/21344/000002134423000048/</t>
  </si>
  <si>
    <t>2023-04-01</t>
  </si>
  <si>
    <t>CostOfGoodsAndServicesSold=4657mm</t>
  </si>
  <si>
    <t>https://www.sec.gov/Archives/edgar/data/21344/000002134423000060/</t>
  </si>
  <si>
    <t>2023-07-01</t>
  </si>
  <si>
    <t>I29</t>
  </si>
  <si>
    <t>preserved</t>
  </si>
  <si>
    <t>existing formula cell</t>
  </si>
  <si>
    <t>not written</t>
  </si>
  <si>
    <t>low</t>
  </si>
  <si>
    <t>formula_preserved</t>
  </si>
  <si>
    <t>CostOfGoodsAndServicesSold=4235mm</t>
  </si>
  <si>
    <t>0000021344-24-000017</t>
  </si>
  <si>
    <t>https://www.sec.gov/Archives/edgar/data/21344/000002134424000017/</t>
  </si>
  <si>
    <t>2024-05-02</t>
  </si>
  <si>
    <t>2024-01-01</t>
  </si>
  <si>
    <t>CostOfGoodsAndServicesSold=4812mm</t>
  </si>
  <si>
    <t>https://www.sec.gov/Archives/edgar/data/21344/000002134424000044/</t>
  </si>
  <si>
    <t>2024-03-30</t>
  </si>
  <si>
    <t>CostOfGoodsAndServicesSold=4664mm</t>
  </si>
  <si>
    <t>https://www.sec.gov/Archives/edgar/data/21344/000002134424000060/</t>
  </si>
  <si>
    <t>2024-06-29</t>
  </si>
  <si>
    <t>CostOfGoodsAndServicesSold=4613mm</t>
  </si>
  <si>
    <t>Cost of Goods and Services Sold (derived Q4)</t>
  </si>
  <si>
    <t>https://www.sec.gov/Archives/edgar/data/21344/000002134425000011/</t>
  </si>
  <si>
    <t>medium</t>
  </si>
  <si>
    <t>CostOfGoodsAndServicesSold=4163mm</t>
  </si>
  <si>
    <t>https://www.sec.gov/Archives/edgar/data/21344/000002134425000029/</t>
  </si>
  <si>
    <t>2025-01-01</t>
  </si>
  <si>
    <t>CostOfGoodsAndServicesSold=4714mm</t>
  </si>
  <si>
    <t>https://www.sec.gov/Archives/edgar/data/21344/000002134425000061/</t>
  </si>
  <si>
    <t>2025-03-29</t>
  </si>
  <si>
    <t>CostOfGoodsAndServicesSold=4797mm</t>
  </si>
  <si>
    <t>https://www.sec.gov/Archives/edgar/data/21344/000162828025046054/</t>
  </si>
  <si>
    <t>2025-06-28</t>
  </si>
  <si>
    <t>CostOfGoodsAndServicesSold=4723mm</t>
  </si>
  <si>
    <t>https://www.sec.gov/Archives/edgar/data/21344/000162828026010047/</t>
  </si>
  <si>
    <t>CostOfGoodsAndServicesSold=4620mm</t>
  </si>
  <si>
    <t>https://www.sec.gov/Archives/edgar/data/21344/000162828026028802/</t>
  </si>
  <si>
    <t>2026-01-01</t>
  </si>
  <si>
    <t>SellingGeneralAndAdministrativeExpense=3185mm</t>
  </si>
  <si>
    <t>Selling, General and Administrative Expense</t>
  </si>
  <si>
    <t>Selling, General &amp; Administration (SG&amp;A) maps directly to Selling General and Administrative expense.</t>
  </si>
  <si>
    <t>Selling General and Administrative expense</t>
  </si>
  <si>
    <t>SellingGeneralAndAdministrativeExpense=3321mm</t>
  </si>
  <si>
    <t>SellingGeneralAndAdministrativeExpense=3667mm</t>
  </si>
  <si>
    <t>I32</t>
  </si>
  <si>
    <t>SellingGeneralAndAdministrativeExpense=3351mm</t>
  </si>
  <si>
    <t>SellingGeneralAndAdministrativeExpense=3549mm</t>
  </si>
  <si>
    <t>SellingGeneralAndAdministrativeExpense=3636mm</t>
  </si>
  <si>
    <t>SellingGeneralAndAdministrativeExpense=4046mm</t>
  </si>
  <si>
    <t>Selling, General and Administrative Expense (derived Q4)</t>
  </si>
  <si>
    <t>SellingGeneralAndAdministrativeExpense=3234mm</t>
  </si>
  <si>
    <t>SellingGeneralAndAdministrativeExpense=3470mm</t>
  </si>
  <si>
    <t>SellingGeneralAndAdministrativeExpense=3618mm</t>
  </si>
  <si>
    <t>SellingGeneralAndAdministrativeExpense=4199mm</t>
  </si>
  <si>
    <t>SellingGeneralAndAdministrativeExpense=3472mm</t>
  </si>
  <si>
    <t>grouped</t>
  </si>
  <si>
    <t>ResearchDevelopmentTechnologyExpenseNotReported=0mm</t>
  </si>
  <si>
    <t>ResearchDevelopmentTechnologyExpenseNotReported</t>
  </si>
  <si>
    <t>warning: Value is a zero/derived model support value with no direct SEC fact.</t>
  </si>
  <si>
    <t>IncomeStatementDepreciationAmortizationNotReported=0mm</t>
  </si>
  <si>
    <t>IncomeStatementDepreciationAmortizationNotReported</t>
  </si>
  <si>
    <t>I34</t>
  </si>
  <si>
    <t>skipped</t>
  </si>
  <si>
    <t>OtherCostAndExpenseOperating=111mm</t>
  </si>
  <si>
    <t>Other Cost and Expense, Operating</t>
  </si>
  <si>
    <t>Classification mismatch: OtherCostAndExpenseOperating was identified as cost of revenue, but Other Operating Income (Expense) expects other operating income expense.</t>
  </si>
  <si>
    <t>would copy</t>
  </si>
  <si>
    <t>blocked: Classification mismatch: OtherCostAndExpenseOperating was identified as cost of revenue, but Other Operating Income (Expense) expects other operating income expense.</t>
  </si>
  <si>
    <t>Other Operating Income (Expense) maps directly to Other Cost and expense Operating.</t>
  </si>
  <si>
    <t>Other Cost and expense Operating</t>
  </si>
  <si>
    <t>OtherCostAndExpenseOperating=1338mm</t>
  </si>
  <si>
    <t>OtherCostAndExpenseOperating=359mm</t>
  </si>
  <si>
    <t>OtherCostAndExpenseOperating=143mm</t>
  </si>
  <si>
    <t>Other Cost and Expense, Operating (derived Q4)</t>
  </si>
  <si>
    <t>https://www.sec.gov/Archives/edgar/data/21344/000002134424000009/</t>
  </si>
  <si>
    <t>OtherCostAndExpenseOperating=1573mm</t>
  </si>
  <si>
    <t>OtherOperatingIncomeExpenseNotReported=0mm</t>
  </si>
  <si>
    <t>OtherOperatingIncomeExpenseNotReported</t>
  </si>
  <si>
    <t>SupplierFinanceProgramObligationDecreaseSettlement=5196mm</t>
  </si>
  <si>
    <t>Confirmed invoices paid</t>
  </si>
  <si>
    <t>https://www.sec.gov/Archives/edgar/data/21344/000002134425000011/ko-20241231.htm</t>
  </si>
  <si>
    <t>Other Operating Income (Expense) includes Confirmed invoices paid.</t>
  </si>
  <si>
    <t>unknown</t>
  </si>
  <si>
    <t>Other Operating Income / Expense</t>
  </si>
  <si>
    <t>The item is presented above operating income and belongs in other operating income/expense.</t>
  </si>
  <si>
    <t>SupplierFinanceProgramObligationDecreaseSettlement=4974mm</t>
  </si>
  <si>
    <t>https://www.sec.gov/Archives/edgar/data/21344/000162828026010047/ko-20251231.htm</t>
  </si>
  <si>
    <t>InvestmentIncomeInterest=168mm</t>
  </si>
  <si>
    <t>Investment Income, Interest</t>
  </si>
  <si>
    <t>Interest Income maps directly to Investment income Interest.</t>
  </si>
  <si>
    <t>Investment income Interest</t>
  </si>
  <si>
    <t>InvestmentIncomeInterest=224mm</t>
  </si>
  <si>
    <t>InvestmentIncomeInterest=248mm</t>
  </si>
  <si>
    <t>InvestmentIncomeInterest=267mm</t>
  </si>
  <si>
    <t>Investment Income, Interest (derived Q4)</t>
  </si>
  <si>
    <t>InvestmentIncomeInterest=246mm</t>
  </si>
  <si>
    <t>InvestmentIncomeInterest=275mm</t>
  </si>
  <si>
    <t>InvestmentIncomeInterest=263mm</t>
  </si>
  <si>
    <t>InvestmentIncomeInterest=204mm</t>
  </si>
  <si>
    <t>InvestmentIncomeInterest=180mm</t>
  </si>
  <si>
    <t>InvestmentIncomeInterest=188mm</t>
  </si>
  <si>
    <t>InvestmentIncomeInterest=185mm</t>
  </si>
  <si>
    <t>InvestmentIncomeInterest=233mm</t>
  </si>
  <si>
    <t>InvestmentIncomeInterest=222mm</t>
  </si>
  <si>
    <t>InterestExpense=372mm</t>
  </si>
  <si>
    <t>Interest (Expense) maps directly to Interest expense.</t>
  </si>
  <si>
    <t>Interest expense</t>
  </si>
  <si>
    <t>InterestExpenseNonoperating=374mm</t>
  </si>
  <si>
    <t>InterestExpenseNonoperating</t>
  </si>
  <si>
    <t>Interest (Expense) maps directly to Interest expense Nonoperating.</t>
  </si>
  <si>
    <t>Interest expense Nonoperating</t>
  </si>
  <si>
    <t>InterestExpenseNonoperating=368mm</t>
  </si>
  <si>
    <t>I39</t>
  </si>
  <si>
    <t>InterestExpenseNonoperating=382mm</t>
  </si>
  <si>
    <t>InterestExpenseNonoperating=418mm</t>
  </si>
  <si>
    <t>InterestExpenseNonoperating=425mm</t>
  </si>
  <si>
    <t>InterestExpenseNonoperating=431mm</t>
  </si>
  <si>
    <t>InterestExpenseNonoperating (derived Q4)</t>
  </si>
  <si>
    <t>InterestExpenseNonoperating=387mm</t>
  </si>
  <si>
    <t>InterestExpenseNonoperating=445mm</t>
  </si>
  <si>
    <t>InterestExpenseNonoperating=391mm</t>
  </si>
  <si>
    <t>InterestExpenseNonoperating=375mm</t>
  </si>
  <si>
    <t>GoodwillImpairmentNotReported=0mm</t>
  </si>
  <si>
    <t>GoodwillImpairmentNotReported</t>
  </si>
  <si>
    <t>OtherNonoperatingIncomeExpense=615mm</t>
  </si>
  <si>
    <t>Other Nonoperating Income (Expense)</t>
  </si>
  <si>
    <t>Other Non-Operating Income (Expense) maps directly to Other Nonoperating income expense.</t>
  </si>
  <si>
    <t>Other income (loss) — net</t>
  </si>
  <si>
    <t>other non operating income expense</t>
  </si>
  <si>
    <t>Other Non-Operating Income / Expense</t>
  </si>
  <si>
    <t>Combined interest-and-other lines below EBIT remain non-operating unless reliable primary-statement detail splits interest.</t>
  </si>
  <si>
    <t>OtherNonoperatingIncomeExpense=91mm</t>
  </si>
  <si>
    <t>OtherNonoperatingIncomeExpense=-130mm</t>
  </si>
  <si>
    <t>OtherNonoperatingIncomeExpense=-6mm</t>
  </si>
  <si>
    <t>Other Nonoperating Income (Expense) (derived Q4)</t>
  </si>
  <si>
    <t>OtherNonoperatingIncomeExpense=1513mm</t>
  </si>
  <si>
    <t>Other Nonoperating income expense</t>
  </si>
  <si>
    <t>OtherNonoperatingIncomeExpense=2mm</t>
  </si>
  <si>
    <t>OtherNonoperatingIncomeExpense=491mm</t>
  </si>
  <si>
    <t>OtherNonoperatingIncomeExpense=-14mm</t>
  </si>
  <si>
    <t>OtherNonoperatingIncomeExpense=254mm</t>
  </si>
  <si>
    <t>OtherNonoperatingIncomeExpense=212mm</t>
  </si>
  <si>
    <t>OtherNonoperatingIncomeExpense=-237mm</t>
  </si>
  <si>
    <t>S41</t>
  </si>
  <si>
    <t>OtherNonoperatingIncomeExpense=21mm</t>
  </si>
  <si>
    <t>IncomeTaxExpenseBenefit=940mm</t>
  </si>
  <si>
    <t>Income Tax Expense (Benefit)</t>
  </si>
  <si>
    <t>Income Tax Benefit (Expense) maps directly to income Tax expense Benefit.</t>
  </si>
  <si>
    <t>income Tax expense Benefit</t>
  </si>
  <si>
    <t>IncomeTaxExpenseBenefit=359mm</t>
  </si>
  <si>
    <t>IncomeTaxExpenseBenefit=454mm</t>
  </si>
  <si>
    <t>I44</t>
  </si>
  <si>
    <t>IncomeTaxExpenseBenefit=687mm</t>
  </si>
  <si>
    <t>IncomeTaxExpenseBenefit=627mm</t>
  </si>
  <si>
    <t>IncomeTaxExpenseBenefit=530mm</t>
  </si>
  <si>
    <t>IncomeTaxExpenseBenefit=593mm</t>
  </si>
  <si>
    <t>Income Tax Expense (Benefit) (derived Q4)</t>
  </si>
  <si>
    <t>IncomeTaxExpenseBenefit=722mm</t>
  </si>
  <si>
    <t>IncomeTaxExpenseBenefit=993mm</t>
  </si>
  <si>
    <t>IncomeTaxExpenseBenefit=500mm</t>
  </si>
  <si>
    <t>IncomeTaxExpenseBenefit=646mm</t>
  </si>
  <si>
    <t>IncomeTaxExpenseBenefit=645mm</t>
  </si>
  <si>
    <t>PreTaxAdjustmentsNotReported=0mm</t>
  </si>
  <si>
    <t>PreTaxAdjustmentsNotReported</t>
  </si>
  <si>
    <t>IncomeLossFromEquityMethodInvestments=275mm</t>
  </si>
  <si>
    <t>Income (Loss) from Equity Method Investments</t>
  </si>
  <si>
    <t>Post-Tax Adjustments maps directly to income loss From Equity Method Investments.</t>
  </si>
  <si>
    <t>income loss From Equity Method Investments</t>
  </si>
  <si>
    <t>IncomeLossFromEquityMethodInvestments=538mm</t>
  </si>
  <si>
    <t>H48</t>
  </si>
  <si>
    <t>IncomeLossFromEquityMethodInvestments=361mm</t>
  </si>
  <si>
    <t>Income (Loss) from Equity Method Investments (derived Q4)</t>
  </si>
  <si>
    <t>IncomeLossFromEquityMethodInvestments=354mm</t>
  </si>
  <si>
    <t>IncomeLossFromEquityMethodInvestments=537mm</t>
  </si>
  <si>
    <t>IncomeLossFromEquityMethodInvestments=541mm</t>
  </si>
  <si>
    <t>IncomeLossFromEquityMethodInvestments=338mm</t>
  </si>
  <si>
    <t>IncomeLossFromEquityMethodInvestments=351mm</t>
  </si>
  <si>
    <t>IncomeLossFromEquityMethodInvestments=561mm</t>
  </si>
  <si>
    <t>IncomeLossFromEquityMethodInvestments=644mm</t>
  </si>
  <si>
    <t>IncomeLossFromEquityMethodInvestments=475mm</t>
  </si>
  <si>
    <t>IncomeLossFromEquityMethodInvestments=384mm</t>
  </si>
  <si>
    <t>DiscontinuedOperationsBridge=0mm</t>
  </si>
  <si>
    <t>DiscontinuedOperationsBridge</t>
  </si>
  <si>
    <t>NetIncomeLossAttributableToNoncontrollingInterest=6mm</t>
  </si>
  <si>
    <t>Net Income (Loss) Attributable to Noncontrolling Interest</t>
  </si>
  <si>
    <t>Income (Loss) due to Non-Controlling Interest maps directly to net income loss Attributable To Noncontrolling Interest.</t>
  </si>
  <si>
    <t>net income loss Attributable To Noncontrolling Interest</t>
  </si>
  <si>
    <t>NetIncomeLossAttributableToNoncontrollingInterest=-26mm</t>
  </si>
  <si>
    <t>NetIncomeLossAttributableToNoncontrollingInterest=-4mm</t>
  </si>
  <si>
    <t>NetIncomeLossAttributableToNoncontrollingInterest=13mm</t>
  </si>
  <si>
    <t>Net Income (Loss) Attributable to Noncontrolling Interest (derived Q4)</t>
  </si>
  <si>
    <t>NetIncomeLossAttributableToNoncontrollingInterest=8mm</t>
  </si>
  <si>
    <t>NetIncomeLossAttributableToNoncontrollingInterest=-10mm</t>
  </si>
  <si>
    <t>NetIncomeLossAttributableToNoncontrollingInterest=2mm</t>
  </si>
  <si>
    <t>NetIncomeLossAttributableToNoncontrollingInterest=18mm</t>
  </si>
  <si>
    <t>NetIncomeLossAttributableToNoncontrollingInterest=5mm</t>
  </si>
  <si>
    <t>NetIncomeLossAttributableToNoncontrollingInterest=-7mm</t>
  </si>
  <si>
    <t>NetIncomeLossAttributableToNoncontrollingInterest=-13mm</t>
  </si>
  <si>
    <t>NetIncomeLossAttributableToNoncontrollingInterest=45mm</t>
  </si>
  <si>
    <t>NetIncomeLossAttributableToNoncontrollingInterest=42mm</t>
  </si>
  <si>
    <t>F120</t>
  </si>
  <si>
    <t>CashAndCashEquivalentsAtCarryingValue=12004mm; OtherShortTermInvestments=1166mm</t>
  </si>
  <si>
    <t>Cash and Cash Equivalents, at Carrying Value; Other Short-term Investments</t>
  </si>
  <si>
    <t>formula cached result refreshed from SEC filing actual</t>
  </si>
  <si>
    <t>Cash &amp; Cash Equivalents includes Cash and Cash Equivalents At Carrying Value and Other Short Term Investments.</t>
  </si>
  <si>
    <t>Short-term investments</t>
  </si>
  <si>
    <t>current assets</t>
  </si>
  <si>
    <t>Short-term investments are cash-like current assets and should be included with cash when no dedicated row exists.</t>
  </si>
  <si>
    <t>G120</t>
  </si>
  <si>
    <t>CashAndCashEquivalentsAtCarryingValue=12564mm; OtherShortTermInvestments=1867mm</t>
  </si>
  <si>
    <t>H120</t>
  </si>
  <si>
    <t>CashAndCashEquivalentsAtCarryingValue=11883mm; OtherShortTermInvestments=2332mm</t>
  </si>
  <si>
    <t>I120</t>
  </si>
  <si>
    <t>CashAndCashEquivalentsAtCarryingValue=9366mm; OtherShortTermInvestments=2997mm</t>
  </si>
  <si>
    <t>K120</t>
  </si>
  <si>
    <t>CashAndCashEquivalentsAtCarryingValue=10443mm; OtherShortTermInvestments=4760mm</t>
  </si>
  <si>
    <t>Cash and Cash Equivalents At Carrying Value; Other Short Term Investments</t>
  </si>
  <si>
    <t>L120</t>
  </si>
  <si>
    <t>CashAndCashEquivalentsAtCarryingValue=13708mm; OtherShortTermInvestments=3691mm</t>
  </si>
  <si>
    <t>M120</t>
  </si>
  <si>
    <t>CashAndCashEquivalentsAtCarryingValue=13938mm; OtherShortTermInvestments=2439mm</t>
  </si>
  <si>
    <t>N120</t>
  </si>
  <si>
    <t>CashAndCashEquivalentsAtCarryingValue=10828mm; OtherShortTermInvestments=2020mm</t>
  </si>
  <si>
    <t>CashAndCashEquivalentsAtCarryingValue=8417mm; OtherShortTermInvestments=3579mm</t>
  </si>
  <si>
    <t>CashAndCashEquivalentsAtCarryingValue=9590mm; OtherShortTermInvestments=2658mm</t>
  </si>
  <si>
    <t>CashAndCashEquivalentsAtCarryingValue=12732mm; OtherShortTermInvestments=1142mm</t>
  </si>
  <si>
    <t>CashAndCashEquivalentsAtCarryingValue=10270mm; OtherShortTermInvestments=3602mm</t>
  </si>
  <si>
    <t>U120</t>
  </si>
  <si>
    <t>CashAndCashEquivalentsAtCarryingValue=10574mm; OtherShortTermInvestments=509mm</t>
  </si>
  <si>
    <t>AccountsReceivableNetCurrent=4599mm</t>
  </si>
  <si>
    <t>Accounts Receivable, after Allowance for Credit Loss, Current</t>
  </si>
  <si>
    <t>Classification mismatch: AccountsReceivableNetCurrent was identified as cash flow or support, but Accounts Receivable expects current assets.</t>
  </si>
  <si>
    <t>blocked: Classification mismatch: AccountsReceivableNetCurrent was identified as cash flow or support, but Accounts Receivable expects current assets.</t>
  </si>
  <si>
    <t>Accounts Receivable maps directly to Accounts Receivable, after Allowance for Credit Loss, Current.</t>
  </si>
  <si>
    <t>AccountsReceivableNetCurrent=3970mm</t>
  </si>
  <si>
    <t>AccountsReceivableNetCurrent=3495mm</t>
  </si>
  <si>
    <t>AccountsReceivableNetCurrent=3410mm</t>
  </si>
  <si>
    <t>AccountsReceivableNetCurrent=4244mm</t>
  </si>
  <si>
    <t>AccountsReceivableNetCurrent=4545mm</t>
  </si>
  <si>
    <t>AccountsReceivableNetCurrent=4233mm</t>
  </si>
  <si>
    <t>AccountsReceivableNetCurrent=3569mm</t>
  </si>
  <si>
    <t>AccountsReceivableNetCurrent=4091mm</t>
  </si>
  <si>
    <t>AccountsReceivableNetCurrent=4168mm</t>
  </si>
  <si>
    <t>AccountsReceivableNetCurrent=3946mm</t>
  </si>
  <si>
    <t>AccountsReceivableNetCurrent=3038mm</t>
  </si>
  <si>
    <t>AccountsReceivableNetCurrent=3675mm</t>
  </si>
  <si>
    <t>InventoryNet=4727mm</t>
  </si>
  <si>
    <t>Inventory, Net</t>
  </si>
  <si>
    <t>Inventory maps directly to Inventory net.</t>
  </si>
  <si>
    <t>Inventories</t>
  </si>
  <si>
    <t>Supplies, parts, fuel, merchandise, raw materials, WIP, and finished goods are inventory-like operating assets.</t>
  </si>
  <si>
    <t>InventoryNet=4646mm</t>
  </si>
  <si>
    <t>InventoryNet=4252mm</t>
  </si>
  <si>
    <t>InventoryNet=4424mm</t>
  </si>
  <si>
    <t>InventoryNet=4961mm</t>
  </si>
  <si>
    <t>Inventory net</t>
  </si>
  <si>
    <t>InventoryNet=4763mm</t>
  </si>
  <si>
    <t>InventoryNet=4714mm</t>
  </si>
  <si>
    <t>InventoryNet=4728mm</t>
  </si>
  <si>
    <t>InventoryNet=5102mm</t>
  </si>
  <si>
    <t>InventoryNet=5082mm</t>
  </si>
  <si>
    <t>InventoryNet=4802mm</t>
  </si>
  <si>
    <t>InventoryNet=4425mm</t>
  </si>
  <si>
    <t>InventoryNet=4730mm</t>
  </si>
  <si>
    <t>AssetsCurrent=26880mm; CashAndCashEquivalentsAtCarryingValue=12004mm; OtherShortTermInvestments=1166mm; AccountsReceivableNetCurrent=4599mm; InventoryNet=4727mm</t>
  </si>
  <si>
    <t>Assets, Current; Cash and Cash Equivalents, at Carrying Value; Other Short-term Investments; Accounts Receivable, after Allowance for Credit Loss, Current; Inventory, Net</t>
  </si>
  <si>
    <t>Classification: AssetsCurrent used as an SEC balance-sheet component to derive Prepaid &amp; Other Current Assets. Classification: CashAndCashEquivalentsAtCarryingValue used as an SEC balance-sheet component to derive Prepaid &amp; Other Current Assets. Classification: OtherShortTermInvestments used as an SEC balance-sheet component to derive Prepaid &amp; Other Current Assets. Classification mismatch: AccountsReceivableNetCurrent was identified as cash flow or support, but Prepaid &amp; Other Current Assets expects current assets. Classification: InventoryNet used as an SEC balance-sheet component to derive Prepaid &amp; Other Current Assets.</t>
  </si>
  <si>
    <t xml:space="preserve">blocked: Classification: AssetsCurrent used as an SEC balance-sheet component to derive Prepaid &amp; Other Current Assets. Classification: CashAndCashEquivalentsAtCarryingValue used as an SEC balance-sheet component to derive Prepaid &amp; Other Current Assets. Classification: OtherShortTermInvestments used as an SEC balance-sheet component to derive Prepaid &amp; Other Current Assets. Classification mismatch: AccountsReceivableNetCurrent was identified as cash flow or support, but Prepaid &amp; Other Current </t>
  </si>
  <si>
    <t>Short-term investments; Inventories</t>
  </si>
  <si>
    <t>Cash &amp; Cash Equivalents; Inventory</t>
  </si>
  <si>
    <t>Short-term investments are cash-like current assets and should be included with cash when no dedicated row exists.; Supplies, parts, fuel, merchandise, raw materials, WIP, and finished goods are inventory-like operating assets.</t>
  </si>
  <si>
    <t>AssetsCurrent=27591mm; CashAndCashEquivalentsAtCarryingValue=12564mm; OtherShortTermInvestments=1867mm; AccountsReceivableNetCurrent=3970mm; InventoryNet=4646mm</t>
  </si>
  <si>
    <t>AssetsCurrent=27867mm; CashAndCashEquivalentsAtCarryingValue=11883mm; OtherShortTermInvestments=2332mm; AccountsReceivableNetCurrent=3495mm; InventoryNet=4252mm</t>
  </si>
  <si>
    <t>AssetsCurrent=26732mm; CashAndCashEquivalentsAtCarryingValue=9366mm; OtherShortTermInvestments=2997mm; AccountsReceivableNetCurrent=3410mm; InventoryNet=4424mm</t>
  </si>
  <si>
    <t>AssetsCurrent=29462mm; CashAndCashEquivalentsAtCarryingValue=10443mm; OtherShortTermInvestments=4760mm; AccountsReceivableNetCurrent=4244mm; InventoryNet=4961mm</t>
  </si>
  <si>
    <t>AssetsCurrent=31599mm; CashAndCashEquivalentsAtCarryingValue=13708mm; OtherShortTermInvestments=3691mm; AccountsReceivableNetCurrent=4545mm; InventoryNet=4763mm</t>
  </si>
  <si>
    <t>AssetsCurrent=30288mm; CashAndCashEquivalentsAtCarryingValue=13938mm; OtherShortTermInvestments=2439mm; AccountsReceivableNetCurrent=4233mm; InventoryNet=4714mm</t>
  </si>
  <si>
    <t>AssetsCurrent=25997mm; CashAndCashEquivalentsAtCarryingValue=10828mm; OtherShortTermInvestments=2020mm; AccountsReceivableNetCurrent=3569mm; InventoryNet=4728mm</t>
  </si>
  <si>
    <t>AssetsCurrent=26178mm; CashAndCashEquivalentsAtCarryingValue=8417mm; OtherShortTermInvestments=3579mm; AccountsReceivableNetCurrent=4091mm; InventoryNet=5102mm</t>
  </si>
  <si>
    <t>AssetsCurrent=26609mm; CashAndCashEquivalentsAtCarryingValue=9590mm; OtherShortTermInvestments=2658mm; AccountsReceivableNetCurrent=4168mm; InventoryNet=5082mm</t>
  </si>
  <si>
    <t>AssetsCurrent=27247mm; CashAndCashEquivalentsAtCarryingValue=12732mm; OtherShortTermInvestments=1142mm; AccountsReceivableNetCurrent=3946mm; InventoryNet=4802mm</t>
  </si>
  <si>
    <t>AssetsCurrent=31044mm; CashAndCashEquivalentsAtCarryingValue=10270mm; OtherShortTermInvestments=3602mm; AccountsReceivableNetCurrent=3038mm; InventoryNet=4425mm</t>
  </si>
  <si>
    <t>AssetsCurrent=30390mm; CashAndCashEquivalentsAtCarryingValue=10574mm; OtherShortTermInvestments=509mm; AccountsReceivableNetCurrent=3675mm; InventoryNet=4730mm</t>
  </si>
  <si>
    <t>PropertyPlantAndEquipmentNet=9848mm</t>
  </si>
  <si>
    <t>Property, Plant and Equipment, Net</t>
  </si>
  <si>
    <t>PP&amp;E, Net maps directly to Property Plant and Equipment net.</t>
  </si>
  <si>
    <t>Property Plant and Equipment net</t>
  </si>
  <si>
    <t>PropertyPlantAndEquipmentNet=9706mm</t>
  </si>
  <si>
    <t>PropertyPlantAndEquipmentNet=8860mm</t>
  </si>
  <si>
    <t>PropertyPlantAndEquipmentNet=9236mm</t>
  </si>
  <si>
    <t>PropertyPlantAndEquipmentNet=9306mm</t>
  </si>
  <si>
    <t>PropertyPlantAndEquipmentNet=9508mm</t>
  </si>
  <si>
    <t>PropertyPlantAndEquipmentNet=9864mm</t>
  </si>
  <si>
    <t>PropertyPlantAndEquipmentNet=10303mm</t>
  </si>
  <si>
    <t>PropertyPlantAndEquipmentNet=10431mm</t>
  </si>
  <si>
    <t>PropertyPlantAndEquipmentNet=10784mm</t>
  </si>
  <si>
    <t>PropertyPlantAndEquipmentNet=10902mm</t>
  </si>
  <si>
    <t>PropertyPlantAndEquipmentNet=9613mm</t>
  </si>
  <si>
    <t>PropertyPlantAndEquipmentNet=9522mm</t>
  </si>
  <si>
    <t>FiniteLivedIntangibleAssetsNet=0mm</t>
  </si>
  <si>
    <t>FiniteLivedIntangibleAssetsNet</t>
  </si>
  <si>
    <t>FiniteLivedIntangibleAssetsNet=355mm</t>
  </si>
  <si>
    <t>Finite-Lived Intangible Assets, Net</t>
  </si>
  <si>
    <t>Intangible Assets, Net maps directly to Finite Lived Intangible Assets net.</t>
  </si>
  <si>
    <t>Finite Lived Intangible Assets net</t>
  </si>
  <si>
    <t>Goodwill=18678mm</t>
  </si>
  <si>
    <t>Goodwill maps directly to Goodwill.</t>
  </si>
  <si>
    <t>Goodwill=18545mm</t>
  </si>
  <si>
    <t>Goodwill=18144mm</t>
  </si>
  <si>
    <t>Goodwill=18358mm</t>
  </si>
  <si>
    <t>Goodwill=18210mm</t>
  </si>
  <si>
    <t>Goodwill=18324mm</t>
  </si>
  <si>
    <t>Goodwill=18686mm</t>
  </si>
  <si>
    <t>Goodwill=18139mm</t>
  </si>
  <si>
    <t>Goodwill=18333mm</t>
  </si>
  <si>
    <t>Goodwill=18663mm</t>
  </si>
  <si>
    <t>Goodwill=18662mm</t>
  </si>
  <si>
    <t>Goodwill=15491mm</t>
  </si>
  <si>
    <t>Goodwill=15411mm</t>
  </si>
  <si>
    <t>F129</t>
  </si>
  <si>
    <t>Assets=97404mm; AssetsCurrent=26880mm; PropertyPlantAndEquipmentNet=9848mm; FiniteLivedIntangibleAssetsNet=0mm; Goodwill=18678mm</t>
  </si>
  <si>
    <t>Assets; Assets, Current; Property, Plant and Equipment, Net; FiniteLivedIntangibleAssetsNet; Goodwill</t>
  </si>
  <si>
    <t>Other Non-Current Assets includes Prepaid expenses and other current assets, Equity Method Investments, Other Investments, Other noncurrent assets, Trademarks with indefinite lives, and Other noncurrent liabilities.</t>
  </si>
  <si>
    <t>Prepaid expenses and other current assets; Equity Method Investments; Other Investments; Other noncurrent assets; Trademarks with indefinite lives; Other noncurrent liabilities</t>
  </si>
  <si>
    <t>G129</t>
  </si>
  <si>
    <t>Assets=98456mm; AssetsCurrent=27591mm; PropertyPlantAndEquipmentNet=9706mm; FiniteLivedIntangibleAssetsNet=0mm; Goodwill=18545mm</t>
  </si>
  <si>
    <t>H129</t>
  </si>
  <si>
    <t>Assets=97578mm; AssetsCurrent=27867mm; PropertyPlantAndEquipmentNet=8860mm; FiniteLivedIntangibleAssetsNet=0mm; Goodwill=18144mm</t>
  </si>
  <si>
    <t>I129</t>
  </si>
  <si>
    <t>Assets=97703mm; AssetsCurrent=26732mm; PropertyPlantAndEquipmentNet=9236mm; FiniteLivedIntangibleAssetsNet=355mm; Goodwill=18358mm</t>
  </si>
  <si>
    <t>Assets; Assets, Current; Property, Plant and Equipment, Net; Finite-Lived Intangible Assets, Net; Goodwill</t>
  </si>
  <si>
    <t>Other Non-Current Assets includes Operating Lease Right of Use Asset, Operating Lease Liability Noncurrent, Prepaid expenses and other current assets, Equity Method Investments, Other Investments, Other noncurrent assets, Trademarks with indefinite lives, and Other noncurrent liabilities.</t>
  </si>
  <si>
    <t>Operating Lease Right of Use Asset; Operating Lease Liability Noncurrent; Prepaid expenses and other current assets; Equity Method Investments; Other Investments; Other noncurrent assets; Trademarks with indefinite lives; Other noncurrent liabilities</t>
  </si>
  <si>
    <t>K129</t>
  </si>
  <si>
    <t>Assets=99392mm; AssetsCurrent=29462mm; PropertyPlantAndEquipmentNet=9306mm; FiniteLivedIntangibleAssetsNet=0mm; Goodwill=18210mm</t>
  </si>
  <si>
    <t>L129</t>
  </si>
  <si>
    <t>Assets=101202mm; AssetsCurrent=31599mm; PropertyPlantAndEquipmentNet=9508mm; FiniteLivedIntangibleAssetsNet=0mm; Goodwill=18324mm</t>
  </si>
  <si>
    <t>M129</t>
  </si>
  <si>
    <t>Assets=106266mm; AssetsCurrent=30288mm; PropertyPlantAndEquipmentNet=9864mm; FiniteLivedIntangibleAssetsNet=0mm; Goodwill=18686mm</t>
  </si>
  <si>
    <t>N129</t>
  </si>
  <si>
    <t>Assets=100549mm; AssetsCurrent=25997mm; PropertyPlantAndEquipmentNet=10303mm; FiniteLivedIntangibleAssetsNet=0mm; Goodwill=18139mm</t>
  </si>
  <si>
    <t>Other Non-Current Assets includes Operating Lease Right of Use Asset, Operating Lease Liability Noncurrent, Prepaid expenses and other current assets, Equity Method Investments, Trademarks with indefinite lives, Other noncurrent assets, and Other noncurrent liabilities.</t>
  </si>
  <si>
    <t>Operating Lease Right of Use Asset; Operating Lease Liability Noncurrent; Prepaid expenses and other current assets; Equity Method Investments; Trademarks with indefinite lives; Other noncurrent assets; Other noncurrent liabilities</t>
  </si>
  <si>
    <t>Assets=101716mm; AssetsCurrent=26178mm; PropertyPlantAndEquipmentNet=10431mm; FiniteLivedIntangibleAssetsNet=0mm; Goodwill=18333mm</t>
  </si>
  <si>
    <t>Other Non-Current Assets includes Prepaid expenses and other current assets, Equity Method Investments, Trademarks with indefinite lives, Other noncurrent assets, and Other noncurrent liabilities.</t>
  </si>
  <si>
    <t>Prepaid expenses and other current assets; Equity Method Investments; Trademarks with indefinite lives; Other noncurrent assets; Other noncurrent liabilities</t>
  </si>
  <si>
    <t>Assets=104333mm; AssetsCurrent=26609mm; PropertyPlantAndEquipmentNet=10784mm; FiniteLivedIntangibleAssetsNet=0mm; Goodwill=18663mm</t>
  </si>
  <si>
    <t>Assets=106045mm; AssetsCurrent=27247mm; PropertyPlantAndEquipmentNet=10902mm; FiniteLivedIntangibleAssetsNet=0mm; Goodwill=18662mm</t>
  </si>
  <si>
    <t>Assets=104816mm; AssetsCurrent=31044mm; PropertyPlantAndEquipmentNet=9613mm; FiniteLivedIntangibleAssetsNet=0mm; Goodwill=15491mm</t>
  </si>
  <si>
    <t>U129</t>
  </si>
  <si>
    <t>Assets=104217mm; AssetsCurrent=30390mm; PropertyPlantAndEquipmentNet=9522mm; FiniteLivedIntangibleAssetsNet=0mm; Goodwill=15411mm</t>
  </si>
  <si>
    <t>AccountsPayableAndAccruedLiabilitiesCurrent=15593mm</t>
  </si>
  <si>
    <t>Accounts Payable and Accrued Liabilities, Current</t>
  </si>
  <si>
    <t>Accounts Payable maps directly to Accounts Payable and Accrued Liabilities Current.</t>
  </si>
  <si>
    <t>Accounts Payable and Accrued Liabilities Current</t>
  </si>
  <si>
    <t>AccountsPayableAndAccruedLiabilitiesCurrent=16483mm</t>
  </si>
  <si>
    <t>AccountsPayableAndAccruedLiabilitiesCurrent=16837mm</t>
  </si>
  <si>
    <t>AccountsPayableTradeCurrent=5590mm</t>
  </si>
  <si>
    <t>Accounts Payable, Trade, Current</t>
  </si>
  <si>
    <t>Accounts Payable maps directly to Accounts Payable Trade Current.</t>
  </si>
  <si>
    <t>Accounts Payable Trade Current</t>
  </si>
  <si>
    <t>AccountsPayableAndAccruedLiabilitiesCurrent=19425mm</t>
  </si>
  <si>
    <t>AccountsPayableAndAccruedLiabilitiesCurrent=21909mm</t>
  </si>
  <si>
    <t>AccountsPayableAndAccruedLiabilitiesCurrent=23820mm</t>
  </si>
  <si>
    <t>AccountsPayableTradeCurrent=5468mm</t>
  </si>
  <si>
    <t>AccountsPayableAndAccruedLiabilitiesCurrent=16499mm</t>
  </si>
  <si>
    <t>AccountsPayableAndAccruedLiabilitiesCurrent=17030mm</t>
  </si>
  <si>
    <t>AccountsPayableAndAccruedLiabilitiesCurrent=17692mm</t>
  </si>
  <si>
    <t>AccountsPayableTradeCurrent=5649mm</t>
  </si>
  <si>
    <t>AccountsPayableAndAccruedLiabilitiesCurrent=14409mm</t>
  </si>
  <si>
    <t>AccruedIncomeTaxesCurrent=1498mm</t>
  </si>
  <si>
    <t>Accrued income taxes</t>
  </si>
  <si>
    <t>https://www.sec.gov/Archives/edgar/data/21344/000002134423000024/ko-20230331.htm</t>
  </si>
  <si>
    <t>Classification mismatch: AccruedIncomeTaxesCurrent was identified as income tax, but Accrued Liabilities expects current liabilities.</t>
  </si>
  <si>
    <t>blocked: Classification mismatch: AccruedIncomeTaxesCurrent was identified as income tax, but Accrued Liabilities expects current liabilities.</t>
  </si>
  <si>
    <t>Accrued Liabilities maps directly to Accrued income taxes.</t>
  </si>
  <si>
    <t>AccruedIncomeTaxesCurrent=1633mm; DisposalGroupIncludingDiscontinuedOperationAccruedIncomeTaxPayable=10mm</t>
  </si>
  <si>
    <t>https://www.sec.gov/Archives/edgar/data/21344/000002134423000048/ko-20230630.htm</t>
  </si>
  <si>
    <t>Classification mismatch: AccruedIncomeTaxesCurrent was identified as income tax, but Accrued Liabilities expects current liabilities. Classification: DisposalGroupIncludingDiscontinuedOperationAccruedIncomeTaxPayable used as an SEC balance-sheet component to derive Accrued Liabilities.</t>
  </si>
  <si>
    <t>blocked: Classification mismatch: AccruedIncomeTaxesCurrent was identified as income tax, but Accrued Liabilities expects current liabilities. Classification: DisposalGroupIncludingDiscontinuedOperationAccruedIncomeTaxPayable used as an SEC balance-sheet component to derive Accrued Liabilities.</t>
  </si>
  <si>
    <t>Accrued Liabilities includes Accrued income taxes.</t>
  </si>
  <si>
    <t>AccruedIncomeTaxesCurrent=1577mm; DisposalGroupIncludingDiscontinuedOperationAccruedIncomeTaxPayable=26mm</t>
  </si>
  <si>
    <t>https://www.sec.gov/Archives/edgar/data/21344/000002134423000060/ko-20230929.htm</t>
  </si>
  <si>
    <t>AccruedIncomeTaxesCurrent=1569mm; DisposalGroupIncludingDiscontinuedOperationAccruedIncomeTaxPayable=24mm</t>
  </si>
  <si>
    <t>https://www.sec.gov/Archives/edgar/data/21344/000002134424000009/ko-20231231.htm</t>
  </si>
  <si>
    <t>AccruedIncomeTaxesCurrent=1485mm</t>
  </si>
  <si>
    <t>Accrued Income Taxes, Current</t>
  </si>
  <si>
    <t>Accrued Liabilities maps directly to Accrued income Taxes Current.</t>
  </si>
  <si>
    <t>Accrued income Taxes Current</t>
  </si>
  <si>
    <t>AccruedIncomeTaxesCurrent=1622mm</t>
  </si>
  <si>
    <t>https://www.sec.gov/Archives/edgar/data/21344/000002134424000044/ko-20240628.htm</t>
  </si>
  <si>
    <t>AccruedIncomeTaxesCurrent=1479mm</t>
  </si>
  <si>
    <t>https://www.sec.gov/Archives/edgar/data/21344/000002134424000060/ko-20240927.htm</t>
  </si>
  <si>
    <t>AccruedIncomeTaxesCurrent=1387mm</t>
  </si>
  <si>
    <t>AccruedIncomeTaxesCurrent=1728mm</t>
  </si>
  <si>
    <t>https://www.sec.gov/Archives/edgar/data/21344/000002134425000029/ko-20250328.htm</t>
  </si>
  <si>
    <t>AccruedIncomeTaxesCurrent=444mm</t>
  </si>
  <si>
    <t>https://www.sec.gov/Archives/edgar/data/21344/000002134425000061/ko-20250627.htm</t>
  </si>
  <si>
    <t>AccruedIncomeTaxesCurrent=568mm</t>
  </si>
  <si>
    <t>https://www.sec.gov/Archives/edgar/data/21344/000162828025046054/ko-20250926.htm</t>
  </si>
  <si>
    <t>AccruedIncomeTaxesCurrent=525mm</t>
  </si>
  <si>
    <t>AccruedIncomeTaxesCurrent=717mm</t>
  </si>
  <si>
    <t>F136</t>
  </si>
  <si>
    <t>LiabilitiesCurrent=23357mm; AccountsPayableAndAccruedLiabilitiesCurrent=15593mm; AccruedIncomeTaxesCurrent=1498mm; LongTermDebtCurrent=811mm; CommercialPaper=5282mm</t>
  </si>
  <si>
    <t>Liabilities, Current; Accounts Payable and Accrued Liabilities, Current; Accrued income taxes; Current maturities of long-term debt; Commercial Paper</t>
  </si>
  <si>
    <t>https://www.sec.gov/Archives/edgar/data/21344/000002134423000024/; https://www.sec.gov/Archives/edgar/data/21344/000002134423000024/ko-20230331.htm</t>
  </si>
  <si>
    <t>actualized forecast formula replaced with SEC filing actual</t>
  </si>
  <si>
    <t>warning: Classification: LiabilitiesCurrent used as an SEC balance-sheet component to derive Other Current Liabilities. Classification: AccountsPayableAndAccruedLiabilitiesCurrent used as an SEC balance-sheet component to derive Other Current Liabilities. Classification mismatch: AccruedIncomeTaxesCurrent was identified as income tax, but Other Current Liabilities expects current liabilities. Classification: LongTermDebtCurrent used as an SEC balance-sheet component to derive Other Current Liabi</t>
  </si>
  <si>
    <t>Actualized forecast column because a matching SEC filing exists for this model period.</t>
  </si>
  <si>
    <t>Current maturities of long-term debt</t>
  </si>
  <si>
    <t>non-current liabilities</t>
  </si>
  <si>
    <t>Long-term debt instruments and their current maturities belong with LT Debt including current portion rather than Revolver or accrued liabilities.</t>
  </si>
  <si>
    <t>G136</t>
  </si>
  <si>
    <t>LiabilitiesCurrent=24115mm; AccountsPayableAndAccruedLiabilitiesCurrent=16483mm; AccruedIncomeTaxesCurrent=1633mm; DisposalGroupIncludingDiscontinuedOperationAccruedIncomeTaxPayable=10mm; LongTermDebtCurrent=1171mm; CommercialPaper=4643mm</t>
  </si>
  <si>
    <t>https://www.sec.gov/Archives/edgar/data/21344/000002134423000048/; https://www.sec.gov/Archives/edgar/data/21344/000002134423000048/ko-20230630.htm</t>
  </si>
  <si>
    <t>warning: Classification: LiabilitiesCurrent used as an SEC balance-sheet component to derive Other Current Liabilities. Classification: AccountsPayableAndAccruedLiabilitiesCurrent used as an SEC balance-sheet component to derive Other Current Liabilities. Classification mismatch: AccruedIncomeTaxesCurrent was identified as income tax, but Other Current Liabilities expects current liabilities. Classification: DisposalGroupIncludingDiscontinuedOperationAccruedIncomeTaxPayable used as an SEC balanc</t>
  </si>
  <si>
    <t>H136</t>
  </si>
  <si>
    <t>LiabilitiesCurrent=24409mm; AccountsPayableAndAccruedLiabilitiesCurrent=16837mm; AccruedIncomeTaxesCurrent=1577mm; DisposalGroupIncludingDiscontinuedOperationAccruedIncomeTaxPayable=26mm; LongTermDebtCurrent=2080mm; CommercialPaper=3698mm</t>
  </si>
  <si>
    <t>https://www.sec.gov/Archives/edgar/data/21344/000002134423000060/; https://www.sec.gov/Archives/edgar/data/21344/000002134423000060/ko-20230929.htm</t>
  </si>
  <si>
    <t>I136</t>
  </si>
  <si>
    <t>LiabilitiesCurrent=23571mm; AccountsPayableTradeCurrent=5590mm; AccruedIncomeTaxesCurrent=1569mm; DisposalGroupIncludingDiscontinuedOperationAccruedIncomeTaxPayable=24mm; LongTermDebtCurrent=1960mm; OtherShortTermBorrowings=348mm</t>
  </si>
  <si>
    <t>Liabilities, Current; Accounts Payable, Trade, Current; Accrued income taxes; Current maturities of long-term debt; Other Short-term Borrowings</t>
  </si>
  <si>
    <t>https://www.sec.gov/Archives/edgar/data/21344/000002134424000009/; https://www.sec.gov/Archives/edgar/data/21344/000002134424000009/ko-20231231.htm</t>
  </si>
  <si>
    <t>warning: Classification: LiabilitiesCurrent used as an SEC balance-sheet component to derive Other Current Liabilities. Classification: AccountsPayableTradeCurrent used as an SEC balance-sheet component to derive Other Current Liabilities. Classification mismatch: AccruedIncomeTaxesCurrent was identified as income tax, but Other Current Liabilities expects current liabilities. Classification: DisposalGroupIncludingDiscontinuedOperationAccruedIncomeTaxPayable used as an SEC balance-sheet componen</t>
  </si>
  <si>
    <t>K136</t>
  </si>
  <si>
    <t>LiabilitiesCurrent=28356mm; AccountsPayableAndAccruedLiabilitiesCurrent=19425mm; AccruedIncomeTaxesCurrent=1485mm; LongTermDebtCurrent=1392mm; CommercialPaper=5722mm</t>
  </si>
  <si>
    <t>Liabilities, Current; Accounts Payable and Accrued Liabilities, Current; Accrued Income Taxes, Current; Current maturities of long-term debt; Commercial Paper</t>
  </si>
  <si>
    <t>L136</t>
  </si>
  <si>
    <t>LiabilitiesCurrent=29263mm; AccountsPayableAndAccruedLiabilitiesCurrent=21909mm; AccruedIncomeTaxesCurrent=1622mm; LongTermDebtAndCapitalLeaseObligationsCurrent=1939mm; CommercialPaper=3502mm</t>
  </si>
  <si>
    <t>https://www.sec.gov/Archives/edgar/data/21344/000002134424000044/; https://www.sec.gov/Archives/edgar/data/21344/000002134424000044/ko-20240628.htm</t>
  </si>
  <si>
    <t xml:space="preserve">warning: Classification: LiabilitiesCurrent used as an SEC balance-sheet component to derive Other Current Liabilities. Classification: AccountsPayableAndAccruedLiabilitiesCurrent used as an SEC balance-sheet component to derive Other Current Liabilities. Classification mismatch: AccruedIncomeTaxesCurrent was identified as income tax, but Other Current Liabilities expects current liabilities. Classification: LongTermDebtAndCapitalLeaseObligationsCurrent used as an SEC balance-sheet component to </t>
  </si>
  <si>
    <t>M136</t>
  </si>
  <si>
    <t>LiabilitiesCurrent=28569mm; AccountsPayableAndAccruedLiabilitiesCurrent=23820mm; AccruedIncomeTaxesCurrent=1479mm; LongTermDebtAndCapitalLeaseObligationsCurrent=1067mm; CommercialPaper=1817mm</t>
  </si>
  <si>
    <t>https://www.sec.gov/Archives/edgar/data/21344/000002134424000060/; https://www.sec.gov/Archives/edgar/data/21344/000002134424000060/ko-20240927.htm</t>
  </si>
  <si>
    <t>N136</t>
  </si>
  <si>
    <t>LiabilitiesCurrent=25249mm; AccountsPayableTradeCurrent=5468mm; AccruedIncomeTaxesCurrent=1387mm; LongTermDebtAndCapitalLeaseObligationsCurrent=648mm; OtherShortTermBorrowings=360mm</t>
  </si>
  <si>
    <t>https://www.sec.gov/Archives/edgar/data/21344/000002134425000011/; https://www.sec.gov/Archives/edgar/data/21344/000002134425000011/ko-20241231.htm</t>
  </si>
  <si>
    <t>warning: Classification: LiabilitiesCurrent used as an SEC balance-sheet component to derive Other Current Liabilities. Classification: AccountsPayableTradeCurrent used as an SEC balance-sheet component to derive Other Current Liabilities. Classification mismatch: AccruedIncomeTaxesCurrent was identified as income tax, but Other Current Liabilities expects current liabilities. Classification: LongTermDebtAndCapitalLeaseObligationsCurrent used as an SEC balance-sheet component to derive Other Cur</t>
  </si>
  <si>
    <t>LiabilitiesCurrent=23808mm; AccountsPayableAndAccruedLiabilitiesCurrent=16499mm; AccruedIncomeTaxesCurrent=1728mm; LongTermDebtAndCapitalLeaseObligationsCurrent=163mm; CommercialPaper=5045mm</t>
  </si>
  <si>
    <t>https://www.sec.gov/Archives/edgar/data/21344/000002134425000029/; https://www.sec.gov/Archives/edgar/data/21344/000002134425000029/ko-20250328.htm</t>
  </si>
  <si>
    <t>Classification: LiabilitiesCurrent used as an SEC balance-sheet component to derive Other Current Liabilities. Classification: AccountsPayableAndAccruedLiabilitiesCurrent used as an SEC balance-sheet component to derive Other Current Liabilities. Classification mismatch: AccruedIncomeTaxesCurrent was identified as income tax, but Other Current Liabilities expects current liabilities. Classification: LongTermDebtAndCapitalLeaseObligationsCurrent used as an SEC balance-sheet component to derive Other Current Liabilities. Classification: CommercialPaper used as an SEC balance-sheet component to derive Other Current Liabilities.</t>
  </si>
  <si>
    <t xml:space="preserve">blocked: Classification: LiabilitiesCurrent used as an SEC balance-sheet component to derive Other Current Liabilities. Classification: AccountsPayableAndAccruedLiabilitiesCurrent used as an SEC balance-sheet component to derive Other Current Liabilities. Classification mismatch: AccruedIncomeTaxesCurrent was identified as income tax, but Other Current Liabilities expects current liabilities. Classification: LongTermDebtAndCapitalLeaseObligationsCurrent used as an SEC balance-sheet component to </t>
  </si>
  <si>
    <t>LiabilitiesCurrent=21944mm; AccountsPayableAndAccruedLiabilitiesCurrent=17030mm; AccruedIncomeTaxesCurrent=444mm; LongTermDebtAndCapitalLeaseObligationsCurrent=91mm; CommercialPaper=4040mm</t>
  </si>
  <si>
    <t>https://www.sec.gov/Archives/edgar/data/21344/000002134425000061/; https://www.sec.gov/Archives/edgar/data/21344/000002134425000061/ko-20250627.htm</t>
  </si>
  <si>
    <t>LiabilitiesCurrent=22499mm; AccountsPayableAndAccruedLiabilitiesCurrent=17692mm; AccruedIncomeTaxesCurrent=568mm; LongTermDebtAndCapitalLeaseObligationsCurrent=1920mm; CommercialPaper=1992mm</t>
  </si>
  <si>
    <t>https://www.sec.gov/Archives/edgar/data/21344/000162828025046054/; https://www.sec.gov/Archives/edgar/data/21344/000162828025046054/ko-20250926.htm</t>
  </si>
  <si>
    <t>LiabilitiesCurrent=21281mm; AccountsPayableTradeCurrent=5649mm; AccruedIncomeTaxesCurrent=525mm; LongTermDebtAndCapitalLeaseObligationsCurrent=1822mm; OtherShortTermBorrowings=56mm</t>
  </si>
  <si>
    <t>https://www.sec.gov/Archives/edgar/data/21344/000162828026010047/; https://www.sec.gov/Archives/edgar/data/21344/000162828026010047/ko-20251231.htm</t>
  </si>
  <si>
    <t>Classification: LiabilitiesCurrent used as an SEC balance-sheet component to derive Other Current Liabilities. Classification: AccountsPayableTradeCurrent used as an SEC balance-sheet component to derive Other Current Liabilities. Classification mismatch: AccruedIncomeTaxesCurrent was identified as income tax, but Other Current Liabilities expects current liabilities. Classification: LongTermDebtAndCapitalLeaseObligationsCurrent used as an SEC balance-sheet component to derive Other Current Liabilities. Classification: OtherShortTermBorrowings used as an SEC balance-sheet component to derive Other Current Liabilities.</t>
  </si>
  <si>
    <t>blocked: Classification: LiabilitiesCurrent used as an SEC balance-sheet component to derive Other Current Liabilities. Classification: AccountsPayableTradeCurrent used as an SEC balance-sheet component to derive Other Current Liabilities. Classification mismatch: AccruedIncomeTaxesCurrent was identified as income tax, but Other Current Liabilities expects current liabilities. Classification: LongTermDebtAndCapitalLeaseObligationsCurrent used as an SEC balance-sheet component to derive Other Cur</t>
  </si>
  <si>
    <t>U136</t>
  </si>
  <si>
    <t>LiabilitiesCurrent=22378mm; AccountsPayableAndAccruedLiabilitiesCurrent=14409mm; AccruedIncomeTaxesCurrent=717mm; LongTermDebtAndCapitalLeaseObligationsCurrent=4493mm; CommercialPaper=250mm</t>
  </si>
  <si>
    <t>CommercialPaper=5282mm</t>
  </si>
  <si>
    <t>Commercial Paper</t>
  </si>
  <si>
    <t>Revolver maps directly to Commercial Paper.</t>
  </si>
  <si>
    <t>CommercialPaper=4643mm</t>
  </si>
  <si>
    <t>CommercialPaper=3698mm</t>
  </si>
  <si>
    <t>OtherShortTermBorrowings=348mm</t>
  </si>
  <si>
    <t>Other Short-term Borrowings</t>
  </si>
  <si>
    <t>Revolver maps directly to Other Short Term Borrowings.</t>
  </si>
  <si>
    <t>Other Short Term Borrowings</t>
  </si>
  <si>
    <t>CommercialPaper=5722mm</t>
  </si>
  <si>
    <t>CommercialPaper=3502mm</t>
  </si>
  <si>
    <t>CommercialPaper=1817mm</t>
  </si>
  <si>
    <t>OtherShortTermBorrowings=360mm</t>
  </si>
  <si>
    <t>CommercialPaper=5045mm</t>
  </si>
  <si>
    <t>CommercialPaper=4040mm</t>
  </si>
  <si>
    <t>CommercialPaper=1992mm</t>
  </si>
  <si>
    <t>OtherShortTermBorrowings=56mm</t>
  </si>
  <si>
    <t>CommercialPaper=250mm</t>
  </si>
  <si>
    <t>F140</t>
  </si>
  <si>
    <t>LongTermDebtNoncurrent=36134mm; LongTermDebtCurrent=811mm</t>
  </si>
  <si>
    <t>Long-term Debt, Excluding Current Maturities; Current maturities of long-term debt</t>
  </si>
  <si>
    <t>Long-term debt; Current maturities of long-term debt</t>
  </si>
  <si>
    <t>G140</t>
  </si>
  <si>
    <t>LongTermDebtNoncurrent=35626mm; LongTermDebtCurrent=1171mm</t>
  </si>
  <si>
    <t>H140</t>
  </si>
  <si>
    <t>LongTermDebtNoncurrent=34176mm; LongTermDebtCurrent=2080mm</t>
  </si>
  <si>
    <t>I140</t>
  </si>
  <si>
    <t>LongTermDebtAndCapitalLeaseObligationsIncludingCurrentMaturities=37507mm</t>
  </si>
  <si>
    <t>Long-term Debt and Lease Obligation, Including Current Maturities</t>
  </si>
  <si>
    <t>LT Debt (Incl. Current Portion) maps directly to Long-term Debt and Lease Obligation, Including Current Maturities.</t>
  </si>
  <si>
    <t>K140</t>
  </si>
  <si>
    <t>LongTermDebtNoncurrent=35104mm; LongTermDebtCurrent=1392mm</t>
  </si>
  <si>
    <t>L140</t>
  </si>
  <si>
    <t>LongTermDebtAndCapitalLeaseObligationsIncludingCurrentMaturities=40024mm</t>
  </si>
  <si>
    <t>M140</t>
  </si>
  <si>
    <t>LongTermDebtAndCapitalLeaseObligationsIncludingCurrentMaturities=44061mm</t>
  </si>
  <si>
    <t>N140</t>
  </si>
  <si>
    <t>LongTermDebtAndCapitalLeaseObligationsIncludingCurrentMaturities=43023mm</t>
  </si>
  <si>
    <t>LongTermDebtAndCapitalLeaseObligationsIncludingCurrentMaturities=43693mm</t>
  </si>
  <si>
    <t>LongTermDebtAndCapitalLeaseObligationsIncludingCurrentMaturities=45067mm</t>
  </si>
  <si>
    <t>LongTermDebtAndCapitalLeaseObligationsIncludingCurrentMaturities=45097mm</t>
  </si>
  <si>
    <t>LongTermDebtAndCapitalLeaseObligationsIncludingCurrentMaturities=43941mm</t>
  </si>
  <si>
    <t>U140</t>
  </si>
  <si>
    <t>LongTermDebtAndCapitalLeaseObligationsIncludingCurrentMaturities=43558mm</t>
  </si>
  <si>
    <t>DeferredIncomeTaxLiabilitiesNet=3171mm</t>
  </si>
  <si>
    <t>Deferred Income Tax Liabilities, Net</t>
  </si>
  <si>
    <t>Deferred Income Taxes maps directly to Deferred income Tax Liabilities net.</t>
  </si>
  <si>
    <t>Deferred income tax liabilities</t>
  </si>
  <si>
    <t>income tax</t>
  </si>
  <si>
    <t>Deferred tax liabilities are true deferred income taxes and belong in the deferred tax row when available.</t>
  </si>
  <si>
    <t>DeferredIncomeTaxLiabilitiesNet=2714mm</t>
  </si>
  <si>
    <t>DeferredIncomeTaxLiabilitiesNet=2733mm</t>
  </si>
  <si>
    <t>DeferredIncomeTaxLiabilitiesNet=2639mm</t>
  </si>
  <si>
    <t>DeferredIncomeTaxLiabilitiesNet=2521mm</t>
  </si>
  <si>
    <t>Deferred income Tax Liabilities net</t>
  </si>
  <si>
    <t>DeferredIncomeTaxLiabilitiesNet=2366mm</t>
  </si>
  <si>
    <t>DeferredIncomeTaxLiabilitiesNet=2292mm</t>
  </si>
  <si>
    <t>DeferredIncomeTaxLiabilitiesNet=2469mm</t>
  </si>
  <si>
    <t>DeferredIncomeTaxLiabilitiesNet=2311mm</t>
  </si>
  <si>
    <t>DeferredIncomeTaxLiabilitiesNet=2375mm</t>
  </si>
  <si>
    <t>DeferredIncomeTaxLiabilitiesNet=2435mm</t>
  </si>
  <si>
    <t>DeferredIncomeTaxLiabilitiesNet=2406mm</t>
  </si>
  <si>
    <t>DeferredIncomeTaxLiabilitiesNet=2615mm</t>
  </si>
  <si>
    <t>F142</t>
  </si>
  <si>
    <t>Assets=97404mm; StockholdersEquityIncludingPortionAttributableToNoncontrollingInterest=26868mm; LiabilitiesCurrent=23357mm; LongTermDebtCurrent=811mm; CommercialPaper=5282mm; CommercialPaper=5282mm; LongTermDebtNoncurrent=36134mm; LongTermDebtCurrent=811mm; DeferredIncomeTaxLiabilitiesNet=3171mm; OperatingLeaseLiabilityNoncurrent=0mm; PensionAndOtherPostretirementDefinedBenefitPlansLiabilityNoncurrent=0mm</t>
  </si>
  <si>
    <t>Assets; Stockholders' Equity, Including Portion Attributable to Noncontrolling Interest; Liabilities, Current; Current maturities of long-term debt; Commercial Paper; Long-term Debt, Excluding Current Maturities; Deferred Income Tax Liabilities, Net; OperatingLeaseLiabilityNoncurrent; PensionAndOtherPostretirementDefinedBenefitPlansLiabilityNoncurrent</t>
  </si>
  <si>
    <t>warning: Classification: Assets used as an SEC balance-sheet component to derive Other Non-Current Liabilities. Classification: StockholdersEquityIncludingPortionAttributableToNoncontrollingInterest used as an SEC balance-sheet component to derive Other Non-Current Liabilities. Classification: LiabilitiesCurrent used as an SEC balance-sheet component to derive Other Non-Current Liabilities. Classification: LongTermDebtCurrent used as an SEC balance-sheet component to derive Other Non-Current Lia</t>
  </si>
  <si>
    <t>Other Non-Current Liabilities includes Other noncurrent assets and Other noncurrent liabilities. Actualized forecast column because a matching SEC filing exists for this model period.</t>
  </si>
  <si>
    <t>Current maturities of long-term debt; Long-term debt; Deferred income tax liabilities</t>
  </si>
  <si>
    <t>non-current liabilities; income tax</t>
  </si>
  <si>
    <t>LT Debt (Incl. Current Portion); Deferred Income Taxes</t>
  </si>
  <si>
    <t>Long-term debt instruments and their current maturities belong with LT Debt including current portion rather than Revolver or accrued liabilities.; Deferred tax liabilities are true deferred income taxes and belong in the deferred tax row when available.</t>
  </si>
  <si>
    <t>G142</t>
  </si>
  <si>
    <t>Assets=98456mm; StockholdersEquityIncludingPortionAttributableToNoncontrollingInterest=27552mm; LiabilitiesCurrent=24115mm; LongTermDebtCurrent=1171mm; CommercialPaper=4643mm; CommercialPaper=4643mm; LongTermDebtNoncurrent=35626mm; LongTermDebtCurrent=1171mm; DeferredIncomeTaxLiabilitiesNet=2714mm; OperatingLeaseLiabilityNoncurrent=0mm; PensionAndOtherPostretirementDefinedBenefitPlansLiabilityNoncurrent=0mm</t>
  </si>
  <si>
    <t>H142</t>
  </si>
  <si>
    <t>Assets=97578mm; StockholdersEquityIncludingPortionAttributableToNoncontrollingInterest=27833mm; LiabilitiesCurrent=24409mm; LongTermDebtCurrent=2080mm; CommercialPaper=3698mm; CommercialPaper=3698mm; LongTermDebtNoncurrent=34176mm; LongTermDebtCurrent=2080mm; DeferredIncomeTaxLiabilitiesNet=2733mm; OperatingLeaseLiabilityNoncurrent=0mm; PensionAndOtherPostretirementDefinedBenefitPlansLiabilityNoncurrent=0mm</t>
  </si>
  <si>
    <t>I142</t>
  </si>
  <si>
    <t>Assets=97703mm; StockholdersEquityIncludingPortionAttributableToNoncontrollingInterest=27480mm; LiabilitiesCurrent=23571mm; LongTermDebtCurrent=1960mm; OtherShortTermBorrowings=348mm; OtherShortTermBorrowings=348mm; LongTermDebtAndCapitalLeaseObligationsIncludingCurrentMaturities=37507mm; DeferredIncomeTaxLiabilitiesNet=2639mm; OperatingLeaseLiabilityNoncurrent=0mm; PensionAndOtherPostretirementDefinedBenefitPlansLiabilityNoncurrent=0mm</t>
  </si>
  <si>
    <t>Assets; Stockholders' Equity, Including Portion Attributable to Noncontrolling Interest; Liabilities, Current; Current maturities of long-term debt; Other Short-term Borrowings; Long-term Debt and Lease Obligation, Including Current Maturities; Deferred Income Tax Liabilities, Net; OperatingLeaseLiabilityNoncurrent; PensionAndOtherPostretirementDefinedBenefitPlansLiabilityNoncurrent</t>
  </si>
  <si>
    <t>0000021344-24-000009; 0000021344-25-000011</t>
  </si>
  <si>
    <t>https://www.sec.gov/Archives/edgar/data/21344/000002134424000009/; https://www.sec.gov/Archives/edgar/data/21344/000002134425000011/</t>
  </si>
  <si>
    <t>2024-02-20; 2025-02-20</t>
  </si>
  <si>
    <t>Other Non-Current Liabilities includes Operating Lease Liability Noncurrent, Other noncurrent assets, and Other noncurrent liabilities. Actualized forecast column because a matching SEC filing exists for this model period.</t>
  </si>
  <si>
    <t>Current maturities of long-term debt; Deferred income tax liabilities</t>
  </si>
  <si>
    <t>K142</t>
  </si>
  <si>
    <t>OtherLiabilitiesNoncurrent=5465mm</t>
  </si>
  <si>
    <t>Other Liabilities, Noncurrent</t>
  </si>
  <si>
    <t>warning: Classification mismatch: OtherLiabilitiesNoncurrent was identified as non current liabilities, but Other Non-Current Liabilities expects current liabilities. Classification-only validation block was overridden because this forecast column has a matching SEC filing and the balance-sheet value is derived from SEC balance-sheet components.</t>
  </si>
  <si>
    <t>Other Non-Current Liabilities maps directly to Other Liabilities Noncurrent. Actualized forecast column because a matching SEC filing exists for this model period.</t>
  </si>
  <si>
    <t>Other Liabilities Noncurrent</t>
  </si>
  <si>
    <t>L142</t>
  </si>
  <si>
    <t>Assets=101202mm; StockholdersEquityIncludingPortionAttributableToNoncontrollingInterest=27411mm; LiabilitiesCurrent=29263mm; LongTermDebtAndCapitalLeaseObligationsCurrent=1939mm; CommercialPaper=3502mm; CommercialPaper=3502mm; LongTermDebtAndCapitalLeaseObligationsIncludingCurrentMaturities=40024mm; DeferredIncomeTaxLiabilitiesNet=2366mm; OperatingLeaseLiabilityNoncurrent=0mm; PensionAndOtherPostretirementDefinedBenefitPlansLiabilityNoncurrent=0mm</t>
  </si>
  <si>
    <t>Assets; Stockholders' Equity, Including Portion Attributable to Noncontrolling Interest; Liabilities, Current; Current maturities of long-term debt; Commercial Paper; Long-term Debt and Lease Obligation, Including Current Maturities; Deferred Income Tax Liabilities, Net; OperatingLeaseLiabilityNoncurrent; PensionAndOtherPostretirementDefinedBenefitPlansLiabilityNoncurrent</t>
  </si>
  <si>
    <t>warning: Classification: Assets used as an SEC balance-sheet component to derive Other Non-Current Liabilities. Classification: StockholdersEquityIncludingPortionAttributableToNoncontrollingInterest used as an SEC balance-sheet component to derive Other Non-Current Liabilities. Classification: LiabilitiesCurrent used as an SEC balance-sheet component to derive Other Non-Current Liabilities. Classification: LongTermDebtAndCapitalLeaseObligationsCurrent used as an SEC balance-sheet component to de</t>
  </si>
  <si>
    <t>M142</t>
  </si>
  <si>
    <t>Assets=106266mm; StockholdersEquityIncludingPortionAttributableToNoncontrollingInterest=28154mm; LiabilitiesCurrent=28569mm; LongTermDebtAndCapitalLeaseObligationsCurrent=1067mm; CommercialPaper=1817mm; CommercialPaper=1817mm; LongTermDebtAndCapitalLeaseObligationsIncludingCurrentMaturities=44061mm; DeferredIncomeTaxLiabilitiesNet=2292mm; OperatingLeaseLiabilityNoncurrent=0mm; PensionAndOtherPostretirementDefinedBenefitPlansLiabilityNoncurrent=0mm</t>
  </si>
  <si>
    <t>N142</t>
  </si>
  <si>
    <t>Assets=100549mm; StockholdersEquityIncludingPortionAttributableToNoncontrollingInterest=26372mm; LiabilitiesCurrent=25249mm; LongTermDebtAndCapitalLeaseObligationsCurrent=648mm; OtherShortTermBorrowings=360mm; OtherShortTermBorrowings=360mm; LongTermDebtAndCapitalLeaseObligationsIncludingCurrentMaturities=43023mm; DeferredIncomeTaxLiabilitiesNet=2469mm; OperatingLeaseLiabilityNoncurrent=0mm; PensionAndOtherPostretirementDefinedBenefitPlansLiabilityNoncurrent=0mm</t>
  </si>
  <si>
    <t>Assets=101716mm; StockholdersEquityIncludingPortionAttributableToNoncontrollingInterest=27754mm; LiabilitiesCurrent=23808mm; LongTermDebtAndCapitalLeaseObligationsCurrent=163mm; CommercialPaper=5045mm; CommercialPaper=5045mm; LongTermDebtAndCapitalLeaseObligationsIncludingCurrentMaturities=43693mm; DeferredIncomeTaxLiabilitiesNet=2311mm; OperatingLeaseLiabilityNoncurrent=0mm; PensionAndOtherPostretirementDefinedBenefitPlansLiabilityNoncurrent=0mm</t>
  </si>
  <si>
    <t>Classification: Assets used as an SEC balance-sheet component to derive Other Non-Current Liabilities. Classification: StockholdersEquityIncludingPortionAttributableToNoncontrollingInterest used as an SEC balance-sheet component to derive Other Non-Current Liabilities. Classification: LiabilitiesCurrent used as an SEC balance-sheet component to derive Other Non-Current Liabilities. Classification: LongTermDebtAndCapitalLeaseObligationsCurrent used as an SEC balance-sheet component to derive Other Non-Current Liabilities. Classification: CommercialPaper used as an SEC balance-sheet component to derive Other Non-Current Liabilities. Classification: LongTermDebtAndCapitalLeaseObligationsIncludingCurrentMaturities used as an SEC balance-sheet component to derive Other Non-Current Liabilities. Classification mismatch: DeferredIncomeTaxLiabilitiesNet was identified as income tax, but Other Non-Current Liabilities expects current liabilities.</t>
  </si>
  <si>
    <t>blocked: Classification: Assets used as an SEC balance-sheet component to derive Other Non-Current Liabilities. Classification: StockholdersEquityIncludingPortionAttributableToNoncontrollingInterest used as an SEC balance-sheet component to derive Other Non-Current Liabilities. Classification: LiabilitiesCurrent used as an SEC balance-sheet component to derive Other Non-Current Liabilities. Classification: LongTermDebtAndCapitalLeaseObligationsCurrent used as an SEC balance-sheet component to de</t>
  </si>
  <si>
    <t>Other Non-Current Liabilities includes Other noncurrent assets and Other noncurrent liabilities.</t>
  </si>
  <si>
    <t>Assets=104333mm; StockholdersEquityIncludingPortionAttributableToNoncontrollingInterest=30182mm; LiabilitiesCurrent=21944mm; LongTermDebtAndCapitalLeaseObligationsCurrent=91mm; CommercialPaper=4040mm; CommercialPaper=4040mm; LongTermDebtAndCapitalLeaseObligationsIncludingCurrentMaturities=45067mm; DeferredIncomeTaxLiabilitiesNet=2375mm; OperatingLeaseLiabilityNoncurrent=0mm; PensionAndOtherPostretirementDefinedBenefitPlansLiabilityNoncurrent=0mm</t>
  </si>
  <si>
    <t>Assets=106045mm; StockholdersEquityIncludingPortionAttributableToNoncontrollingInterest=33267mm; LiabilitiesCurrent=22499mm; LongTermDebtAndCapitalLeaseObligationsCurrent=1920mm; CommercialPaper=1992mm; CommercialPaper=1992mm; LongTermDebtAndCapitalLeaseObligationsIncludingCurrentMaturities=45097mm; DeferredIncomeTaxLiabilitiesNet=2435mm; OperatingLeaseLiabilityNoncurrent=0mm; PensionAndOtherPostretirementDefinedBenefitPlansLiabilityNoncurrent=0mm</t>
  </si>
  <si>
    <t>Assets=104816mm; StockholdersEquityIncludingPortionAttributableToNoncontrollingInterest=34275mm; LiabilitiesCurrent=21281mm; LongTermDebtAndCapitalLeaseObligationsCurrent=1822mm; OtherShortTermBorrowings=56mm; OtherShortTermBorrowings=56mm; LongTermDebtAndCapitalLeaseObligationsIncludingCurrentMaturities=43941mm; DeferredIncomeTaxLiabilitiesNet=2406mm; OperatingLeaseLiabilityNoncurrent=0mm; PensionAndOtherPostretirementDefinedBenefitPlansLiabilityNoncurrent=0mm</t>
  </si>
  <si>
    <t>Classification: Assets used as an SEC balance-sheet component to derive Other Non-Current Liabilities. Classification: StockholdersEquityIncludingPortionAttributableToNoncontrollingInterest used as an SEC balance-sheet component to derive Other Non-Current Liabilities. Classification: LiabilitiesCurrent used as an SEC balance-sheet component to derive Other Non-Current Liabilities. Classification: LongTermDebtAndCapitalLeaseObligationsCurrent used as an SEC balance-sheet component to derive Other Non-Current Liabilities. Classification: OtherShortTermBorrowings used as an SEC balance-sheet component to derive Other Non-Current Liabilities. Classification: LongTermDebtAndCapitalLeaseObligationsIncludingCurrentMaturities used as an SEC balance-sheet component to derive Other Non-Current Liabilities. Classification mismatch: DeferredIncomeTaxLiabilitiesNet was identified as income tax, but Other Non-Current Liabilities expects current liabilities.</t>
  </si>
  <si>
    <t>Other Non-Current Liabilities includes Operating Lease Liability Noncurrent, Other noncurrent assets, and Other noncurrent liabilities.</t>
  </si>
  <si>
    <t>U142</t>
  </si>
  <si>
    <t>OtherLiabilitiesNoncurrent=4425mm</t>
  </si>
  <si>
    <t>CommonStockValue=1760mm; AdditionalPaidInCapitalCommonStock=18889mm</t>
  </si>
  <si>
    <t>Common Stock, Value, Issued; Additional Paid in Capital, Common Stock</t>
  </si>
  <si>
    <t>Common Stock &amp; APIC includes Common Stock, Value, Issued and Additional Paid In Capital Common Stock.</t>
  </si>
  <si>
    <t>Common Stock, Value, Issued; Additional Paid In Capital Common Stock</t>
  </si>
  <si>
    <t>CommonStockValue=1760mm; AdditionalPaidInCapitalCommonStock=18993mm</t>
  </si>
  <si>
    <t>CommonStockValue=1760mm; AdditionalPaidInCapitalCommonStock=19081mm</t>
  </si>
  <si>
    <t>CommonStockValue=1760mm; AdditionalPaidInCapitalCommonStock=19209mm</t>
  </si>
  <si>
    <t>CommonStockValue=1760mm; AdditionalPaidInCapitalCommonStock=19321mm</t>
  </si>
  <si>
    <t>CommonStockValue=1760mm; AdditionalPaidInCapitalCommonStock=19468mm</t>
  </si>
  <si>
    <t>CommonStockValue=1760mm; AdditionalPaidInCapitalCommonStock=19710mm</t>
  </si>
  <si>
    <t>CommonStockValue=1760mm; AdditionalPaidInCapitalCommonStock=19801mm</t>
  </si>
  <si>
    <t>CommonStockValue=1760mm; AdditionalPaidInCapitalCommonStock=19873mm</t>
  </si>
  <si>
    <t>CommonStockValue=1760mm; AdditionalPaidInCapitalCommonStock=19970mm</t>
  </si>
  <si>
    <t>CommonStockValue=1760mm; AdditionalPaidInCapitalCommonStock=20489mm</t>
  </si>
  <si>
    <t>CommonStockValue=1760mm; AdditionalPaidInCapitalCommonStock=20581mm</t>
  </si>
  <si>
    <t>CommonStockValue=1760mm; AdditionalPaidInCapitalCommonStock=20634mm</t>
  </si>
  <si>
    <t>RetainedEarningsAccumulatedDeficit=72137mm</t>
  </si>
  <si>
    <t>Retained Earnings (Accumulated Deficit)</t>
  </si>
  <si>
    <t>Retained Earnings maps directly to Retained Earnings Accumulated Deficit.</t>
  </si>
  <si>
    <t>Retained Earnings Accumulated Deficit</t>
  </si>
  <si>
    <t>RetainedEarningsAccumulatedDeficit=72695mm</t>
  </si>
  <si>
    <t>RetainedEarningsAccumulatedDeficit=73793mm</t>
  </si>
  <si>
    <t>RetainedEarningsAccumulatedDeficit=73782mm</t>
  </si>
  <si>
    <t>RetainedEarningsAccumulatedDeficit=74868mm</t>
  </si>
  <si>
    <t>RetainedEarningsAccumulatedDeficit=75189mm</t>
  </si>
  <si>
    <t>RetainedEarningsAccumulatedDeficit=75946mm</t>
  </si>
  <si>
    <t>RetainedEarningsAccumulatedDeficit=76054mm</t>
  </si>
  <si>
    <t>RetainedEarningsAccumulatedDeficit=77189mm</t>
  </si>
  <si>
    <t>RetainedEarningsAccumulatedDeficit=78803mm</t>
  </si>
  <si>
    <t>RetainedEarningsAccumulatedDeficit=80305mm</t>
  </si>
  <si>
    <t>RetainedEarningsAccumulatedDeficit=80382mm</t>
  </si>
  <si>
    <t>RetainedEarningsAccumulatedDeficit=82026mm</t>
  </si>
  <si>
    <t>TreasuryStockValue=53247mm</t>
  </si>
  <si>
    <t>Treasury Stock, Value</t>
  </si>
  <si>
    <t>Treasury Stock maps directly to Treasury Stock Value.</t>
  </si>
  <si>
    <t>Treasury Stock Value</t>
  </si>
  <si>
    <t>TreasuryStockValue=53418mm</t>
  </si>
  <si>
    <t>TreasuryStockValue=53494mm</t>
  </si>
  <si>
    <t>TreasuryStockValue=54535mm</t>
  </si>
  <si>
    <t>TreasuryStockValue=55016mm</t>
  </si>
  <si>
    <t>TreasuryStockValue=55106mm</t>
  </si>
  <si>
    <t>TreasuryStockValue=55362mm</t>
  </si>
  <si>
    <t>TreasuryStockValue=55916mm</t>
  </si>
  <si>
    <t>TreasuryStockValue=56138mm</t>
  </si>
  <si>
    <t>TreasuryStockValue=56190mm</t>
  </si>
  <si>
    <t>TreasuryStockValue=56355mm</t>
  </si>
  <si>
    <t>TreasuryStockValue=56423mm</t>
  </si>
  <si>
    <t>TreasuryStockValue=56747mm</t>
  </si>
  <si>
    <t>AccumulatedOtherComprehensiveIncomeLossNetOfTax=-14322mm</t>
  </si>
  <si>
    <t>Accumulated Other Comprehensive Income (Loss), Net of Tax</t>
  </si>
  <si>
    <t>Accumulated Other Comprehensive Income (AOCI) maps directly to Accumulated Other Comprehensive income loss net of Tax.</t>
  </si>
  <si>
    <t>Accumulated Other Comprehensive income loss net of Tax</t>
  </si>
  <si>
    <t>AccumulatedOtherComprehensiveIncomeLossNetOfTax=-14017mm</t>
  </si>
  <si>
    <t>AccumulatedOtherComprehensiveIncomeLossNetOfTax=-14815mm</t>
  </si>
  <si>
    <t>AccumulatedOtherComprehensiveIncomeLossNetOfTax=-14275mm</t>
  </si>
  <si>
    <t>AccumulatedOtherComprehensiveIncomeLossNetOfTax=-14504mm</t>
  </si>
  <si>
    <t>AccumulatedOtherComprehensiveIncomeLossNetOfTax=-15458mm</t>
  </si>
  <si>
    <t>AccumulatedOtherComprehensiveIncomeLossNetOfTax=-15536mm</t>
  </si>
  <si>
    <t>AccumulatedOtherComprehensiveIncomeLossNetOfTax=-16843mm</t>
  </si>
  <si>
    <t>AccumulatedOtherComprehensiveIncomeLossNetOfTax=-16482mm</t>
  </si>
  <si>
    <t>AccumulatedOtherComprehensiveIncomeLossNetOfTax=-15758mm</t>
  </si>
  <si>
    <t>AccumulatedOtherComprehensiveIncomeLossNetOfTax=-14952mm</t>
  </si>
  <si>
    <t>AccumulatedOtherComprehensiveIncomeLossNetOfTax=-14131mm</t>
  </si>
  <si>
    <t>AccumulatedOtherComprehensiveIncomeLossNetOfTax=-14040mm</t>
  </si>
  <si>
    <t>MinorityInterest=1651mm</t>
  </si>
  <si>
    <t>Stockholders' Equity Attributable to Noncontrolling Interest</t>
  </si>
  <si>
    <t>Noncontrolling Interests maps directly to Stockholders' Equity Attributable to Noncontrolling Interest.</t>
  </si>
  <si>
    <t>MinorityInterest=1539mm</t>
  </si>
  <si>
    <t>MinorityInterest=1508mm</t>
  </si>
  <si>
    <t>MinorityInterest=1517mm</t>
  </si>
  <si>
    <t>MinorityInterest=1558mm</t>
  </si>
  <si>
    <t>MinorityInterest=1636mm</t>
  </si>
  <si>
    <t>MinorityInterest=1516mm</t>
  </si>
  <si>
    <t>MinorityInterest=1552mm</t>
  </si>
  <si>
    <t>MinorityInterest=1597mm</t>
  </si>
  <si>
    <t>MinorityInterest=2020mm</t>
  </si>
  <si>
    <t>MinorityInterest=2106mm</t>
  </si>
  <si>
    <t>MinorityInterest=2101mm</t>
  </si>
  <si>
    <t>ShareBasedCompensation=58mm</t>
  </si>
  <si>
    <t>Share-based Payment Arrangement, Noncash Expense</t>
  </si>
  <si>
    <t>Unit mismatch: ShareBasedCompensation is reported in USD, expected shares.</t>
  </si>
  <si>
    <t>blocked: Unit mismatch: ShareBasedCompensation is reported in USD, expected shares.</t>
  </si>
  <si>
    <t>Stock-Based Comp Expense maps directly to Share-based Payment Arrangement, Noncash Expense.</t>
  </si>
  <si>
    <t>G246</t>
  </si>
  <si>
    <t>ShareBasedCompensation</t>
  </si>
  <si>
    <t>H246</t>
  </si>
  <si>
    <t>ShareBasedCompensation=77mm</t>
  </si>
  <si>
    <t>Share-based Payment Arrangement, Noncash Expense (derived Q4)</t>
  </si>
  <si>
    <t>ShareBasedCompensation=68mm</t>
  </si>
  <si>
    <t>L246</t>
  </si>
  <si>
    <t>ShareBasedCompensation=67mm</t>
  </si>
  <si>
    <t>Share-based Payment Arrangement, Noncash Expense (derived Q3)</t>
  </si>
  <si>
    <t>N246</t>
  </si>
  <si>
    <t>ShareBasedCompensation=63mm</t>
  </si>
  <si>
    <t>Share-based Payment Arrangement, Noncash Expense (derived Q2)</t>
  </si>
  <si>
    <t>ShareBasedCompensation=74mm</t>
  </si>
  <si>
    <t>S246</t>
  </si>
  <si>
    <t>ShareBasedCompensation=56mm</t>
  </si>
  <si>
    <t>F252</t>
  </si>
  <si>
    <t>G252</t>
  </si>
  <si>
    <t>H252</t>
  </si>
  <si>
    <t>I252</t>
  </si>
  <si>
    <t>K252</t>
  </si>
  <si>
    <t>L252</t>
  </si>
  <si>
    <t>M252</t>
  </si>
  <si>
    <t>N252</t>
  </si>
  <si>
    <t>P252</t>
  </si>
  <si>
    <t>Q252</t>
  </si>
  <si>
    <t>R252</t>
  </si>
  <si>
    <t>S252</t>
  </si>
  <si>
    <t>U252</t>
  </si>
  <si>
    <t>PaymentsOfDividends=101mm</t>
  </si>
  <si>
    <t>Payments of Dividends</t>
  </si>
  <si>
    <t>inverted to match model sign convention</t>
  </si>
  <si>
    <t>Dividends maps directly to Payments of Dividends.</t>
  </si>
  <si>
    <t>PaymentsOfDividends=1988mm</t>
  </si>
  <si>
    <t>Payments of Dividends (derived Q2)</t>
  </si>
  <si>
    <t>PaymentsOfDividends=1989mm</t>
  </si>
  <si>
    <t>Payments of Dividends (derived Q3)</t>
  </si>
  <si>
    <t>PaymentsOfDividends=3874mm</t>
  </si>
  <si>
    <t>Payments of Dividends (derived Q4)</t>
  </si>
  <si>
    <t>PaymentsOfDividends=99mm</t>
  </si>
  <si>
    <t>PaymentsOfDividends=2085mm</t>
  </si>
  <si>
    <t>PaymentsOfDividends=2090mm</t>
  </si>
  <si>
    <t>PaymentsOfDividends=4085mm</t>
  </si>
  <si>
    <t>PaymentsOfDividends=89mm</t>
  </si>
  <si>
    <t>PaymentsOfDividends=2194mm</t>
  </si>
  <si>
    <t>PaymentsOfDividends=2108mm</t>
  </si>
  <si>
    <t>PaymentsOfDividends=4388mm</t>
  </si>
  <si>
    <t>PaymentsOfDividends=2281mm</t>
  </si>
  <si>
    <t>F259</t>
  </si>
  <si>
    <t>G259</t>
  </si>
  <si>
    <t>H259</t>
  </si>
  <si>
    <t>I259</t>
  </si>
  <si>
    <t>K259</t>
  </si>
  <si>
    <t>L259</t>
  </si>
  <si>
    <t>M259</t>
  </si>
  <si>
    <t>N259</t>
  </si>
  <si>
    <t>P259</t>
  </si>
  <si>
    <t>Q259</t>
  </si>
  <si>
    <t>R259</t>
  </si>
  <si>
    <t>S259</t>
  </si>
  <si>
    <t>U259</t>
  </si>
  <si>
    <t>F302</t>
  </si>
  <si>
    <t>G302</t>
  </si>
  <si>
    <t>H302</t>
  </si>
  <si>
    <t>I302</t>
  </si>
  <si>
    <t>K302</t>
  </si>
  <si>
    <t>L302</t>
  </si>
  <si>
    <t>M302</t>
  </si>
  <si>
    <t>N302</t>
  </si>
  <si>
    <t>P302</t>
  </si>
  <si>
    <t>Q302</t>
  </si>
  <si>
    <t>R302</t>
  </si>
  <si>
    <t>S302</t>
  </si>
  <si>
    <t>U302</t>
  </si>
  <si>
    <t>F307</t>
  </si>
  <si>
    <t>G307</t>
  </si>
  <si>
    <t>H307</t>
  </si>
  <si>
    <t>I307</t>
  </si>
  <si>
    <t>K307</t>
  </si>
  <si>
    <t>L307</t>
  </si>
  <si>
    <t>M307</t>
  </si>
  <si>
    <t>N307</t>
  </si>
  <si>
    <t>P307</t>
  </si>
  <si>
    <t>Q307</t>
  </si>
  <si>
    <t>R307</t>
  </si>
  <si>
    <t>S307</t>
  </si>
  <si>
    <t>U307</t>
  </si>
  <si>
    <t>Cash &amp; Cash Equivalents includes Cash and Cash Equivalents At Carrying Value and Other Short Term Investments. Reported-period formula preserved because a matching SEC filing exists for this model period.</t>
  </si>
  <si>
    <t>J120</t>
  </si>
  <si>
    <t>warning: Source period 4Q23 supports FY23 through a beginning-balance or carry-forward rule. Classification: CashAndCashEquivalentsAtCarryingValue used as an SEC balance-sheet component to derive Cash &amp; Cash Equivalents. Classification: OtherShortTermInvestments used as an SEC balance-sheet component to derive Cash &amp; Cash Equivalents.</t>
  </si>
  <si>
    <t>O120</t>
  </si>
  <si>
    <t>warning: Source period 4Q24 supports FY24 through a beginning-balance or carry-forward rule. Classification: CashAndCashEquivalentsAtCarryingValue used as an SEC balance-sheet component to derive Cash &amp; Cash Equivalents. Classification: OtherShortTermInvestments used as an SEC balance-sheet component to derive Cash &amp; Cash Equivalents.</t>
  </si>
  <si>
    <t>T120</t>
  </si>
  <si>
    <t>warning: Source period 4Q25 supports FY25 through a beginning-balance or carry-forward rule. Classification: CashAndCashEquivalentsAtCarryingValue used as an SEC balance-sheet component to derive Cash &amp; Cash Equivalents. Classification: OtherShortTermInvestments used as an SEC balance-sheet component to derive Cash &amp; Cash Equivalents.</t>
  </si>
  <si>
    <t>J121</t>
  </si>
  <si>
    <t>warning: Source period 4Q23 supports FY23 through a beginning-balance or carry-forward rule. Classification mismatch: AccountsReceivableNetCurrent was identified as cash flow or support, but Accounts Receivable expects current assets. Reported-period formula result was refreshed because a matching SEC filing exists for this model period.</t>
  </si>
  <si>
    <t>Accounts Receivable maps directly to Accounts Receivable, after Allowance for Credit Loss, Current. Reported-period formula preserved because a matching SEC filing exists for this model period.</t>
  </si>
  <si>
    <t>O121</t>
  </si>
  <si>
    <t>warning: Source period 4Q24 supports FY24 through a beginning-balance or carry-forward rule. Classification mismatch: AccountsReceivableNetCurrent was identified as cash flow or support, but Accounts Receivable expects current assets. Reported-period formula result was refreshed because a matching SEC filing exists for this model period.</t>
  </si>
  <si>
    <t>T121</t>
  </si>
  <si>
    <t>warning: Source period 4Q25 supports FY25 through a beginning-balance or carry-forward rule. Classification mismatch: AccountsReceivableNetCurrent was identified as cash flow or support, but Accounts Receivable expects current assets. Reported-period formula result was refreshed because a matching SEC filing exists for this model period.</t>
  </si>
  <si>
    <t>J122</t>
  </si>
  <si>
    <t>warning: Source period 4Q23 supports FY23 through a beginning-balance or carry-forward rule. Classification: InventoryNet identified as current assets.</t>
  </si>
  <si>
    <t>Inventory maps directly to Inventory net. Reported-period formula preserved because a matching SEC filing exists for this model period.</t>
  </si>
  <si>
    <t>O122</t>
  </si>
  <si>
    <t>warning: Source period 4Q24 supports FY24 through a beginning-balance or carry-forward rule. Classification: InventoryNet identified as current assets.</t>
  </si>
  <si>
    <t>T122</t>
  </si>
  <si>
    <t>warning: Source period 4Q25 supports FY25 through a beginning-balance or carry-forward rule. Classification: InventoryNet identified as current assets.</t>
  </si>
  <si>
    <t>J123</t>
  </si>
  <si>
    <t>warning: Source period 4Q23 supports FY23 through a beginning-balance or carry-forward rule. Classification: AssetsCurrent used as an SEC balance-sheet component to derive Prepaid &amp; Other Current Assets. Classification: CashAndCashEquivalentsAtCarryingValue used as an SEC balance-sheet component to derive Prepaid &amp; Other Current Assets. Classification: OtherShortTermInvestments used as an SEC balance-sheet component to derive Prepaid &amp; Other Current Assets. Classification mismatch: AccountsRecei</t>
  </si>
  <si>
    <t>Reported-period formula preserved because a matching SEC filing exists for this model period.</t>
  </si>
  <si>
    <t>O123</t>
  </si>
  <si>
    <t>warning: Source period 4Q24 supports FY24 through a beginning-balance or carry-forward rule. Classification: AssetsCurrent used as an SEC balance-sheet component to derive Prepaid &amp; Other Current Assets. Classification: CashAndCashEquivalentsAtCarryingValue used as an SEC balance-sheet component to derive Prepaid &amp; Other Current Assets. Classification: OtherShortTermInvestments used as an SEC balance-sheet component to derive Prepaid &amp; Other Current Assets. Classification mismatch: AccountsRecei</t>
  </si>
  <si>
    <t>T123</t>
  </si>
  <si>
    <t>warning: Source period 4Q25 supports FY25 through a beginning-balance or carry-forward rule. Classification: AssetsCurrent used as an SEC balance-sheet component to derive Prepaid &amp; Other Current Assets. Classification: CashAndCashEquivalentsAtCarryingValue used as an SEC balance-sheet component to derive Prepaid &amp; Other Current Assets. Classification: OtherShortTermInvestments used as an SEC balance-sheet component to derive Prepaid &amp; Other Current Assets. Classification mismatch: AccountsRecei</t>
  </si>
  <si>
    <t>J126</t>
  </si>
  <si>
    <t>warning: Source period 4Q23 supports FY23 through a beginning-balance or carry-forward rule. Classification: PropertyPlantAndEquipmentNet identified as non current assets.</t>
  </si>
  <si>
    <t>PP&amp;E, Net maps directly to Property Plant and Equipment net. Reported-period formula preserved because a matching SEC filing exists for this model period.</t>
  </si>
  <si>
    <t>O126</t>
  </si>
  <si>
    <t>warning: Source period 4Q24 supports FY24 through a beginning-balance or carry-forward rule. Classification: PropertyPlantAndEquipmentNet identified as non current assets.</t>
  </si>
  <si>
    <t>T126</t>
  </si>
  <si>
    <t>warning: Source period 4Q25 supports FY25 through a beginning-balance or carry-forward rule. Classification: PropertyPlantAndEquipmentNet identified as non current assets.</t>
  </si>
  <si>
    <t>J127</t>
  </si>
  <si>
    <t>warning: Source period 4Q23 supports FY23 through a beginning-balance or carry-forward rule. Classification: FiniteLivedIntangibleAssetsNet identified as non current assets.</t>
  </si>
  <si>
    <t>Intangible Assets, Net maps directly to Finite Lived Intangible Assets net. Reported-period formula preserved because a matching SEC filing exists for this model period.</t>
  </si>
  <si>
    <t>O127</t>
  </si>
  <si>
    <t>T127</t>
  </si>
  <si>
    <t>J128</t>
  </si>
  <si>
    <t>warning: Source period 4Q23 supports FY23 through a beginning-balance or carry-forward rule. Classification: Goodwill identified as non current assets.</t>
  </si>
  <si>
    <t>Goodwill maps directly to Goodwill. Reported-period formula preserved because a matching SEC filing exists for this model period.</t>
  </si>
  <si>
    <t>O128</t>
  </si>
  <si>
    <t>warning: Source period 4Q24 supports FY24 through a beginning-balance or carry-forward rule. Classification: Goodwill identified as non current assets.</t>
  </si>
  <si>
    <t>T128</t>
  </si>
  <si>
    <t>warning: Source period 4Q25 supports FY25 through a beginning-balance or carry-forward rule. Classification: Goodwill identified as non current assets.</t>
  </si>
  <si>
    <t>Other Non-Current Assets includes Prepaid expenses and other current assets, Equity Method Investments, Other Investments, Other noncurrent assets, Trademarks with indefinite lives, and Other noncurrent liabilities. Reported-period formula preserved because a matching SEC filing exists for this model period.</t>
  </si>
  <si>
    <t>Other Non-Current Assets includes Operating Lease Right of Use Asset, Operating Lease Liability Noncurrent, Prepaid expenses and other current assets, Equity Method Investments, Other Investments, Other noncurrent assets, Trademarks with indefinite lives, and Other noncurrent liabilities. Reported-period formula preserved because a matching SEC filing exists for this model period.</t>
  </si>
  <si>
    <t>J129</t>
  </si>
  <si>
    <t>warning: Source period 4Q23 supports FY23 through a beginning-balance or carry-forward rule. Classification: Assets used as an SEC balance-sheet component to derive Other Non-Current Assets. Classification: AssetsCurrent used as an SEC balance-sheet component to derive Other Non-Current Assets. Classification: PropertyPlantAndEquipmentNet used as an SEC balance-sheet component to derive Other Non-Current Assets. Classification: FiniteLivedIntangibleAssetsNet used as an SEC balance-sheet componen</t>
  </si>
  <si>
    <t>Other Non-Current Assets includes Operating Lease Right of Use Asset, Operating Lease Liability Noncurrent, Prepaid expenses and other current assets, Equity Method Investments, Trademarks with indefinite lives, Other noncurrent assets, and Other noncurrent liabilities. Reported-period formula preserved because a matching SEC filing exists for this model period.</t>
  </si>
  <si>
    <t>O129</t>
  </si>
  <si>
    <t>warning: Source period 4Q24 supports FY24 through a beginning-balance or carry-forward rule. Classification: Assets used as an SEC balance-sheet component to derive Other Non-Current Assets. Classification: AssetsCurrent used as an SEC balance-sheet component to derive Other Non-Current Assets. Classification: PropertyPlantAndEquipmentNet used as an SEC balance-sheet component to derive Other Non-Current Assets. Classification: Goodwill used as an SEC balance-sheet component to derive Other Non-</t>
  </si>
  <si>
    <t>T129</t>
  </si>
  <si>
    <t>warning: Source period 4Q25 supports FY25 through a beginning-balance or carry-forward rule. Classification: Assets used as an SEC balance-sheet component to derive Other Non-Current Assets. Classification: AssetsCurrent used as an SEC balance-sheet component to derive Other Non-Current Assets. Classification: PropertyPlantAndEquipmentNet used as an SEC balance-sheet component to derive Other Non-Current Assets. Classification: Goodwill used as an SEC balance-sheet component to derive Other Non-</t>
  </si>
  <si>
    <t>J134</t>
  </si>
  <si>
    <t>warning: Source period 4Q23 supports FY23 through a beginning-balance or carry-forward rule. Classification: AccountsPayableTradeCurrent identified as current liabilities.</t>
  </si>
  <si>
    <t>Accounts Payable maps directly to Accounts Payable Trade Current. Reported-period formula preserved because a matching SEC filing exists for this model period.</t>
  </si>
  <si>
    <t>O134</t>
  </si>
  <si>
    <t>warning: Source period 4Q24 supports FY24 through a beginning-balance or carry-forward rule. Classification: AccountsPayableTradeCurrent identified as current liabilities.</t>
  </si>
  <si>
    <t>T134</t>
  </si>
  <si>
    <t>warning: Source period 4Q25 supports FY25 through a beginning-balance or carry-forward rule. Classification: AccountsPayableTradeCurrent identified as current liabilities.</t>
  </si>
  <si>
    <t>J135</t>
  </si>
  <si>
    <t>warning: Source period 4Q23 supports FY23 through a beginning-balance or carry-forward rule. Classification mismatch: AccruedIncomeTaxesCurrent was identified as income tax, but Accrued Liabilities expects current liabilities. Classification: DisposalGroupIncludingDiscontinuedOperationAccruedIncomeTaxPayable used as an SEC balance-sheet component to derive Accrued Liabilities. Reported-period formula result was refreshed because a matching SEC filing exists for this model period.</t>
  </si>
  <si>
    <t>Accrued Liabilities includes Accrued income taxes. Reported-period formula preserved because a matching SEC filing exists for this model period.</t>
  </si>
  <si>
    <t>O135</t>
  </si>
  <si>
    <t>warning: Source period 4Q24 supports FY24 through a beginning-balance or carry-forward rule. Classification mismatch: AccruedIncomeTaxesCurrent was identified as income tax, but Accrued Liabilities expects current liabilities. Reported-period formula result was refreshed because a matching SEC filing exists for this model period.</t>
  </si>
  <si>
    <t>Accrued Liabilities maps directly to Accrued income taxes. Reported-period formula preserved because a matching SEC filing exists for this model period.</t>
  </si>
  <si>
    <t>T135</t>
  </si>
  <si>
    <t>warning: Source period 4Q25 supports FY25 through a beginning-balance or carry-forward rule. Classification mismatch: AccruedIncomeTaxesCurrent was identified as income tax, but Accrued Liabilities expects current liabilities. Reported-period formula result was refreshed because a matching SEC filing exists for this model period.</t>
  </si>
  <si>
    <t>J136</t>
  </si>
  <si>
    <t>warning: Source period 4Q23 supports FY23 through a beginning-balance or carry-forward rule. Classification: LiabilitiesCurrent used as an SEC balance-sheet component to derive Other Current Liabilities. Classification: AccountsPayableTradeCurrent used as an SEC balance-sheet component to derive Other Current Liabilities. Classification mismatch: AccruedIncomeTaxesCurrent was identified as income tax, but Other Current Liabilities expects current liabilities. Classification: DisposalGroupIncludi</t>
  </si>
  <si>
    <t>O136</t>
  </si>
  <si>
    <t>warning: Source period 4Q24 supports FY24 through a beginning-balance or carry-forward rule. Classification: LiabilitiesCurrent used as an SEC balance-sheet component to derive Other Current Liabilities. Classification: AccountsPayableTradeCurrent used as an SEC balance-sheet component to derive Other Current Liabilities. Classification mismatch: AccruedIncomeTaxesCurrent was identified as income tax, but Other Current Liabilities expects current liabilities. Classification: LongTermDebtAndCapit</t>
  </si>
  <si>
    <t>T136</t>
  </si>
  <si>
    <t>warning: Source period 4Q25 supports FY25 through a beginning-balance or carry-forward rule. Classification: LiabilitiesCurrent used as an SEC balance-sheet component to derive Other Current Liabilities. Classification: AccountsPayableTradeCurrent used as an SEC balance-sheet component to derive Other Current Liabilities. Classification mismatch: AccruedIncomeTaxesCurrent was identified as income tax, but Other Current Liabilities expects current liabilities. Classification: LongTermDebtAndCapit</t>
  </si>
  <si>
    <t>J139</t>
  </si>
  <si>
    <t>warning: Source period 4Q23 supports FY23 through a beginning-balance or carry-forward rule.</t>
  </si>
  <si>
    <t>Revolver maps directly to Other Short Term Borrowings. Reported-period formula preserved because a matching SEC filing exists for this model period.</t>
  </si>
  <si>
    <t>O139</t>
  </si>
  <si>
    <t>warning: Source period 4Q24 supports FY24 through a beginning-balance or carry-forward rule.</t>
  </si>
  <si>
    <t>T139</t>
  </si>
  <si>
    <t>warning: Source period 4Q25 supports FY25 through a beginning-balance or carry-forward rule.</t>
  </si>
  <si>
    <t>LT Debt (Incl. Current Portion) maps directly to Long-term Debt and Lease Obligation, Including Current Maturities. Reported-period formula preserved because a matching SEC filing exists for this model period.</t>
  </si>
  <si>
    <t>J140</t>
  </si>
  <si>
    <t>O140</t>
  </si>
  <si>
    <t>T140</t>
  </si>
  <si>
    <t>J141</t>
  </si>
  <si>
    <t>warning: Source period 4Q23 supports FY23 through a beginning-balance or carry-forward rule. Classification: DeferredIncomeTaxLiabilitiesNet identified as income tax.</t>
  </si>
  <si>
    <t>Deferred Income Taxes maps directly to Deferred income Tax Liabilities net. Reported-period formula preserved because a matching SEC filing exists for this model period.</t>
  </si>
  <si>
    <t>O141</t>
  </si>
  <si>
    <t>warning: Source period 4Q24 supports FY24 through a beginning-balance or carry-forward rule. Classification: DeferredIncomeTaxLiabilitiesNet identified as income tax.</t>
  </si>
  <si>
    <t>T141</t>
  </si>
  <si>
    <t>warning: Source period 4Q25 supports FY25 through a beginning-balance or carry-forward rule. Classification: DeferredIncomeTaxLiabilitiesNet identified as income tax.</t>
  </si>
  <si>
    <t>J142</t>
  </si>
  <si>
    <t>warning: Source period 4Q23 supports FY23 through a beginning-balance or carry-forward rule. Classification: Assets used as an SEC balance-sheet component to derive Other Non-Current Liabilities. Classification: StockholdersEquityIncludingPortionAttributableToNoncontrollingInterest used as an SEC balance-sheet component to derive Other Non-Current Liabilities. Classification: LiabilitiesCurrent used as an SEC balance-sheet component to derive Other Non-Current Liabilities. Classification: LongTe</t>
  </si>
  <si>
    <t>Other Non-Current Liabilities includes Operating Lease Liability Noncurrent, Other noncurrent assets, and Other noncurrent liabilities. Reported-period formula preserved because a matching SEC filing exists for this model period.</t>
  </si>
  <si>
    <t>O142</t>
  </si>
  <si>
    <t>warning: Source period 4Q24 supports FY24 through a beginning-balance or carry-forward rule. Classification: Assets used as an SEC balance-sheet component to derive Other Non-Current Liabilities. Classification: StockholdersEquityIncludingPortionAttributableToNoncontrollingInterest used as an SEC balance-sheet component to derive Other Non-Current Liabilities. Classification: LiabilitiesCurrent used as an SEC balance-sheet component to derive Other Non-Current Liabilities. Classification: LongTe</t>
  </si>
  <si>
    <t>T142</t>
  </si>
  <si>
    <t>warning: Source period 4Q25 supports FY25 through a beginning-balance or carry-forward rule. Classification: Assets used as an SEC balance-sheet component to derive Other Non-Current Liabilities. Classification: StockholdersEquityIncludingPortionAttributableToNoncontrollingInterest used as an SEC balance-sheet component to derive Other Non-Current Liabilities. Classification: LiabilitiesCurrent used as an SEC balance-sheet component to derive Other Non-Current Liabilities. Classification: LongTe</t>
  </si>
  <si>
    <t>J147</t>
  </si>
  <si>
    <t>Common Stock &amp; APIC includes Common Stock, Value, Issued and Additional Paid In Capital Common Stock. Reported-period formula preserved because a matching SEC filing exists for this model period.</t>
  </si>
  <si>
    <t>O147</t>
  </si>
  <si>
    <t>T147</t>
  </si>
  <si>
    <t>J148</t>
  </si>
  <si>
    <t>warning: Source period 4Q23 supports FY23 through a beginning-balance or carry-forward rule. Classification: RetainedEarningsAccumulatedDeficit identified as equity.</t>
  </si>
  <si>
    <t>Retained Earnings maps directly to Retained Earnings Accumulated Deficit. Reported-period formula preserved because a matching SEC filing exists for this model period.</t>
  </si>
  <si>
    <t>O148</t>
  </si>
  <si>
    <t>warning: Source period 4Q24 supports FY24 through a beginning-balance or carry-forward rule. Classification: RetainedEarningsAccumulatedDeficit identified as equity.</t>
  </si>
  <si>
    <t>T148</t>
  </si>
  <si>
    <t>warning: Source period 4Q25 supports FY25 through a beginning-balance or carry-forward rule. Classification: RetainedEarningsAccumulatedDeficit identified as equity.</t>
  </si>
  <si>
    <t>J149</t>
  </si>
  <si>
    <t>warning: Source period 4Q23 supports FY23 through a beginning-balance or carry-forward rule. Classification: TreasuryStockValue identified as equity.</t>
  </si>
  <si>
    <t>Treasury Stock maps directly to Treasury Stock Value. Reported-period formula preserved because a matching SEC filing exists for this model period.</t>
  </si>
  <si>
    <t>O149</t>
  </si>
  <si>
    <t>warning: Source period 4Q24 supports FY24 through a beginning-balance or carry-forward rule. Classification: TreasuryStockValue identified as equity.</t>
  </si>
  <si>
    <t>T149</t>
  </si>
  <si>
    <t>warning: Source period 4Q25 supports FY25 through a beginning-balance or carry-forward rule. Classification: TreasuryStockValue identified as equity.</t>
  </si>
  <si>
    <t>J150</t>
  </si>
  <si>
    <t>warning: Source period 4Q23 supports FY23 through a beginning-balance or carry-forward rule. Classification: AccumulatedOtherComprehensiveIncomeLossNetOfTax identified as equity.</t>
  </si>
  <si>
    <t>Accumulated Other Comprehensive Income (AOCI) maps directly to Accumulated Other Comprehensive income loss net of Tax. Reported-period formula preserved because a matching SEC filing exists for this model period.</t>
  </si>
  <si>
    <t>O150</t>
  </si>
  <si>
    <t>warning: Source period 4Q24 supports FY24 through a beginning-balance or carry-forward rule. Classification: AccumulatedOtherComprehensiveIncomeLossNetOfTax identified as equity.</t>
  </si>
  <si>
    <t>T150</t>
  </si>
  <si>
    <t>warning: Source period 4Q25 supports FY25 through a beginning-balance or carry-forward rule. Classification: AccumulatedOtherComprehensiveIncomeLossNetOfTax identified as equity.</t>
  </si>
  <si>
    <t>J153</t>
  </si>
  <si>
    <t>warning: Source period 4Q23 supports FY23 through a beginning-balance or carry-forward rule. Classification: MinorityInterest identified as equity.</t>
  </si>
  <si>
    <t>Noncontrolling Interests maps directly to Stockholders' Equity Attributable to Noncontrolling Interest. Reported-period formula preserved because a matching SEC filing exists for this model period.</t>
  </si>
  <si>
    <t>O153</t>
  </si>
  <si>
    <t>warning: Source period 4Q24 supports FY24 through a beginning-balance or carry-forward rule. Classification: MinorityInterest identified as equity.</t>
  </si>
  <si>
    <t>T153</t>
  </si>
  <si>
    <t>warning: Source period 4Q25 supports FY25 through a beginning-balance or carry-forward rule. Classification: MinorityInterest identified as equity.</t>
  </si>
  <si>
    <t>F8</t>
  </si>
  <si>
    <t>segment</t>
  </si>
  <si>
    <t>Reported Revenue Revenue=10980mm</t>
  </si>
  <si>
    <t>not_run</t>
  </si>
  <si>
    <t>Reported maps directly to Reported Revenue Revenue.</t>
  </si>
  <si>
    <t>G8</t>
  </si>
  <si>
    <t>Reported Revenue Revenue=11972mm</t>
  </si>
  <si>
    <t>H8</t>
  </si>
  <si>
    <t>Reported Revenue Revenue=11953mm</t>
  </si>
  <si>
    <t>K8</t>
  </si>
  <si>
    <t>Reported Revenue Revenue=11300mm</t>
  </si>
  <si>
    <t>L8</t>
  </si>
  <si>
    <t>Reported Revenue Revenue=12363mm</t>
  </si>
  <si>
    <t>M8</t>
  </si>
  <si>
    <t>Reported Revenue Revenue=11854mm</t>
  </si>
  <si>
    <t>N8</t>
  </si>
  <si>
    <t>Reported Revenue Revenue=11544mm</t>
  </si>
  <si>
    <t>P8</t>
  </si>
  <si>
    <t>Reported Revenue Revenue=11129mm</t>
  </si>
  <si>
    <t>Q8</t>
  </si>
  <si>
    <t>Reported Revenue Revenue=12535mm</t>
  </si>
  <si>
    <t>R8</t>
  </si>
  <si>
    <t>Reported Revenue Revenue=12455mm</t>
  </si>
  <si>
    <t>S8</t>
  </si>
  <si>
    <t>Reported Revenue Revenue=11822mm</t>
  </si>
  <si>
    <t>U8</t>
  </si>
  <si>
    <t>Reported Revenue Revenue=12472mm</t>
  </si>
  <si>
    <t>Material Reconciling Items</t>
  </si>
  <si>
    <t>Material Reconciling Items Operating Income=0mm</t>
  </si>
  <si>
    <t>Material Reconciling Items maps directly to Material Reconciling Items Operating Income.</t>
  </si>
  <si>
    <t>Material Reconciling Items Operating Income=4053mm</t>
  </si>
  <si>
    <t>Material Reconciling Items Operating Income=4630mm</t>
  </si>
  <si>
    <t>F52</t>
  </si>
  <si>
    <t>Home Improvement Retail D&amp;A</t>
  </si>
  <si>
    <t>unused</t>
  </si>
  <si>
    <t>needs_review</t>
  </si>
  <si>
    <t>Needs review: Segment Analysis row was not filled because the template label is blank, generic, or does not confidently match an EDGAR reportable segment.</t>
  </si>
  <si>
    <t>G52</t>
  </si>
  <si>
    <t>H52</t>
  </si>
  <si>
    <t>I52</t>
  </si>
  <si>
    <t>K52</t>
  </si>
  <si>
    <t>L52</t>
  </si>
  <si>
    <t>M52</t>
  </si>
  <si>
    <t>N52</t>
  </si>
  <si>
    <t>P52</t>
  </si>
  <si>
    <t>Q52</t>
  </si>
  <si>
    <t>R52</t>
  </si>
  <si>
    <t>S52</t>
  </si>
  <si>
    <t>U52</t>
  </si>
  <si>
    <t>I8</t>
  </si>
  <si>
    <t>Revenue segment detail</t>
  </si>
  <si>
    <t>Revenues, RevenueFromContractWithCustomerExcludingAssessedTax, SalesRevenueNet, NetSales, OperatingLeasesIncomeStatementLeaseRevenue, RealEstateRevenueNet</t>
  </si>
  <si>
    <t>segment rows did not tie to consolidated EDGAR total</t>
  </si>
  <si>
    <t>Operating Income segment detail</t>
  </si>
  <si>
    <t>OperatingIncomeLoss, IncomeLossFromContinuingOperationsBeforeIncomeTaxesExtraordinaryItemsNoncontrollingInterest</t>
  </si>
  <si>
    <t>Operating Income segment detail includes Operating income loss.</t>
  </si>
  <si>
    <t>hardcoded value refreshed from EDGAR classification</t>
  </si>
  <si>
    <t>F28</t>
  </si>
  <si>
    <t>calculated</t>
  </si>
  <si>
    <t>Revenues</t>
  </si>
  <si>
    <t>Revenue maps directly to Revenues.</t>
  </si>
  <si>
    <t>G28</t>
  </si>
  <si>
    <t>H28</t>
  </si>
  <si>
    <t>I28</t>
  </si>
  <si>
    <t>J28</t>
  </si>
  <si>
    <t>K28</t>
  </si>
  <si>
    <t>L28</t>
  </si>
  <si>
    <t>M28</t>
  </si>
  <si>
    <t>N28</t>
  </si>
  <si>
    <t>O28</t>
  </si>
  <si>
    <t>P28</t>
  </si>
  <si>
    <t>Q28</t>
  </si>
  <si>
    <t>R28</t>
  </si>
  <si>
    <t>S28</t>
  </si>
  <si>
    <t>T28</t>
  </si>
  <si>
    <t>U28</t>
  </si>
  <si>
    <t>F30</t>
  </si>
  <si>
    <t>GrossProfit</t>
  </si>
  <si>
    <t>Gross Profit maps directly to Gross Profit.</t>
  </si>
  <si>
    <t>G30</t>
  </si>
  <si>
    <t>H30</t>
  </si>
  <si>
    <t>I30</t>
  </si>
  <si>
    <t>J30</t>
  </si>
  <si>
    <t>K30</t>
  </si>
  <si>
    <t>L30</t>
  </si>
  <si>
    <t>M30</t>
  </si>
  <si>
    <t>N30</t>
  </si>
  <si>
    <t>O30</t>
  </si>
  <si>
    <t>P30</t>
  </si>
  <si>
    <t>Q30</t>
  </si>
  <si>
    <t>R30</t>
  </si>
  <si>
    <t>S30</t>
  </si>
  <si>
    <t>T30</t>
  </si>
  <si>
    <t>U30</t>
  </si>
  <si>
    <t>F36</t>
  </si>
  <si>
    <t>OperatingIncomeLoss</t>
  </si>
  <si>
    <t>EBIT maps directly to Operating income loss.</t>
  </si>
  <si>
    <t>G36</t>
  </si>
  <si>
    <t>H36</t>
  </si>
  <si>
    <t>I36</t>
  </si>
  <si>
    <t>J36</t>
  </si>
  <si>
    <t>K36</t>
  </si>
  <si>
    <t>L36</t>
  </si>
  <si>
    <t>M36</t>
  </si>
  <si>
    <t>N36</t>
  </si>
  <si>
    <t>O36</t>
  </si>
  <si>
    <t>P36</t>
  </si>
  <si>
    <t>Q36</t>
  </si>
  <si>
    <t>R36</t>
  </si>
  <si>
    <t>S36</t>
  </si>
  <si>
    <t>T36</t>
  </si>
  <si>
    <t>U36</t>
  </si>
  <si>
    <t>F42</t>
  </si>
  <si>
    <t>IncomeLossFromContinuingOperationsBeforeIncomeTaxesExtraordinaryItemsNoncontrollingInterest</t>
  </si>
  <si>
    <t>Pre-Tax Income (Loss) maps directly to Income (Loss) from Continuing Operations before Income Taxes, Noncontrolling Interest.</t>
  </si>
  <si>
    <t>G42</t>
  </si>
  <si>
    <t>H42</t>
  </si>
  <si>
    <t>I42</t>
  </si>
  <si>
    <t>J42</t>
  </si>
  <si>
    <t>K42</t>
  </si>
  <si>
    <t>L42</t>
  </si>
  <si>
    <t>M42</t>
  </si>
  <si>
    <t>N42</t>
  </si>
  <si>
    <t>O42</t>
  </si>
  <si>
    <t>P42</t>
  </si>
  <si>
    <t>Q42</t>
  </si>
  <si>
    <t>R42</t>
  </si>
  <si>
    <t>S42</t>
  </si>
  <si>
    <t>T42</t>
  </si>
  <si>
    <t>U42</t>
  </si>
  <si>
    <t>IncomeTaxExpenseBenefit</t>
  </si>
  <si>
    <t>J44</t>
  </si>
  <si>
    <t>F45</t>
  </si>
  <si>
    <t>ProfitLoss</t>
  </si>
  <si>
    <t>Net Income (Loss) maps directly to Net Income (Loss), Including Portion Attributable to Noncontrolling Interest.</t>
  </si>
  <si>
    <t>G45</t>
  </si>
  <si>
    <t>H45</t>
  </si>
  <si>
    <t>I45</t>
  </si>
  <si>
    <t>J45</t>
  </si>
  <si>
    <t>K45</t>
  </si>
  <si>
    <t>L45</t>
  </si>
  <si>
    <t>M45</t>
  </si>
  <si>
    <t>N45</t>
  </si>
  <si>
    <t>O45</t>
  </si>
  <si>
    <t>P45</t>
  </si>
  <si>
    <t>Q45</t>
  </si>
  <si>
    <t>R45</t>
  </si>
  <si>
    <t>S45</t>
  </si>
  <si>
    <t>T45</t>
  </si>
  <si>
    <t>U45</t>
  </si>
  <si>
    <t>Accrued income taxes; Accrued income taxes</t>
  </si>
  <si>
    <t>Assets; Stockholders' Equity, Including Portion Attributable to Noncontrolling Interest; Liabilities, Current; Current maturities of long-term debt; Commercial Paper; Commercial Paper; Long-term Debt and Lease Obligation, Including Current Maturities; Deferred Income Tax Liabilities, Net; OperatingLeaseLiabilityNoncurrent; PensionAndOtherPostretirementDefinedBenefitPlansLiabilityNoncurrent</t>
  </si>
  <si>
    <t>Assets; Stockholders' Equity, Including Portion Attributable to Noncontrolling Interest; Liabilities, Current; Current maturities of long-term debt; Other Short-term Borrowings; Other Short-term Borrowings; Long-term Debt and Lease Obligation, Including Current Maturities; Deferred Income Tax Liabilities, Net; OperatingLeaseLiabilityNoncurrent; PensionAndOtherPostretirementDefinedBenefitPlansLiabilityNoncurrent</t>
  </si>
  <si>
    <t>F132</t>
  </si>
  <si>
    <t>F124</t>
  </si>
  <si>
    <t>AssetsCurrent</t>
  </si>
  <si>
    <t>F130</t>
  </si>
  <si>
    <t>TotalNonCurrentAssetsResolved</t>
  </si>
  <si>
    <t>F137</t>
  </si>
  <si>
    <t>TotalCurrentLiabilitiesResolved</t>
  </si>
  <si>
    <t>F143</t>
  </si>
  <si>
    <t>TotalNonCurrentLiabilitiesResolved</t>
  </si>
  <si>
    <t>F151</t>
  </si>
  <si>
    <t>StockholdersEquity</t>
  </si>
  <si>
    <t>F154</t>
  </si>
  <si>
    <t>StockholdersEquityIncludingPortionAttributableToNoncontrollingInterest</t>
  </si>
  <si>
    <t>F145</t>
  </si>
  <si>
    <t>LiabilitiesResolved</t>
  </si>
  <si>
    <t>F156</t>
  </si>
  <si>
    <t>LiabilitiesAndStockholdersEquity</t>
  </si>
  <si>
    <t>G132</t>
  </si>
  <si>
    <t>G124</t>
  </si>
  <si>
    <t>G130</t>
  </si>
  <si>
    <t>G137</t>
  </si>
  <si>
    <t>G143</t>
  </si>
  <si>
    <t>G151</t>
  </si>
  <si>
    <t>G154</t>
  </si>
  <si>
    <t>G145</t>
  </si>
  <si>
    <t>G156</t>
  </si>
  <si>
    <t>H132</t>
  </si>
  <si>
    <t>H124</t>
  </si>
  <si>
    <t>H130</t>
  </si>
  <si>
    <t>H137</t>
  </si>
  <si>
    <t>H143</t>
  </si>
  <si>
    <t>H151</t>
  </si>
  <si>
    <t>H154</t>
  </si>
  <si>
    <t>H145</t>
  </si>
  <si>
    <t>H156</t>
  </si>
  <si>
    <t>I132</t>
  </si>
  <si>
    <t>I124</t>
  </si>
  <si>
    <t>I130</t>
  </si>
  <si>
    <t>I137</t>
  </si>
  <si>
    <t>I143</t>
  </si>
  <si>
    <t>I151</t>
  </si>
  <si>
    <t>I154</t>
  </si>
  <si>
    <t>I145</t>
  </si>
  <si>
    <t>I156</t>
  </si>
  <si>
    <t>J132</t>
  </si>
  <si>
    <t>J124</t>
  </si>
  <si>
    <t>J130</t>
  </si>
  <si>
    <t>J137</t>
  </si>
  <si>
    <t>J143</t>
  </si>
  <si>
    <t>J151</t>
  </si>
  <si>
    <t>J154</t>
  </si>
  <si>
    <t>J145</t>
  </si>
  <si>
    <t>J156</t>
  </si>
  <si>
    <t>K132</t>
  </si>
  <si>
    <t>K124</t>
  </si>
  <si>
    <t>K130</t>
  </si>
  <si>
    <t>K137</t>
  </si>
  <si>
    <t>K143</t>
  </si>
  <si>
    <t>K151</t>
  </si>
  <si>
    <t>K154</t>
  </si>
  <si>
    <t>K145</t>
  </si>
  <si>
    <t>K156</t>
  </si>
  <si>
    <t>L132</t>
  </si>
  <si>
    <t>L124</t>
  </si>
  <si>
    <t>L130</t>
  </si>
  <si>
    <t>L137</t>
  </si>
  <si>
    <t>L143</t>
  </si>
  <si>
    <t>L151</t>
  </si>
  <si>
    <t>L154</t>
  </si>
  <si>
    <t>L145</t>
  </si>
  <si>
    <t>L156</t>
  </si>
  <si>
    <t>M132</t>
  </si>
  <si>
    <t>M124</t>
  </si>
  <si>
    <t>M130</t>
  </si>
  <si>
    <t>M137</t>
  </si>
  <si>
    <t>M143</t>
  </si>
  <si>
    <t>M151</t>
  </si>
  <si>
    <t>M154</t>
  </si>
  <si>
    <t>M145</t>
  </si>
  <si>
    <t>M156</t>
  </si>
  <si>
    <t>N132</t>
  </si>
  <si>
    <t>N124</t>
  </si>
  <si>
    <t>N130</t>
  </si>
  <si>
    <t>N137</t>
  </si>
  <si>
    <t>N143</t>
  </si>
  <si>
    <t>N151</t>
  </si>
  <si>
    <t>N154</t>
  </si>
  <si>
    <t>N145</t>
  </si>
  <si>
    <t>N156</t>
  </si>
  <si>
    <t>O132</t>
  </si>
  <si>
    <t>O124</t>
  </si>
  <si>
    <t>O130</t>
  </si>
  <si>
    <t>O137</t>
  </si>
  <si>
    <t>O143</t>
  </si>
  <si>
    <t>O151</t>
  </si>
  <si>
    <t>O154</t>
  </si>
  <si>
    <t>O145</t>
  </si>
  <si>
    <t>O156</t>
  </si>
  <si>
    <t>P132</t>
  </si>
  <si>
    <t>P124</t>
  </si>
  <si>
    <t>P130</t>
  </si>
  <si>
    <t>P137</t>
  </si>
  <si>
    <t>P143</t>
  </si>
  <si>
    <t>P151</t>
  </si>
  <si>
    <t>P154</t>
  </si>
  <si>
    <t>P145</t>
  </si>
  <si>
    <t>P156</t>
  </si>
  <si>
    <t>Q132</t>
  </si>
  <si>
    <t>Q124</t>
  </si>
  <si>
    <t>Q130</t>
  </si>
  <si>
    <t>Q137</t>
  </si>
  <si>
    <t>Q143</t>
  </si>
  <si>
    <t>Q151</t>
  </si>
  <si>
    <t>Q154</t>
  </si>
  <si>
    <t>Q145</t>
  </si>
  <si>
    <t>Q156</t>
  </si>
  <si>
    <t>R132</t>
  </si>
  <si>
    <t>R124</t>
  </si>
  <si>
    <t>R130</t>
  </si>
  <si>
    <t>R137</t>
  </si>
  <si>
    <t>R143</t>
  </si>
  <si>
    <t>R151</t>
  </si>
  <si>
    <t>R154</t>
  </si>
  <si>
    <t>R145</t>
  </si>
  <si>
    <t>R156</t>
  </si>
  <si>
    <t>S132</t>
  </si>
  <si>
    <t>S124</t>
  </si>
  <si>
    <t>S130</t>
  </si>
  <si>
    <t>S137</t>
  </si>
  <si>
    <t>S143</t>
  </si>
  <si>
    <t>S151</t>
  </si>
  <si>
    <t>S154</t>
  </si>
  <si>
    <t>S145</t>
  </si>
  <si>
    <t>S156</t>
  </si>
  <si>
    <t>T132</t>
  </si>
  <si>
    <t>T124</t>
  </si>
  <si>
    <t>T130</t>
  </si>
  <si>
    <t>T137</t>
  </si>
  <si>
    <t>T143</t>
  </si>
  <si>
    <t>T151</t>
  </si>
  <si>
    <t>T154</t>
  </si>
  <si>
    <t>T145</t>
  </si>
  <si>
    <t>T156</t>
  </si>
  <si>
    <t>U132</t>
  </si>
  <si>
    <t>U124</t>
  </si>
  <si>
    <t>U130</t>
  </si>
  <si>
    <t>U137</t>
  </si>
  <si>
    <t>U143</t>
  </si>
  <si>
    <t>U151</t>
  </si>
  <si>
    <t>U154</t>
  </si>
  <si>
    <t>U145</t>
  </si>
  <si>
    <t>U156</t>
  </si>
  <si>
    <t>formula bridge updated to include SEC post-tax equity-method income</t>
  </si>
  <si>
    <t>F51</t>
  </si>
  <si>
    <t>AdjustedNetIncomeFormulaExcludingEquityMethodDoubleCount</t>
  </si>
  <si>
    <t>formula bridge updated to avoid double-counting SEC post-tax equity-method income</t>
  </si>
  <si>
    <t>G51</t>
  </si>
  <si>
    <t>H51</t>
  </si>
  <si>
    <t>I51</t>
  </si>
  <si>
    <t>J51</t>
  </si>
  <si>
    <t>K51</t>
  </si>
  <si>
    <t>L51</t>
  </si>
  <si>
    <t>M51</t>
  </si>
  <si>
    <t>N51</t>
  </si>
  <si>
    <t>O51</t>
  </si>
  <si>
    <t>P51</t>
  </si>
  <si>
    <t>Q51</t>
  </si>
  <si>
    <t>R51</t>
  </si>
  <si>
    <t>S51</t>
  </si>
  <si>
    <t>T51</t>
  </si>
  <si>
    <t>U51</t>
  </si>
  <si>
    <t>model row</t>
  </si>
  <si>
    <t>cell</t>
  </si>
  <si>
    <t>fiscal period</t>
  </si>
  <si>
    <t>value</t>
  </si>
  <si>
    <t>company</t>
  </si>
  <si>
    <t>ticker</t>
  </si>
  <si>
    <t>CIK</t>
  </si>
  <si>
    <t>accession raw</t>
  </si>
  <si>
    <t>accession normalized</t>
  </si>
  <si>
    <t>accession number</t>
  </si>
  <si>
    <t>filing form type</t>
  </si>
  <si>
    <t>reporting period end date</t>
  </si>
  <si>
    <t>filing period</t>
  </si>
  <si>
    <t>source statement</t>
  </si>
  <si>
    <t>source table type</t>
  </si>
  <si>
    <t>source line item label</t>
  </si>
  <si>
    <t>source XBRL tag</t>
  </si>
  <si>
    <t>mapping status</t>
  </si>
  <si>
    <t>LLM used</t>
  </si>
  <si>
    <t>classification reason</t>
  </si>
  <si>
    <t>F24</t>
  </si>
  <si>
    <t>2023</t>
  </si>
  <si>
    <t>0000021344</t>
  </si>
  <si>
    <t>000002134423000024</t>
  </si>
  <si>
    <t>primary_statement</t>
  </si>
  <si>
    <t>G24</t>
  </si>
  <si>
    <t>000002134423000048</t>
  </si>
  <si>
    <t>H24</t>
  </si>
  <si>
    <t>000002134423000060</t>
  </si>
  <si>
    <t>I24</t>
  </si>
  <si>
    <t>000002134424000009</t>
  </si>
  <si>
    <t>J24</t>
  </si>
  <si>
    <t>K24</t>
  </si>
  <si>
    <t>2024</t>
  </si>
  <si>
    <t>000002134424000019</t>
  </si>
  <si>
    <t>L24</t>
  </si>
  <si>
    <t>000002134424000044</t>
  </si>
  <si>
    <t>M24</t>
  </si>
  <si>
    <t>000002134424000060</t>
  </si>
  <si>
    <t>N24</t>
  </si>
  <si>
    <t>000002134425000011</t>
  </si>
  <si>
    <t>O24</t>
  </si>
  <si>
    <t>P24</t>
  </si>
  <si>
    <t>2025</t>
  </si>
  <si>
    <t>000002134425000029</t>
  </si>
  <si>
    <t>Q24</t>
  </si>
  <si>
    <t>000002134425000061</t>
  </si>
  <si>
    <t>R24</t>
  </si>
  <si>
    <t>000162828025046054</t>
  </si>
  <si>
    <t>S24</t>
  </si>
  <si>
    <t>000162828026010047</t>
  </si>
  <si>
    <t>T24</t>
  </si>
  <si>
    <t>U24</t>
  </si>
  <si>
    <t>2026</t>
  </si>
  <si>
    <t>000162828026028802</t>
  </si>
  <si>
    <t>F25</t>
  </si>
  <si>
    <t>G25</t>
  </si>
  <si>
    <t>H25</t>
  </si>
  <si>
    <t>I25</t>
  </si>
  <si>
    <t>J25</t>
  </si>
  <si>
    <t>K25</t>
  </si>
  <si>
    <t>L25</t>
  </si>
  <si>
    <t>M25</t>
  </si>
  <si>
    <t>N25</t>
  </si>
  <si>
    <t>O25</t>
  </si>
  <si>
    <t>P25</t>
  </si>
  <si>
    <t>Q25</t>
  </si>
  <si>
    <t>R25</t>
  </si>
  <si>
    <t>S25</t>
  </si>
  <si>
    <t>T25</t>
  </si>
  <si>
    <t>U25</t>
  </si>
  <si>
    <t>stale_or_unsupported</t>
  </si>
  <si>
    <t>J26</t>
  </si>
  <si>
    <t>1e-12</t>
  </si>
  <si>
    <t>O26</t>
  </si>
  <si>
    <t>T26</t>
  </si>
  <si>
    <t>10980</t>
  </si>
  <si>
    <t>11972</t>
  </si>
  <si>
    <t>11953</t>
  </si>
  <si>
    <t>10849</t>
  </si>
  <si>
    <t>45754</t>
  </si>
  <si>
    <t>11300</t>
  </si>
  <si>
    <t>000002134424000017</t>
  </si>
  <si>
    <t>12363</t>
  </si>
  <si>
    <t>11854</t>
  </si>
  <si>
    <t>11544</t>
  </si>
  <si>
    <t>47061</t>
  </si>
  <si>
    <t>11129</t>
  </si>
  <si>
    <t>12535</t>
  </si>
  <si>
    <t>12455</t>
  </si>
  <si>
    <t>11822</t>
  </si>
  <si>
    <t>47941</t>
  </si>
  <si>
    <t>12472</t>
  </si>
  <si>
    <t>CostOfGoodsAndServicesSold</t>
  </si>
  <si>
    <t>explicit_current_sec_source</t>
  </si>
  <si>
    <t>-11609</t>
  </si>
  <si>
    <t>J29</t>
  </si>
  <si>
    <t>-25495</t>
  </si>
  <si>
    <t>O29</t>
  </si>
  <si>
    <t>-18324</t>
  </si>
  <si>
    <t>T29</t>
  </si>
  <si>
    <t>-18397</t>
  </si>
  <si>
    <t>6663</t>
  </si>
  <si>
    <t>7060</t>
  </si>
  <si>
    <t>7296</t>
  </si>
  <si>
    <t>6215</t>
  </si>
  <si>
    <t>27234</t>
  </si>
  <si>
    <t>7065</t>
  </si>
  <si>
    <t>7551</t>
  </si>
  <si>
    <t>7190</t>
  </si>
  <si>
    <t>6931</t>
  </si>
  <si>
    <t>28737</t>
  </si>
  <si>
    <t>6966</t>
  </si>
  <si>
    <t>7821</t>
  </si>
  <si>
    <t>7658</t>
  </si>
  <si>
    <t>7099</t>
  </si>
  <si>
    <t>29544</t>
  </si>
  <si>
    <t>7852</t>
  </si>
  <si>
    <t>SellingGeneralAndAdministrativeExpense</t>
  </si>
  <si>
    <t>-4265</t>
  </si>
  <si>
    <t>J32</t>
  </si>
  <si>
    <t>-14438</t>
  </si>
  <si>
    <t>O32</t>
  </si>
  <si>
    <t>-14582</t>
  </si>
  <si>
    <t>T32</t>
  </si>
  <si>
    <t>-14521</t>
  </si>
  <si>
    <t>explicit_zero_no_source_disclosed</t>
  </si>
  <si>
    <t>J33</t>
  </si>
  <si>
    <t>O33</t>
  </si>
  <si>
    <t>T33</t>
  </si>
  <si>
    <t>-1477</t>
  </si>
  <si>
    <t>J34</t>
  </si>
  <si>
    <t>O34</t>
  </si>
  <si>
    <t>T34</t>
  </si>
  <si>
    <t>OtherCostAndExpenseOperating</t>
  </si>
  <si>
    <t>J35</t>
  </si>
  <si>
    <t>-1951</t>
  </si>
  <si>
    <t>SupplierFinanceProgramObligationDecreaseSettlement</t>
  </si>
  <si>
    <t>O35</t>
  </si>
  <si>
    <t>-6769</t>
  </si>
  <si>
    <t>T35</t>
  </si>
  <si>
    <t>-4974</t>
  </si>
  <si>
    <t>3367</t>
  </si>
  <si>
    <t>2401</t>
  </si>
  <si>
    <t>3270</t>
  </si>
  <si>
    <t>2273</t>
  </si>
  <si>
    <t>11311</t>
  </si>
  <si>
    <t>2141</t>
  </si>
  <si>
    <t>2632</t>
  </si>
  <si>
    <t>2510</t>
  </si>
  <si>
    <t>2709</t>
  </si>
  <si>
    <t>9992</t>
  </si>
  <si>
    <t>3659</t>
  </si>
  <si>
    <t>4280</t>
  </si>
  <si>
    <t>3982</t>
  </si>
  <si>
    <t>1841</t>
  </si>
  <si>
    <t>13762</t>
  </si>
  <si>
    <t>4359</t>
  </si>
  <si>
    <t>InvestmentIncomeInterest</t>
  </si>
  <si>
    <t>J38</t>
  </si>
  <si>
    <t>907</t>
  </si>
  <si>
    <t>O38</t>
  </si>
  <si>
    <t>988</t>
  </si>
  <si>
    <t>T38</t>
  </si>
  <si>
    <t>786</t>
  </si>
  <si>
    <t>InterestExpense</t>
  </si>
  <si>
    <t>-159</t>
  </si>
  <si>
    <t>J39</t>
  </si>
  <si>
    <t>-1273</t>
  </si>
  <si>
    <t>O39</t>
  </si>
  <si>
    <t>-1656</t>
  </si>
  <si>
    <t>T39</t>
  </si>
  <si>
    <t>-1654</t>
  </si>
  <si>
    <t>J40</t>
  </si>
  <si>
    <t>O40</t>
  </si>
  <si>
    <t>T40</t>
  </si>
  <si>
    <t>OtherNonoperatingIncomeExpense</t>
  </si>
  <si>
    <t>J41</t>
  </si>
  <si>
    <t>570</t>
  </si>
  <si>
    <t>O41</t>
  </si>
  <si>
    <t>1992</t>
  </si>
  <si>
    <t>-1245</t>
  </si>
  <si>
    <t>T41</t>
  </si>
  <si>
    <t>-1016</t>
  </si>
  <si>
    <t>4053</t>
  </si>
  <si>
    <t>2880</t>
  </si>
  <si>
    <t>3537</t>
  </si>
  <si>
    <t>2482</t>
  </si>
  <si>
    <t>12952</t>
  </si>
  <si>
    <t>3872</t>
  </si>
  <si>
    <t>3028</t>
  </si>
  <si>
    <t>3380</t>
  </si>
  <si>
    <t>2806</t>
  </si>
  <si>
    <t>13086</t>
  </si>
  <si>
    <t>4057</t>
  </si>
  <si>
    <t>4796</t>
  </si>
  <si>
    <t>4183</t>
  </si>
  <si>
    <t>2962</t>
  </si>
  <si>
    <t>15998</t>
  </si>
  <si>
    <t>4611</t>
  </si>
  <si>
    <t>-496</t>
  </si>
  <si>
    <t>-2249</t>
  </si>
  <si>
    <t>O44</t>
  </si>
  <si>
    <t>-2437</t>
  </si>
  <si>
    <t>T44</t>
  </si>
  <si>
    <t>-2861</t>
  </si>
  <si>
    <t>3113</t>
  </si>
  <si>
    <t>2521</t>
  </si>
  <si>
    <t>3083</t>
  </si>
  <si>
    <t>1986</t>
  </si>
  <si>
    <t>10703</t>
  </si>
  <si>
    <t>3185</t>
  </si>
  <si>
    <t>2850</t>
  </si>
  <si>
    <t>2213</t>
  </si>
  <si>
    <t>10649</t>
  </si>
  <si>
    <t>3335</t>
  </si>
  <si>
    <t>3803</t>
  </si>
  <si>
    <t>3683</t>
  </si>
  <si>
    <t>2316</t>
  </si>
  <si>
    <t>13137</t>
  </si>
  <si>
    <t>3966</t>
  </si>
  <si>
    <t>J47</t>
  </si>
  <si>
    <t>O47</t>
  </si>
  <si>
    <t>T47</t>
  </si>
  <si>
    <t>IncomeLossFromEquityMethodInvestments</t>
  </si>
  <si>
    <t>J48</t>
  </si>
  <si>
    <t>1174</t>
  </si>
  <si>
    <t>O48</t>
  </si>
  <si>
    <t>1770</t>
  </si>
  <si>
    <t>T48</t>
  </si>
  <si>
    <t>2031</t>
  </si>
  <si>
    <t>J49</t>
  </si>
  <si>
    <t>O49</t>
  </si>
  <si>
    <t>T49</t>
  </si>
  <si>
    <t>NetIncomeLossAttributableToNoncontrollingInterest</t>
  </si>
  <si>
    <t>J50</t>
  </si>
  <si>
    <t>11</t>
  </si>
  <si>
    <t>O50</t>
  </si>
  <si>
    <t>-18</t>
  </si>
  <si>
    <t>T50</t>
  </si>
  <si>
    <t>-30</t>
  </si>
  <si>
    <t>3107</t>
  </si>
  <si>
    <t>2547</t>
  </si>
  <si>
    <t>3087</t>
  </si>
  <si>
    <t>1973</t>
  </si>
  <si>
    <t>10714.000000000004</t>
  </si>
  <si>
    <t>3177</t>
  </si>
  <si>
    <t>2411</t>
  </si>
  <si>
    <t>2848</t>
  </si>
  <si>
    <t>2195</t>
  </si>
  <si>
    <t>10631.000000000004</t>
  </si>
  <si>
    <t>3330</t>
  </si>
  <si>
    <t>3810</t>
  </si>
  <si>
    <t>3696</t>
  </si>
  <si>
    <t>2271</t>
  </si>
  <si>
    <t>13107.000000000004</t>
  </si>
  <si>
    <t>3924</t>
  </si>
  <si>
    <t>F53</t>
  </si>
  <si>
    <t>1.1975757575757575</t>
  </si>
  <si>
    <t>G53</t>
  </si>
  <si>
    <t>1.8708487084870848</t>
  </si>
  <si>
    <t>H53</t>
  </si>
  <si>
    <t>0.7803970223325062</t>
  </si>
  <si>
    <t>I53</t>
  </si>
  <si>
    <t>-1.0287141073657928</t>
  </si>
  <si>
    <t>J53</t>
  </si>
  <si>
    <t>2.888888888888889</t>
  </si>
  <si>
    <t>K53</t>
  </si>
  <si>
    <t>1.2678787878787878</t>
  </si>
  <si>
    <t>L53</t>
  </si>
  <si>
    <t>2.06150061500615</t>
  </si>
  <si>
    <t>M53</t>
  </si>
  <si>
    <t>1.3014888337468982</t>
  </si>
  <si>
    <t>N53</t>
  </si>
  <si>
    <t>0.6367041198501873</t>
  </si>
  <si>
    <t>O53</t>
  </si>
  <si>
    <t>5.344569288389513</t>
  </si>
  <si>
    <t>P53</t>
  </si>
  <si>
    <t>1.770860927152318</t>
  </si>
  <si>
    <t>Q53</t>
  </si>
  <si>
    <t>3.7606382978723403</t>
  </si>
  <si>
    <t>R53</t>
  </si>
  <si>
    <t>0.9202127659574468</t>
  </si>
  <si>
    <t>S53</t>
  </si>
  <si>
    <t>1.3074866310160427</t>
  </si>
  <si>
    <t>T53</t>
  </si>
  <si>
    <t>7.800802139037433</t>
  </si>
  <si>
    <t>U53</t>
  </si>
  <si>
    <t>3.232590529247911</t>
  </si>
  <si>
    <t>F54</t>
  </si>
  <si>
    <t>1.1961259079903148</t>
  </si>
  <si>
    <t>G54</t>
  </si>
  <si>
    <t>1.8685503685503686</t>
  </si>
  <si>
    <t>H54</t>
  </si>
  <si>
    <t>0.7794299876084263</t>
  </si>
  <si>
    <t>I54</t>
  </si>
  <si>
    <t>J54</t>
  </si>
  <si>
    <t>K54</t>
  </si>
  <si>
    <t>1.2663438256658595</t>
  </si>
  <si>
    <t>L54</t>
  </si>
  <si>
    <t>2.058968058968059</t>
  </si>
  <si>
    <t>M54</t>
  </si>
  <si>
    <t>1.2998760842627013</t>
  </si>
  <si>
    <t>N54</t>
  </si>
  <si>
    <t>O54</t>
  </si>
  <si>
    <t>P54</t>
  </si>
  <si>
    <t>1.7685185185185186</t>
  </si>
  <si>
    <t>Q54</t>
  </si>
  <si>
    <t>3.755644090305445</t>
  </si>
  <si>
    <t>R54</t>
  </si>
  <si>
    <t>0.9177718832891246</t>
  </si>
  <si>
    <t>S54</t>
  </si>
  <si>
    <t>1.304</t>
  </si>
  <si>
    <t>T54</t>
  </si>
  <si>
    <t>7.78</t>
  </si>
  <si>
    <t>U54</t>
  </si>
  <si>
    <t>3.223611111111111</t>
  </si>
  <si>
    <t>F56</t>
  </si>
  <si>
    <t>G56</t>
  </si>
  <si>
    <t>2.081107011070111</t>
  </si>
  <si>
    <t>H56</t>
  </si>
  <si>
    <t>1.0407196029776675</t>
  </si>
  <si>
    <t>I56</t>
  </si>
  <si>
    <t>0.8012858926342075</t>
  </si>
  <si>
    <t>J56</t>
  </si>
  <si>
    <t>5.194244694132335</t>
  </si>
  <si>
    <t>K56</t>
  </si>
  <si>
    <t>1.1809333333333334</t>
  </si>
  <si>
    <t>L56</t>
  </si>
  <si>
    <t>2.0711070110701106</t>
  </si>
  <si>
    <t>M56</t>
  </si>
  <si>
    <t>1.349255583126551</t>
  </si>
  <si>
    <t>N56</t>
  </si>
  <si>
    <t>0.9037702871410738</t>
  </si>
  <si>
    <t>O56</t>
  </si>
  <si>
    <t>5.579900124843945</t>
  </si>
  <si>
    <t>P56</t>
  </si>
  <si>
    <t>1.7808741721854304</t>
  </si>
  <si>
    <t>Q56</t>
  </si>
  <si>
    <t>3.770651595744681</t>
  </si>
  <si>
    <t>R56</t>
  </si>
  <si>
    <t>1.993058510638298</t>
  </si>
  <si>
    <t>S56</t>
  </si>
  <si>
    <t>T56</t>
  </si>
  <si>
    <t>8.899558823529413</t>
  </si>
  <si>
    <t>U56</t>
  </si>
  <si>
    <t>F57</t>
  </si>
  <si>
    <t>G57</t>
  </si>
  <si>
    <t>2.078550368550369</t>
  </si>
  <si>
    <t>H57</t>
  </si>
  <si>
    <t>1.039429987608426</t>
  </si>
  <si>
    <t>I57</t>
  </si>
  <si>
    <t>J57</t>
  </si>
  <si>
    <t>K57</t>
  </si>
  <si>
    <t>1.179503631961259</t>
  </si>
  <si>
    <t>L57</t>
  </si>
  <si>
    <t>2.0685626535626533</t>
  </si>
  <si>
    <t>M57</t>
  </si>
  <si>
    <t>1.3475836431226766</t>
  </si>
  <si>
    <t>N57</t>
  </si>
  <si>
    <t>O57</t>
  </si>
  <si>
    <t>P57</t>
  </si>
  <si>
    <t>1.7785185185185184</t>
  </si>
  <si>
    <t>Q57</t>
  </si>
  <si>
    <t>3.7656440903054453</t>
  </si>
  <si>
    <t>R57</t>
  </si>
  <si>
    <t>1.987771883289125</t>
  </si>
  <si>
    <t>S57</t>
  </si>
  <si>
    <t>T57</t>
  </si>
  <si>
    <t>8.875826666666669</t>
  </si>
  <si>
    <t>U57</t>
  </si>
  <si>
    <t>F59</t>
  </si>
  <si>
    <t>3636</t>
  </si>
  <si>
    <t>G59</t>
  </si>
  <si>
    <t>2965</t>
  </si>
  <si>
    <t>H59</t>
  </si>
  <si>
    <t>3274</t>
  </si>
  <si>
    <t>I59</t>
  </si>
  <si>
    <t>-6297</t>
  </si>
  <si>
    <t>J59</t>
  </si>
  <si>
    <t>3578</t>
  </si>
  <si>
    <t>K59</t>
  </si>
  <si>
    <t>2487</t>
  </si>
  <si>
    <t>L59</t>
  </si>
  <si>
    <t>4549</t>
  </si>
  <si>
    <t>M59</t>
  </si>
  <si>
    <t>4093</t>
  </si>
  <si>
    <t>N59</t>
  </si>
  <si>
    <t>-1991</t>
  </si>
  <si>
    <t>O59</t>
  </si>
  <si>
    <t>9138</t>
  </si>
  <si>
    <t>P59</t>
  </si>
  <si>
    <t>4078</t>
  </si>
  <si>
    <t>Q59</t>
  </si>
  <si>
    <t>4919</t>
  </si>
  <si>
    <t>R59</t>
  </si>
  <si>
    <t>4697</t>
  </si>
  <si>
    <t>S59</t>
  </si>
  <si>
    <t>-1644</t>
  </si>
  <si>
    <t>T59</t>
  </si>
  <si>
    <t>12050</t>
  </si>
  <si>
    <t>U59</t>
  </si>
  <si>
    <t>4722</t>
  </si>
  <si>
    <t>F60</t>
  </si>
  <si>
    <t>G60</t>
  </si>
  <si>
    <t>H60</t>
  </si>
  <si>
    <t>I60</t>
  </si>
  <si>
    <t>1477</t>
  </si>
  <si>
    <t>J60</t>
  </si>
  <si>
    <t>K60</t>
  </si>
  <si>
    <t>L60</t>
  </si>
  <si>
    <t>M60</t>
  </si>
  <si>
    <t>N60</t>
  </si>
  <si>
    <t>O60</t>
  </si>
  <si>
    <t>P60</t>
  </si>
  <si>
    <t>Q60</t>
  </si>
  <si>
    <t>R60</t>
  </si>
  <si>
    <t>S60</t>
  </si>
  <si>
    <t>T60</t>
  </si>
  <si>
    <t>U60</t>
  </si>
  <si>
    <t>F61</t>
  </si>
  <si>
    <t>G61</t>
  </si>
  <si>
    <t>H61</t>
  </si>
  <si>
    <t>I61</t>
  </si>
  <si>
    <t>-4820</t>
  </si>
  <si>
    <t>J61</t>
  </si>
  <si>
    <t>5055</t>
  </si>
  <si>
    <t>K61</t>
  </si>
  <si>
    <t>L61</t>
  </si>
  <si>
    <t>M61</t>
  </si>
  <si>
    <t>N61</t>
  </si>
  <si>
    <t>O61</t>
  </si>
  <si>
    <t>P61</t>
  </si>
  <si>
    <t>Q61</t>
  </si>
  <si>
    <t>R61</t>
  </si>
  <si>
    <t>S61</t>
  </si>
  <si>
    <t>T61</t>
  </si>
  <si>
    <t>U61</t>
  </si>
  <si>
    <t>F63</t>
  </si>
  <si>
    <t>G63</t>
  </si>
  <si>
    <t>H63</t>
  </si>
  <si>
    <t>I63</t>
  </si>
  <si>
    <t>J63</t>
  </si>
  <si>
    <t>K63</t>
  </si>
  <si>
    <t>L63</t>
  </si>
  <si>
    <t>M63</t>
  </si>
  <si>
    <t>N63</t>
  </si>
  <si>
    <t>O63</t>
  </si>
  <si>
    <t>P63</t>
  </si>
  <si>
    <t>Q63</t>
  </si>
  <si>
    <t>R63</t>
  </si>
  <si>
    <t>S63</t>
  </si>
  <si>
    <t>T63</t>
  </si>
  <si>
    <t>U63</t>
  </si>
  <si>
    <t>F66</t>
  </si>
  <si>
    <t>0.6068306010928962</t>
  </si>
  <si>
    <t>G66</t>
  </si>
  <si>
    <t>0.5897093217507517</t>
  </si>
  <si>
    <t>H66</t>
  </si>
  <si>
    <t>0.6103906968961766</t>
  </si>
  <si>
    <t>I66</t>
  </si>
  <si>
    <t>-0.07005253940455342</t>
  </si>
  <si>
    <t>J66</t>
  </si>
  <si>
    <t>0.4427809590418324</t>
  </si>
  <si>
    <t>K66</t>
  </si>
  <si>
    <t>0.6252212389380531</t>
  </si>
  <si>
    <t>L66</t>
  </si>
  <si>
    <t>0.6107740839602038</t>
  </si>
  <si>
    <t>M66</t>
  </si>
  <si>
    <t>0.6065463134806817</t>
  </si>
  <si>
    <t>N66</t>
  </si>
  <si>
    <t>0.6003984753984754</t>
  </si>
  <si>
    <t>O66</t>
  </si>
  <si>
    <t>0.6106330082233696</t>
  </si>
  <si>
    <t>P66</t>
  </si>
  <si>
    <t>0.6259322490789828</t>
  </si>
  <si>
    <t>Q66</t>
  </si>
  <si>
    <t>0.623932987634623</t>
  </si>
  <si>
    <t>R66</t>
  </si>
  <si>
    <t>0.6148534725010036</t>
  </si>
  <si>
    <t>S66</t>
  </si>
  <si>
    <t>0.6004906107257655</t>
  </si>
  <si>
    <t>T66</t>
  </si>
  <si>
    <t>0.6162574831563797</t>
  </si>
  <si>
    <t>U66</t>
  </si>
  <si>
    <t>0.6295702373316229</t>
  </si>
  <si>
    <t>F67</t>
  </si>
  <si>
    <t>-0.2900728597449909</t>
  </si>
  <si>
    <t>G67</t>
  </si>
  <si>
    <t>-0.2773972602739726</t>
  </si>
  <si>
    <t>H67</t>
  </si>
  <si>
    <t>-0.3067849075545888</t>
  </si>
  <si>
    <t>I67</t>
  </si>
  <si>
    <t>-0.39312379021107935</t>
  </si>
  <si>
    <t>J67</t>
  </si>
  <si>
    <t>-0.31555710976089524</t>
  </si>
  <si>
    <t>K67</t>
  </si>
  <si>
    <t>-0.2965486725663717</t>
  </si>
  <si>
    <t>L67</t>
  </si>
  <si>
    <t>-0.2870662460567823</t>
  </si>
  <si>
    <t>M67</t>
  </si>
  <si>
    <t>-0.3067319048422473</t>
  </si>
  <si>
    <t>N67</t>
  </si>
  <si>
    <t>-0.3504851004851005</t>
  </si>
  <si>
    <t>O67</t>
  </si>
  <si>
    <t>-0.30985316929092027</t>
  </si>
  <si>
    <t>P67</t>
  </si>
  <si>
    <t>-0.2905921466439033</t>
  </si>
  <si>
    <t>Q67</t>
  </si>
  <si>
    <t>-0.27682489030714</t>
  </si>
  <si>
    <t>R67</t>
  </si>
  <si>
    <t>-0.2904857486953031</t>
  </si>
  <si>
    <t>S67</t>
  </si>
  <si>
    <t>-0.3551852478430046</t>
  </si>
  <si>
    <t>T67</t>
  </si>
  <si>
    <t>-0.302893139483949</t>
  </si>
  <si>
    <t>U67</t>
  </si>
  <si>
    <t>-0.2783835792174471</t>
  </si>
  <si>
    <t>F68</t>
  </si>
  <si>
    <t>G68</t>
  </si>
  <si>
    <t>H68</t>
  </si>
  <si>
    <t>I68</t>
  </si>
  <si>
    <t>J68</t>
  </si>
  <si>
    <t>K68</t>
  </si>
  <si>
    <t>L68</t>
  </si>
  <si>
    <t>M68</t>
  </si>
  <si>
    <t>N68</t>
  </si>
  <si>
    <t>O68</t>
  </si>
  <si>
    <t>P68</t>
  </si>
  <si>
    <t>Q68</t>
  </si>
  <si>
    <t>R68</t>
  </si>
  <si>
    <t>S68</t>
  </si>
  <si>
    <t>T68</t>
  </si>
  <si>
    <t>U68</t>
  </si>
  <si>
    <t>F69</t>
  </si>
  <si>
    <t>-0.010109289617486339</t>
  </si>
  <si>
    <t>G69</t>
  </si>
  <si>
    <t>-0.11176077514199799</t>
  </si>
  <si>
    <t>H69</t>
  </si>
  <si>
    <t>-0.03003430101229817</t>
  </si>
  <si>
    <t>I69</t>
  </si>
  <si>
    <t>-0.013180938335330445</t>
  </si>
  <si>
    <t>J69</t>
  </si>
  <si>
    <t>-0.0426410805612624</t>
  </si>
  <si>
    <t>K69</t>
  </si>
  <si>
    <t>-0.13920353982300884</t>
  </si>
  <si>
    <t>L69</t>
  </si>
  <si>
    <t>M69</t>
  </si>
  <si>
    <t>N69</t>
  </si>
  <si>
    <t>-0.4501039501039501</t>
  </si>
  <si>
    <t>O69</t>
  </si>
  <si>
    <t>-0.1438345976498587</t>
  </si>
  <si>
    <t>P69</t>
  </si>
  <si>
    <t>Q69</t>
  </si>
  <si>
    <t>R69</t>
  </si>
  <si>
    <t>S69</t>
  </si>
  <si>
    <t>-0.42074099137201826</t>
  </si>
  <si>
    <t>T69</t>
  </si>
  <si>
    <t>-0.10375252915041405</t>
  </si>
  <si>
    <t>U69</t>
  </si>
  <si>
    <t>F70</t>
  </si>
  <si>
    <t>0.056010928961748634</t>
  </si>
  <si>
    <t>G70</t>
  </si>
  <si>
    <t>0.007601069161376545</t>
  </si>
  <si>
    <t>H70</t>
  </si>
  <si>
    <t>-0.01087593072868736</t>
  </si>
  <si>
    <t>I70</t>
  </si>
  <si>
    <t>-0.0005530463637201586</t>
  </si>
  <si>
    <t>J70</t>
  </si>
  <si>
    <t>0.012457927175766053</t>
  </si>
  <si>
    <t>K70</t>
  </si>
  <si>
    <t>0.13389380530973452</t>
  </si>
  <si>
    <t>L70</t>
  </si>
  <si>
    <t>0.000161773032435493</t>
  </si>
  <si>
    <t>M70</t>
  </si>
  <si>
    <t>0.041420617513075755</t>
  </si>
  <si>
    <t>N70</t>
  </si>
  <si>
    <t>-0.0012127512127512127</t>
  </si>
  <si>
    <t>O70</t>
  </si>
  <si>
    <t>0.042328042328042326</t>
  </si>
  <si>
    <t>P70</t>
  </si>
  <si>
    <t>0.022823254560158147</t>
  </si>
  <si>
    <t>Q70</t>
  </si>
  <si>
    <t>0.016912644595133627</t>
  </si>
  <si>
    <t>R70</t>
  </si>
  <si>
    <t>-0.01902850260939382</t>
  </si>
  <si>
    <t>S70</t>
  </si>
  <si>
    <t>-0.10531212992725428</t>
  </si>
  <si>
    <t>T70</t>
  </si>
  <si>
    <t>-0.021192716046807534</t>
  </si>
  <si>
    <t>U70</t>
  </si>
  <si>
    <t>0.0016837716484926235</t>
  </si>
  <si>
    <t>F71</t>
  </si>
  <si>
    <t>0.24880889359449443</t>
  </si>
  <si>
    <t>G71</t>
  </si>
  <si>
    <t>0.15328778821520067</t>
  </si>
  <si>
    <t>H71</t>
  </si>
  <si>
    <t>0.15033112582781458</t>
  </si>
  <si>
    <t>I71</t>
  </si>
  <si>
    <t>-0.07580620510469203</t>
  </si>
  <si>
    <t>J71</t>
  </si>
  <si>
    <t>0.8659992298806315</t>
  </si>
  <si>
    <t>K71</t>
  </si>
  <si>
    <t>0.1952814098919841</t>
  </si>
  <si>
    <t>L71</t>
  </si>
  <si>
    <t>0.1623931623931624</t>
  </si>
  <si>
    <t>M71</t>
  </si>
  <si>
    <t>0.13649240278135463</t>
  </si>
  <si>
    <t>N71</t>
  </si>
  <si>
    <t>-0.2323667711598746</t>
  </si>
  <si>
    <t>O71</t>
  </si>
  <si>
    <t>0.27979334098737085</t>
  </si>
  <si>
    <t>P71</t>
  </si>
  <si>
    <t>0.19105583487695157</t>
  </si>
  <si>
    <t>Q71</t>
  </si>
  <si>
    <t>0.2306084533209475</t>
  </si>
  <si>
    <t>R71</t>
  </si>
  <si>
    <t>0.13900472616068946</t>
  </si>
  <si>
    <t>S71</t>
  </si>
  <si>
    <t>-0.1836792721069093</t>
  </si>
  <si>
    <t>T71</t>
  </si>
  <si>
    <t>0.35039804041641154</t>
  </si>
  <si>
    <t>U71</t>
  </si>
  <si>
    <t>0.1518361581920904</t>
  </si>
  <si>
    <t>F108</t>
  </si>
  <si>
    <t>2838</t>
  </si>
  <si>
    <t>support_table</t>
  </si>
  <si>
    <t>G108</t>
  </si>
  <si>
    <t>1983</t>
  </si>
  <si>
    <t>H108</t>
  </si>
  <si>
    <t>2566</t>
  </si>
  <si>
    <t>I108</t>
  </si>
  <si>
    <t>-7039</t>
  </si>
  <si>
    <t>J108</t>
  </si>
  <si>
    <t>348</t>
  </si>
  <si>
    <t>K108</t>
  </si>
  <si>
    <t>2831</t>
  </si>
  <si>
    <t>L108</t>
  </si>
  <si>
    <t>3234</t>
  </si>
  <si>
    <t>M108</t>
  </si>
  <si>
    <t>3353</t>
  </si>
  <si>
    <t>N108</t>
  </si>
  <si>
    <t>-3145</t>
  </si>
  <si>
    <t>O108</t>
  </si>
  <si>
    <t>6273</t>
  </si>
  <si>
    <t>P108</t>
  </si>
  <si>
    <t>3057</t>
  </si>
  <si>
    <t>Q108</t>
  </si>
  <si>
    <t>3313</t>
  </si>
  <si>
    <t>R108</t>
  </si>
  <si>
    <t>3097</t>
  </si>
  <si>
    <t>S108</t>
  </si>
  <si>
    <t>-4163</t>
  </si>
  <si>
    <t>T108</t>
  </si>
  <si>
    <t>5304</t>
  </si>
  <si>
    <t>U108</t>
  </si>
  <si>
    <t>3603</t>
  </si>
  <si>
    <t>F109</t>
  </si>
  <si>
    <t>G109</t>
  </si>
  <si>
    <t>H109</t>
  </si>
  <si>
    <t>I109</t>
  </si>
  <si>
    <t>J109</t>
  </si>
  <si>
    <t>K109</t>
  </si>
  <si>
    <t>L109</t>
  </si>
  <si>
    <t>M109</t>
  </si>
  <si>
    <t>N109</t>
  </si>
  <si>
    <t>O109</t>
  </si>
  <si>
    <t>P109</t>
  </si>
  <si>
    <t>Q109</t>
  </si>
  <si>
    <t>R109</t>
  </si>
  <si>
    <t>S109</t>
  </si>
  <si>
    <t>T109</t>
  </si>
  <si>
    <t>U109</t>
  </si>
  <si>
    <t>F110</t>
  </si>
  <si>
    <t>G110</t>
  </si>
  <si>
    <t>-1600</t>
  </si>
  <si>
    <t>H110</t>
  </si>
  <si>
    <t>-1223</t>
  </si>
  <si>
    <t>I110</t>
  </si>
  <si>
    <t>11334</t>
  </si>
  <si>
    <t>J110</t>
  </si>
  <si>
    <t>8511</t>
  </si>
  <si>
    <t>K110</t>
  </si>
  <si>
    <t>12464</t>
  </si>
  <si>
    <t>L110</t>
  </si>
  <si>
    <t>2381</t>
  </si>
  <si>
    <t>M110</t>
  </si>
  <si>
    <t>2272</t>
  </si>
  <si>
    <t>N110</t>
  </si>
  <si>
    <t>-17702</t>
  </si>
  <si>
    <t>O110</t>
  </si>
  <si>
    <t>-585</t>
  </si>
  <si>
    <t>P110</t>
  </si>
  <si>
    <t>10135</t>
  </si>
  <si>
    <t>Q110</t>
  </si>
  <si>
    <t>474</t>
  </si>
  <si>
    <t>R110</t>
  </si>
  <si>
    <t>1164</t>
  </si>
  <si>
    <t>S110</t>
  </si>
  <si>
    <t>-10758</t>
  </si>
  <si>
    <t>T110</t>
  </si>
  <si>
    <t>1015</t>
  </si>
  <si>
    <t>U110</t>
  </si>
  <si>
    <t>7818</t>
  </si>
  <si>
    <t>F111</t>
  </si>
  <si>
    <t>G111</t>
  </si>
  <si>
    <t>H111</t>
  </si>
  <si>
    <t>I111</t>
  </si>
  <si>
    <t>J111</t>
  </si>
  <si>
    <t>K111</t>
  </si>
  <si>
    <t>L111</t>
  </si>
  <si>
    <t>M111</t>
  </si>
  <si>
    <t>N111</t>
  </si>
  <si>
    <t>O111</t>
  </si>
  <si>
    <t>P111</t>
  </si>
  <si>
    <t>Q111</t>
  </si>
  <si>
    <t>R111</t>
  </si>
  <si>
    <t>S111</t>
  </si>
  <si>
    <t>T111</t>
  </si>
  <si>
    <t>U111</t>
  </si>
  <si>
    <t>F112</t>
  </si>
  <si>
    <t>G112</t>
  </si>
  <si>
    <t>383</t>
  </si>
  <si>
    <t>H112</t>
  </si>
  <si>
    <t>1343</t>
  </si>
  <si>
    <t>I112</t>
  </si>
  <si>
    <t>5772</t>
  </si>
  <si>
    <t>J112</t>
  </si>
  <si>
    <t>10336</t>
  </si>
  <si>
    <t>K112</t>
  </si>
  <si>
    <t>15295</t>
  </si>
  <si>
    <t>L112</t>
  </si>
  <si>
    <t>5615</t>
  </si>
  <si>
    <t>M112</t>
  </si>
  <si>
    <t>5625</t>
  </si>
  <si>
    <t>N112</t>
  </si>
  <si>
    <t>-20847</t>
  </si>
  <si>
    <t>O112</t>
  </si>
  <si>
    <t>5688</t>
  </si>
  <si>
    <t>P112</t>
  </si>
  <si>
    <t>13192</t>
  </si>
  <si>
    <t>Q112</t>
  </si>
  <si>
    <t>3787</t>
  </si>
  <si>
    <t>R112</t>
  </si>
  <si>
    <t>4261</t>
  </si>
  <si>
    <t>S112</t>
  </si>
  <si>
    <t>-14921</t>
  </si>
  <si>
    <t>T112</t>
  </si>
  <si>
    <t>6319</t>
  </si>
  <si>
    <t>U112</t>
  </si>
  <si>
    <t>11421</t>
  </si>
  <si>
    <t>F114</t>
  </si>
  <si>
    <t>0.25846994535519124</t>
  </si>
  <si>
    <t>G114</t>
  </si>
  <si>
    <t>0.03199131306381557</t>
  </si>
  <si>
    <t>H114</t>
  </si>
  <si>
    <t>0.11235673052790095</t>
  </si>
  <si>
    <t>I114</t>
  </si>
  <si>
    <t>0.5320306018987925</t>
  </si>
  <si>
    <t>J114</t>
  </si>
  <si>
    <t>0.22590374612055777</t>
  </si>
  <si>
    <t>K114</t>
  </si>
  <si>
    <t>1.3535398230088496</t>
  </si>
  <si>
    <t>L114</t>
  </si>
  <si>
    <t>0.4541777885626466</t>
  </si>
  <si>
    <t>M114</t>
  </si>
  <si>
    <t>0.47452336763961533</t>
  </si>
  <si>
    <t>N114</t>
  </si>
  <si>
    <t>-1.805873180873181</t>
  </si>
  <si>
    <t>O114</t>
  </si>
  <si>
    <t>0.12086441002103653</t>
  </si>
  <si>
    <t>P114</t>
  </si>
  <si>
    <t>1.1853715518015995</t>
  </si>
  <si>
    <t>Q114</t>
  </si>
  <si>
    <t>0.3021140805743917</t>
  </si>
  <si>
    <t>R114</t>
  </si>
  <si>
    <t>0.3421116017663589</t>
  </si>
  <si>
    <t>S114</t>
  </si>
  <si>
    <t>-1.2621383860598883</t>
  </si>
  <si>
    <t>T114</t>
  </si>
  <si>
    <t>0.1318078471454496</t>
  </si>
  <si>
    <t>U114</t>
  </si>
  <si>
    <t>0.9157312379730597</t>
  </si>
  <si>
    <t>F115</t>
  </si>
  <si>
    <t>1.3624242424242423</t>
  </si>
  <si>
    <t>G115</t>
  </si>
  <si>
    <t>1.6580565805658056</t>
  </si>
  <si>
    <t>H115</t>
  </si>
  <si>
    <t>1.1662531017369726</t>
  </si>
  <si>
    <t>I115</t>
  </si>
  <si>
    <t>0.48314606741573035</t>
  </si>
  <si>
    <t>J115</t>
  </si>
  <si>
    <t>4.742821473158552</t>
  </si>
  <si>
    <t>K115</t>
  </si>
  <si>
    <t>2.2836363636363637</t>
  </si>
  <si>
    <t>L115</t>
  </si>
  <si>
    <t>1.2004920049200491</t>
  </si>
  <si>
    <t>M115</t>
  </si>
  <si>
    <t>0.36600496277915634</t>
  </si>
  <si>
    <t>N115</t>
  </si>
  <si>
    <t>-0.41697877652933835</t>
  </si>
  <si>
    <t>O115</t>
  </si>
  <si>
    <t>3.521847690387016</t>
  </si>
  <si>
    <t>P115</t>
  </si>
  <si>
    <t>4.520529801324503</t>
  </si>
  <si>
    <t>Q115</t>
  </si>
  <si>
    <t>7.047872340425532</t>
  </si>
  <si>
    <t>R115</t>
  </si>
  <si>
    <t>-1.9321808510638299</t>
  </si>
  <si>
    <t>S115</t>
  </si>
  <si>
    <t>-2.0655080213903743</t>
  </si>
  <si>
    <t>T115</t>
  </si>
  <si>
    <t>7.640374331550802</t>
  </si>
  <si>
    <t>U115</t>
  </si>
  <si>
    <t>4.376044568245125</t>
  </si>
  <si>
    <t>F116</t>
  </si>
  <si>
    <t>0.063383309719667</t>
  </si>
  <si>
    <t>G116</t>
  </si>
  <si>
    <t>0.07224647409872792</t>
  </si>
  <si>
    <t>H116</t>
  </si>
  <si>
    <t>0.04876149688458127</t>
  </si>
  <si>
    <t>I116</t>
  </si>
  <si>
    <t>0.017368421584101023</t>
  </si>
  <si>
    <t>J116</t>
  </si>
  <si>
    <t>0.05044991069468142</t>
  </si>
  <si>
    <t>K116</t>
  </si>
  <si>
    <t>0.08924812363991652</t>
  </si>
  <si>
    <t>L116</t>
  </si>
  <si>
    <t>0.04680736933112581</t>
  </si>
  <si>
    <t>M116</t>
  </si>
  <si>
    <t>0.01350447238369731</t>
  </si>
  <si>
    <t>N116</t>
  </si>
  <si>
    <t>-0.015829126944266424</t>
  </si>
  <si>
    <t>O116</t>
  </si>
  <si>
    <t>0.03382972258008031</t>
  </si>
  <si>
    <t>P116</t>
  </si>
  <si>
    <t>0.18305445642132023</t>
  </si>
  <si>
    <t>Q116</t>
  </si>
  <si>
    <t>0.2853967337690031</t>
  </si>
  <si>
    <t>R116</t>
  </si>
  <si>
    <t>-0.04566674989348739</t>
  </si>
  <si>
    <t>S116</t>
  </si>
  <si>
    <t>-0.03943339460076248</t>
  </si>
  <si>
    <t>T116</t>
  </si>
  <si>
    <t>0.04539176007826851</t>
  </si>
  <si>
    <t>U116</t>
  </si>
  <si>
    <t>0.09607123091646817</t>
  </si>
  <si>
    <t>F118</t>
  </si>
  <si>
    <t>G118</t>
  </si>
  <si>
    <t>H118</t>
  </si>
  <si>
    <t>I118</t>
  </si>
  <si>
    <t>J118</t>
  </si>
  <si>
    <t>K118</t>
  </si>
  <si>
    <t>L118</t>
  </si>
  <si>
    <t>M118</t>
  </si>
  <si>
    <t>N118</t>
  </si>
  <si>
    <t>O118</t>
  </si>
  <si>
    <t>P118</t>
  </si>
  <si>
    <t>Q118</t>
  </si>
  <si>
    <t>R118</t>
  </si>
  <si>
    <t>S118</t>
  </si>
  <si>
    <t>T118</t>
  </si>
  <si>
    <t>U118</t>
  </si>
  <si>
    <t>13170</t>
  </si>
  <si>
    <t>CashAndCashEquivalentsAtCarryingValue; OtherShortTermInvestments</t>
  </si>
  <si>
    <t>14431</t>
  </si>
  <si>
    <t>14215</t>
  </si>
  <si>
    <t>15203</t>
  </si>
  <si>
    <t>17399</t>
  </si>
  <si>
    <t>16377</t>
  </si>
  <si>
    <t>12848</t>
  </si>
  <si>
    <t>13872</t>
  </si>
  <si>
    <t>11083</t>
  </si>
  <si>
    <t>AccountsReceivableNetCurrent</t>
  </si>
  <si>
    <t>3410</t>
  </si>
  <si>
    <t>3569</t>
  </si>
  <si>
    <t>3038</t>
  </si>
  <si>
    <t>InventoryNet</t>
  </si>
  <si>
    <t>4424</t>
  </si>
  <si>
    <t>4728</t>
  </si>
  <si>
    <t>4425</t>
  </si>
  <si>
    <t>AssetsCurrent; CashAndCashEquivalentsAtCarryingValue; OtherShortTermInvestments; AccountsReceivableNetCurrent; InventoryNet</t>
  </si>
  <si>
    <t>6535</t>
  </si>
  <si>
    <t>4852</t>
  </si>
  <si>
    <t>9709</t>
  </si>
  <si>
    <t>26880</t>
  </si>
  <si>
    <t>27591</t>
  </si>
  <si>
    <t>27867</t>
  </si>
  <si>
    <t>26732</t>
  </si>
  <si>
    <t>29462</t>
  </si>
  <si>
    <t>31599</t>
  </si>
  <si>
    <t>30288</t>
  </si>
  <si>
    <t>25997</t>
  </si>
  <si>
    <t>26178</t>
  </si>
  <si>
    <t>26609</t>
  </si>
  <si>
    <t>27247</t>
  </si>
  <si>
    <t>31044</t>
  </si>
  <si>
    <t>30390</t>
  </si>
  <si>
    <t>PropertyPlantAndEquipmentNet</t>
  </si>
  <si>
    <t>9236</t>
  </si>
  <si>
    <t>10303</t>
  </si>
  <si>
    <t>9613</t>
  </si>
  <si>
    <t>355</t>
  </si>
  <si>
    <t>18358</t>
  </si>
  <si>
    <t>18139</t>
  </si>
  <si>
    <t>15491</t>
  </si>
  <si>
    <t>41998</t>
  </si>
  <si>
    <t>Assets; AssetsCurrent; PropertyPlantAndEquipmentNet; FiniteLivedIntangibleAssetsNet; Goodwill</t>
  </si>
  <si>
    <t>42614</t>
  </si>
  <si>
    <t>42707</t>
  </si>
  <si>
    <t>43022</t>
  </si>
  <si>
    <t>42414</t>
  </si>
  <si>
    <t>41771</t>
  </si>
  <si>
    <t>47428</t>
  </si>
  <si>
    <t>46110</t>
  </si>
  <si>
    <t>48668</t>
  </si>
  <si>
    <t>48894</t>
  </si>
  <si>
    <t>70524</t>
  </si>
  <si>
    <t>70865</t>
  </si>
  <si>
    <t>69711</t>
  </si>
  <si>
    <t>70971</t>
  </si>
  <si>
    <t>69930</t>
  </si>
  <si>
    <t>69603</t>
  </si>
  <si>
    <t>75978</t>
  </si>
  <si>
    <t>74552</t>
  </si>
  <si>
    <t>75538</t>
  </si>
  <si>
    <t>77724</t>
  </si>
  <si>
    <t>78798</t>
  </si>
  <si>
    <t>73772</t>
  </si>
  <si>
    <t>73827</t>
  </si>
  <si>
    <t>97404</t>
  </si>
  <si>
    <t>98456</t>
  </si>
  <si>
    <t>97578</t>
  </si>
  <si>
    <t>97703</t>
  </si>
  <si>
    <t>99392</t>
  </si>
  <si>
    <t>101202</t>
  </si>
  <si>
    <t>106266</t>
  </si>
  <si>
    <t>100549</t>
  </si>
  <si>
    <t>101716</t>
  </si>
  <si>
    <t>104333</t>
  </si>
  <si>
    <t>106045</t>
  </si>
  <si>
    <t>104816</t>
  </si>
  <si>
    <t>104217</t>
  </si>
  <si>
    <t>AccountsPayableAndAccruedLiabilitiesCurrent</t>
  </si>
  <si>
    <t>AccountsPayableTradeCurrent</t>
  </si>
  <si>
    <t>5590</t>
  </si>
  <si>
    <t>5468</t>
  </si>
  <si>
    <t>5649</t>
  </si>
  <si>
    <t>AccruedIncomeTaxesCurrent</t>
  </si>
  <si>
    <t>AccruedIncomeTaxesCurrent; DisposalGroupIncludingDiscontinuedOperationAccruedIncomeTaxPayable</t>
  </si>
  <si>
    <t>1593</t>
  </si>
  <si>
    <t>1387</t>
  </si>
  <si>
    <t>525</t>
  </si>
  <si>
    <t>LiabilitiesCurrent; AccountsPayableAndAccruedLiabilitiesCurrent; AccruedIncomeTaxesCurrent; LongTermDebtCurrent; CommercialPaper</t>
  </si>
  <si>
    <t>LiabilitiesCurrent; AccountsPayableAndAccruedLiabilitiesCurrent; AccruedIncomeTaxesCurrent; DisposalGroupIncludingDiscontinuedOperationAccruedIncomeTaxPayable; LongTermDebtCurrent; CommercialPaper</t>
  </si>
  <si>
    <t>LiabilitiesCurrent; AccountsPayableTradeCurrent; AccruedIncomeTaxesCurrent; DisposalGroupIncludingDiscontinuedOperationAccruedIncomeTaxPayable; LongTermDebtCurrent; OtherShortTermBorrowings</t>
  </si>
  <si>
    <t>14080</t>
  </si>
  <si>
    <t>LiabilitiesCurrent; AccountsPayableAndAccruedLiabilitiesCurrent; AccruedIncomeTaxesCurrent; LongTermDebtAndCapitalLeaseObligationsCurrent; CommercialPaper</t>
  </si>
  <si>
    <t>LiabilitiesCurrent; AccountsPayableTradeCurrent; AccruedIncomeTaxesCurrent; LongTermDebtAndCapitalLeaseObligationsCurrent; OtherShortTermBorrowings</t>
  </si>
  <si>
    <t>17386</t>
  </si>
  <si>
    <t>13229</t>
  </si>
  <si>
    <t>17264</t>
  </si>
  <si>
    <t>18301</t>
  </si>
  <si>
    <t>18631</t>
  </si>
  <si>
    <t>21263</t>
  </si>
  <si>
    <t>21242</t>
  </si>
  <si>
    <t>23822</t>
  </si>
  <si>
    <t>25685</t>
  </si>
  <si>
    <t>24241</t>
  </si>
  <si>
    <t>18600</t>
  </si>
  <si>
    <t>17813</t>
  </si>
  <si>
    <t>18587</t>
  </si>
  <si>
    <t>19403</t>
  </si>
  <si>
    <t>17635</t>
  </si>
  <si>
    <t>CommercialPaper</t>
  </si>
  <si>
    <t>OtherShortTermBorrowings</t>
  </si>
  <si>
    <t>360</t>
  </si>
  <si>
    <t>56</t>
  </si>
  <si>
    <t>36945</t>
  </si>
  <si>
    <t>LongTermDebtNoncurrent; LongTermDebtCurrent</t>
  </si>
  <si>
    <t>36797</t>
  </si>
  <si>
    <t>36256</t>
  </si>
  <si>
    <t>37507</t>
  </si>
  <si>
    <t>LongTermDebtAndCapitalLeaseObligationsIncludingCurrentMaturities</t>
  </si>
  <si>
    <t>36496</t>
  </si>
  <si>
    <t>40024</t>
  </si>
  <si>
    <t>44061</t>
  </si>
  <si>
    <t>43023</t>
  </si>
  <si>
    <t>43941</t>
  </si>
  <si>
    <t>43558</t>
  </si>
  <si>
    <t>DeferredIncomeTaxLiabilitiesNet</t>
  </si>
  <si>
    <t>2639</t>
  </si>
  <si>
    <t>2469</t>
  </si>
  <si>
    <t>2406</t>
  </si>
  <si>
    <t>Assets; StockholdersEquityIncludingPortionAttributableToNoncontrollingInterest; LiabilitiesCurrent; LongTermDebtCurrent; CommercialPaper; LongTermDebtNoncurrent; DeferredIncomeTaxLiabilitiesNet; OperatingLeaseLiabilityNoncurrent; PensionAndOtherPostretirementDefinedBenefitPlansLiabilityNoncurrent</t>
  </si>
  <si>
    <t>000002134424000009; 000002134425000011</t>
  </si>
  <si>
    <t>Assets; StockholdersEquityIncludingPortionAttributableToNoncontrollingInterest; LiabilitiesCurrent; LongTermDebtCurrent; OtherShortTermBorrowings; LongTermDebtAndCapitalLeaseObligationsIncludingCurrentMaturities; DeferredIncomeTaxLiabilitiesNet; OperatingLeaseLiabilityNoncurrent; PensionAndOtherPostretirementDefinedBenefitPlansLiabilityNoncurrent</t>
  </si>
  <si>
    <t>8466</t>
  </si>
  <si>
    <t>OtherLiabilitiesNoncurrent</t>
  </si>
  <si>
    <t>validated_current_company_derived_value</t>
  </si>
  <si>
    <t>Assets; StockholdersEquityIncludingPortionAttributableToNoncontrollingInterest; LiabilitiesCurrent; LongTermDebtAndCapitalLeaseObligationsCurrent; CommercialPaper; LongTermDebtAndCapitalLeaseObligationsIncludingCurrentMaturities; DeferredIncomeTaxLiabilitiesNet; OperatingLeaseLiabilityNoncurrent; PensionAndOtherPostretirementDefinedBenefitPlansLiabilityNoncurrent</t>
  </si>
  <si>
    <t>Assets; StockholdersEquityIncludingPortionAttributableToNoncontrollingInterest; LiabilitiesCurrent; LongTermDebtAndCapitalLeaseObligationsCurrent; OtherShortTermBorrowings; LongTermDebtAndCapitalLeaseObligationsIncludingCurrentMaturities; DeferredIncomeTaxLiabilitiesNet; OperatingLeaseLiabilityNoncurrent; PensionAndOtherPostretirementDefinedBenefitPlansLiabilityNoncurrent</t>
  </si>
  <si>
    <t>4084</t>
  </si>
  <si>
    <t>4735</t>
  </si>
  <si>
    <t>53272</t>
  </si>
  <si>
    <t>52603</t>
  </si>
  <si>
    <t>51114</t>
  </si>
  <si>
    <t>48960</t>
  </si>
  <si>
    <t>50204</t>
  </si>
  <si>
    <t>49969</t>
  </si>
  <si>
    <t>52427</t>
  </si>
  <si>
    <t>49936</t>
  </si>
  <si>
    <t>55362</t>
  </si>
  <si>
    <t>56338</t>
  </si>
  <si>
    <t>54191</t>
  </si>
  <si>
    <t>51138</t>
  </si>
  <si>
    <t>50848</t>
  </si>
  <si>
    <t>70536</t>
  </si>
  <si>
    <t>70904</t>
  </si>
  <si>
    <t>69745</t>
  </si>
  <si>
    <t>70223</t>
  </si>
  <si>
    <t>71446</t>
  </si>
  <si>
    <t>73791</t>
  </si>
  <si>
    <t>78112</t>
  </si>
  <si>
    <t>74177</t>
  </si>
  <si>
    <t>73962</t>
  </si>
  <si>
    <t>74151</t>
  </si>
  <si>
    <t>72778</t>
  </si>
  <si>
    <t>70541</t>
  </si>
  <si>
    <t>68483</t>
  </si>
  <si>
    <t>CommonStockValue; AdditionalPaidInCapitalCommonStock</t>
  </si>
  <si>
    <t>20969</t>
  </si>
  <si>
    <t>21561</t>
  </si>
  <si>
    <t>22341</t>
  </si>
  <si>
    <t>RetainedEarningsAccumulatedDeficit</t>
  </si>
  <si>
    <t>73782</t>
  </si>
  <si>
    <t>76054</t>
  </si>
  <si>
    <t>80382</t>
  </si>
  <si>
    <t>TreasuryStockValue</t>
  </si>
  <si>
    <t>-54535</t>
  </si>
  <si>
    <t>-55916</t>
  </si>
  <si>
    <t>-56423</t>
  </si>
  <si>
    <t>AccumulatedOtherComprehensiveIncomeLossNetOfTax</t>
  </si>
  <si>
    <t>-14275</t>
  </si>
  <si>
    <t>-16843</t>
  </si>
  <si>
    <t>-14131</t>
  </si>
  <si>
    <t>25217</t>
  </si>
  <si>
    <t>26013</t>
  </si>
  <si>
    <t>26325</t>
  </si>
  <si>
    <t>25941</t>
  </si>
  <si>
    <t>26429</t>
  </si>
  <si>
    <t>25853</t>
  </si>
  <si>
    <t>26518</t>
  </si>
  <si>
    <t>24856</t>
  </si>
  <si>
    <t>26202</t>
  </si>
  <si>
    <t>28585</t>
  </si>
  <si>
    <t>31247</t>
  </si>
  <si>
    <t>32169</t>
  </si>
  <si>
    <t>33633</t>
  </si>
  <si>
    <t>MinorityInterest</t>
  </si>
  <si>
    <t>1539</t>
  </si>
  <si>
    <t>1516</t>
  </si>
  <si>
    <t>2106</t>
  </si>
  <si>
    <t>26868</t>
  </si>
  <si>
    <t>27552</t>
  </si>
  <si>
    <t>27833</t>
  </si>
  <si>
    <t>27480</t>
  </si>
  <si>
    <t>27946</t>
  </si>
  <si>
    <t>27411</t>
  </si>
  <si>
    <t>28154</t>
  </si>
  <si>
    <t>26372</t>
  </si>
  <si>
    <t>27754</t>
  </si>
  <si>
    <t>30182</t>
  </si>
  <si>
    <t>33267</t>
  </si>
  <si>
    <t>34275</t>
  </si>
  <si>
    <t>35734</t>
  </si>
  <si>
    <t>F158</t>
  </si>
  <si>
    <t>G158</t>
  </si>
  <si>
    <t>H158</t>
  </si>
  <si>
    <t>I158</t>
  </si>
  <si>
    <t>J158</t>
  </si>
  <si>
    <t>K158</t>
  </si>
  <si>
    <t>L158</t>
  </si>
  <si>
    <t>M158</t>
  </si>
  <si>
    <t>N158</t>
  </si>
  <si>
    <t>O158</t>
  </si>
  <si>
    <t>P158</t>
  </si>
  <si>
    <t>Q158</t>
  </si>
  <si>
    <t>R158</t>
  </si>
  <si>
    <t>S158</t>
  </si>
  <si>
    <t>T158</t>
  </si>
  <si>
    <t>U158</t>
  </si>
  <si>
    <t>F160</t>
  </si>
  <si>
    <t>G160</t>
  </si>
  <si>
    <t>H160</t>
  </si>
  <si>
    <t>I160</t>
  </si>
  <si>
    <t>J160</t>
  </si>
  <si>
    <t>K160</t>
  </si>
  <si>
    <t>L160</t>
  </si>
  <si>
    <t>M160</t>
  </si>
  <si>
    <t>N160</t>
  </si>
  <si>
    <t>O160</t>
  </si>
  <si>
    <t>P160</t>
  </si>
  <si>
    <t>Q160</t>
  </si>
  <si>
    <t>R160</t>
  </si>
  <si>
    <t>S160</t>
  </si>
  <si>
    <t>T160</t>
  </si>
  <si>
    <t>U160</t>
  </si>
  <si>
    <t>F162</t>
  </si>
  <si>
    <t>4599</t>
  </si>
  <si>
    <t>G162</t>
  </si>
  <si>
    <t>3970</t>
  </si>
  <si>
    <t>H162</t>
  </si>
  <si>
    <t>3495</t>
  </si>
  <si>
    <t>I162</t>
  </si>
  <si>
    <t>J162</t>
  </si>
  <si>
    <t>K162</t>
  </si>
  <si>
    <t>4244</t>
  </si>
  <si>
    <t>L162</t>
  </si>
  <si>
    <t>4545</t>
  </si>
  <si>
    <t>M162</t>
  </si>
  <si>
    <t>4233</t>
  </si>
  <si>
    <t>N162</t>
  </si>
  <si>
    <t>O162</t>
  </si>
  <si>
    <t>P162</t>
  </si>
  <si>
    <t>4091</t>
  </si>
  <si>
    <t>Q162</t>
  </si>
  <si>
    <t>4168</t>
  </si>
  <si>
    <t>R162</t>
  </si>
  <si>
    <t>3946</t>
  </si>
  <si>
    <t>S162</t>
  </si>
  <si>
    <t>T162</t>
  </si>
  <si>
    <t>U162</t>
  </si>
  <si>
    <t>3675</t>
  </si>
  <si>
    <t>F163</t>
  </si>
  <si>
    <t>4727</t>
  </si>
  <si>
    <t>G163</t>
  </si>
  <si>
    <t>4646</t>
  </si>
  <si>
    <t>H163</t>
  </si>
  <si>
    <t>4252</t>
  </si>
  <si>
    <t>I163</t>
  </si>
  <si>
    <t>J163</t>
  </si>
  <si>
    <t>K163</t>
  </si>
  <si>
    <t>4961</t>
  </si>
  <si>
    <t>L163</t>
  </si>
  <si>
    <t>4763</t>
  </si>
  <si>
    <t>M163</t>
  </si>
  <si>
    <t>4714</t>
  </si>
  <si>
    <t>N163</t>
  </si>
  <si>
    <t>O163</t>
  </si>
  <si>
    <t>P163</t>
  </si>
  <si>
    <t>5102</t>
  </si>
  <si>
    <t>Q163</t>
  </si>
  <si>
    <t>5082</t>
  </si>
  <si>
    <t>R163</t>
  </si>
  <si>
    <t>4802</t>
  </si>
  <si>
    <t>S163</t>
  </si>
  <si>
    <t>T163</t>
  </si>
  <si>
    <t>U163</t>
  </si>
  <si>
    <t>4730</t>
  </si>
  <si>
    <t>F164</t>
  </si>
  <si>
    <t>4384</t>
  </si>
  <si>
    <t>G164</t>
  </si>
  <si>
    <t>4544</t>
  </si>
  <si>
    <t>H164</t>
  </si>
  <si>
    <t>5905</t>
  </si>
  <si>
    <t>I164</t>
  </si>
  <si>
    <t>J164</t>
  </si>
  <si>
    <t>K164</t>
  </si>
  <si>
    <t>5054</t>
  </si>
  <si>
    <t>L164</t>
  </si>
  <si>
    <t>4892</t>
  </si>
  <si>
    <t>M164</t>
  </si>
  <si>
    <t>4964</t>
  </si>
  <si>
    <t>N164</t>
  </si>
  <si>
    <t>O164</t>
  </si>
  <si>
    <t>P164</t>
  </si>
  <si>
    <t>4989</t>
  </si>
  <si>
    <t>Q164</t>
  </si>
  <si>
    <t>5111</t>
  </si>
  <si>
    <t>R164</t>
  </si>
  <si>
    <t>4625</t>
  </si>
  <si>
    <t>S164</t>
  </si>
  <si>
    <t>T164</t>
  </si>
  <si>
    <t>U164</t>
  </si>
  <si>
    <t>10902</t>
  </si>
  <si>
    <t>F165</t>
  </si>
  <si>
    <t>13710</t>
  </si>
  <si>
    <t>G165</t>
  </si>
  <si>
    <t>13160</t>
  </si>
  <si>
    <t>H165</t>
  </si>
  <si>
    <t>13652</t>
  </si>
  <si>
    <t>I165</t>
  </si>
  <si>
    <t>14369</t>
  </si>
  <si>
    <t>J165</t>
  </si>
  <si>
    <t>K165</t>
  </si>
  <si>
    <t>14259</t>
  </si>
  <si>
    <t>L165</t>
  </si>
  <si>
    <t>14200</t>
  </si>
  <si>
    <t>M165</t>
  </si>
  <si>
    <t>13911</t>
  </si>
  <si>
    <t>N165</t>
  </si>
  <si>
    <t>13149</t>
  </si>
  <si>
    <t>O165</t>
  </si>
  <si>
    <t>P165</t>
  </si>
  <si>
    <t>14182</t>
  </si>
  <si>
    <t>Q165</t>
  </si>
  <si>
    <t>14361</t>
  </si>
  <si>
    <t>R165</t>
  </si>
  <si>
    <t>13373</t>
  </si>
  <si>
    <t>S165</t>
  </si>
  <si>
    <t>17172</t>
  </si>
  <si>
    <t>T165</t>
  </si>
  <si>
    <t>U165</t>
  </si>
  <si>
    <t>19307</t>
  </si>
  <si>
    <t>F167</t>
  </si>
  <si>
    <t>15593</t>
  </si>
  <si>
    <t>G167</t>
  </si>
  <si>
    <t>16483</t>
  </si>
  <si>
    <t>H167</t>
  </si>
  <si>
    <t>16837</t>
  </si>
  <si>
    <t>I167</t>
  </si>
  <si>
    <t>J167</t>
  </si>
  <si>
    <t>K167</t>
  </si>
  <si>
    <t>19425</t>
  </si>
  <si>
    <t>L167</t>
  </si>
  <si>
    <t>21909</t>
  </si>
  <si>
    <t>M167</t>
  </si>
  <si>
    <t>23820</t>
  </si>
  <si>
    <t>N167</t>
  </si>
  <si>
    <t>O167</t>
  </si>
  <si>
    <t>P167</t>
  </si>
  <si>
    <t>16499</t>
  </si>
  <si>
    <t>Q167</t>
  </si>
  <si>
    <t>17030</t>
  </si>
  <si>
    <t>R167</t>
  </si>
  <si>
    <t>17692</t>
  </si>
  <si>
    <t>S167</t>
  </si>
  <si>
    <t>T167</t>
  </si>
  <si>
    <t>U167</t>
  </si>
  <si>
    <t>14409</t>
  </si>
  <si>
    <t>F168</t>
  </si>
  <si>
    <t>1498</t>
  </si>
  <si>
    <t>G168</t>
  </si>
  <si>
    <t>1643</t>
  </si>
  <si>
    <t>H168</t>
  </si>
  <si>
    <t>1603</t>
  </si>
  <si>
    <t>I168</t>
  </si>
  <si>
    <t>J168</t>
  </si>
  <si>
    <t>K168</t>
  </si>
  <si>
    <t>1485</t>
  </si>
  <si>
    <t>L168</t>
  </si>
  <si>
    <t>1622</t>
  </si>
  <si>
    <t>M168</t>
  </si>
  <si>
    <t>1479</t>
  </si>
  <si>
    <t>N168</t>
  </si>
  <si>
    <t>O168</t>
  </si>
  <si>
    <t>P168</t>
  </si>
  <si>
    <t>1728</t>
  </si>
  <si>
    <t>Q168</t>
  </si>
  <si>
    <t>444</t>
  </si>
  <si>
    <t>R168</t>
  </si>
  <si>
    <t>568</t>
  </si>
  <si>
    <t>S168</t>
  </si>
  <si>
    <t>T168</t>
  </si>
  <si>
    <t>U168</t>
  </si>
  <si>
    <t>717</t>
  </si>
  <si>
    <t>F169</t>
  </si>
  <si>
    <t>173</t>
  </si>
  <si>
    <t>G169</t>
  </si>
  <si>
    <t>175</t>
  </si>
  <si>
    <t>H169</t>
  </si>
  <si>
    <t>191</t>
  </si>
  <si>
    <t>I169</t>
  </si>
  <si>
    <t>J169</t>
  </si>
  <si>
    <t>K169</t>
  </si>
  <si>
    <t>332</t>
  </si>
  <si>
    <t>L169</t>
  </si>
  <si>
    <t>291</t>
  </si>
  <si>
    <t>M169</t>
  </si>
  <si>
    <t>386</t>
  </si>
  <si>
    <t>N169</t>
  </si>
  <si>
    <t>O169</t>
  </si>
  <si>
    <t>P169</t>
  </si>
  <si>
    <t>373</t>
  </si>
  <si>
    <t>Q169</t>
  </si>
  <si>
    <t>339</t>
  </si>
  <si>
    <t>R169</t>
  </si>
  <si>
    <t>327</t>
  </si>
  <si>
    <t>S169</t>
  </si>
  <si>
    <t>T169</t>
  </si>
  <si>
    <t>U169</t>
  </si>
  <si>
    <t>2509</t>
  </si>
  <si>
    <t>F170</t>
  </si>
  <si>
    <t>G170</t>
  </si>
  <si>
    <t>H170</t>
  </si>
  <si>
    <t>I170</t>
  </si>
  <si>
    <t>J170</t>
  </si>
  <si>
    <t>K170</t>
  </si>
  <si>
    <t>L170</t>
  </si>
  <si>
    <t>M170</t>
  </si>
  <si>
    <t>N170</t>
  </si>
  <si>
    <t>O170</t>
  </si>
  <si>
    <t>P170</t>
  </si>
  <si>
    <t>Q170</t>
  </si>
  <si>
    <t>R170</t>
  </si>
  <si>
    <t>S170</t>
  </si>
  <si>
    <t>T170</t>
  </si>
  <si>
    <t>U170</t>
  </si>
  <si>
    <t>F172</t>
  </si>
  <si>
    <t>-3554</t>
  </si>
  <si>
    <t>G172</t>
  </si>
  <si>
    <t>-5141</t>
  </si>
  <si>
    <t>H172</t>
  </si>
  <si>
    <t>-4979</t>
  </si>
  <si>
    <t>I172</t>
  </si>
  <si>
    <t>-6894</t>
  </si>
  <si>
    <t>J172</t>
  </si>
  <si>
    <t>K172</t>
  </si>
  <si>
    <t>-6983</t>
  </si>
  <si>
    <t>L172</t>
  </si>
  <si>
    <t>-9622</t>
  </si>
  <si>
    <t>M172</t>
  </si>
  <si>
    <t>-11774</t>
  </si>
  <si>
    <t>N172</t>
  </si>
  <si>
    <t>-11092</t>
  </si>
  <si>
    <t>O172</t>
  </si>
  <si>
    <t>P172</t>
  </si>
  <si>
    <t>-4418</t>
  </si>
  <si>
    <t>Q172</t>
  </si>
  <si>
    <t>-3452</t>
  </si>
  <si>
    <t>R172</t>
  </si>
  <si>
    <t>-5214</t>
  </si>
  <si>
    <t>S172</t>
  </si>
  <si>
    <t>-2231</t>
  </si>
  <si>
    <t>T172</t>
  </si>
  <si>
    <t>U172</t>
  </si>
  <si>
    <t>1672</t>
  </si>
  <si>
    <t>G174</t>
  </si>
  <si>
    <t>-1587</t>
  </si>
  <si>
    <t>H174</t>
  </si>
  <si>
    <t>162</t>
  </si>
  <si>
    <t>I174</t>
  </si>
  <si>
    <t>-1915</t>
  </si>
  <si>
    <t>K174</t>
  </si>
  <si>
    <t>89</t>
  </si>
  <si>
    <t>L174</t>
  </si>
  <si>
    <t>M174</t>
  </si>
  <si>
    <t>2152</t>
  </si>
  <si>
    <t>N174</t>
  </si>
  <si>
    <t>-682</t>
  </si>
  <si>
    <t>O174</t>
  </si>
  <si>
    <t>4198</t>
  </si>
  <si>
    <t>P174</t>
  </si>
  <si>
    <t>-6674</t>
  </si>
  <si>
    <t>Q174</t>
  </si>
  <si>
    <t>-966</t>
  </si>
  <si>
    <t>R174</t>
  </si>
  <si>
    <t>1762</t>
  </si>
  <si>
    <t>S174</t>
  </si>
  <si>
    <t>-2983</t>
  </si>
  <si>
    <t>T174</t>
  </si>
  <si>
    <t>-8861</t>
  </si>
  <si>
    <t>U174</t>
  </si>
  <si>
    <t>-3903</t>
  </si>
  <si>
    <t>F176</t>
  </si>
  <si>
    <t>-6267</t>
  </si>
  <si>
    <t>G176</t>
  </si>
  <si>
    <t>-7867</t>
  </si>
  <si>
    <t>H176</t>
  </si>
  <si>
    <t>-9090</t>
  </si>
  <si>
    <t>I176</t>
  </si>
  <si>
    <t>2244</t>
  </si>
  <si>
    <t>J176</t>
  </si>
  <si>
    <t>K176</t>
  </si>
  <si>
    <t>-10220</t>
  </si>
  <si>
    <t>L176</t>
  </si>
  <si>
    <t>-12601</t>
  </si>
  <si>
    <t>M176</t>
  </si>
  <si>
    <t>-14873</t>
  </si>
  <si>
    <t>N176</t>
  </si>
  <si>
    <t>2829</t>
  </si>
  <si>
    <t>O176</t>
  </si>
  <si>
    <t>P176</t>
  </si>
  <si>
    <t>-7306</t>
  </si>
  <si>
    <t>Q176</t>
  </si>
  <si>
    <t>-7780</t>
  </si>
  <si>
    <t>R176</t>
  </si>
  <si>
    <t>-8944</t>
  </si>
  <si>
    <t>S176</t>
  </si>
  <si>
    <t>1814</t>
  </si>
  <si>
    <t>T176</t>
  </si>
  <si>
    <t>U176</t>
  </si>
  <si>
    <t>-6004</t>
  </si>
  <si>
    <t>G178</t>
  </si>
  <si>
    <t>H178</t>
  </si>
  <si>
    <t>I178</t>
  </si>
  <si>
    <t>K178</t>
  </si>
  <si>
    <t>L178</t>
  </si>
  <si>
    <t>M178</t>
  </si>
  <si>
    <t>N178</t>
  </si>
  <si>
    <t>O178</t>
  </si>
  <si>
    <t>P178</t>
  </si>
  <si>
    <t>Q178</t>
  </si>
  <si>
    <t>R178</t>
  </si>
  <si>
    <t>S178</t>
  </si>
  <si>
    <t>T178</t>
  </si>
  <si>
    <t>U178</t>
  </si>
  <si>
    <t>G182</t>
  </si>
  <si>
    <t>H182</t>
  </si>
  <si>
    <t>I182</t>
  </si>
  <si>
    <t>J182</t>
  </si>
  <si>
    <t>K182</t>
  </si>
  <si>
    <t>L182</t>
  </si>
  <si>
    <t>M182</t>
  </si>
  <si>
    <t>N182</t>
  </si>
  <si>
    <t>O182</t>
  </si>
  <si>
    <t>P182</t>
  </si>
  <si>
    <t>Q182</t>
  </si>
  <si>
    <t>R182</t>
  </si>
  <si>
    <t>S182</t>
  </si>
  <si>
    <t>T182</t>
  </si>
  <si>
    <t>U182</t>
  </si>
  <si>
    <t>G183</t>
  </si>
  <si>
    <t>83.39173789173789</t>
  </si>
  <si>
    <t>H183</t>
  </si>
  <si>
    <t>94.8957890259464</t>
  </si>
  <si>
    <t>I183</t>
  </si>
  <si>
    <t>98.76785252821087</t>
  </si>
  <si>
    <t>J183</t>
  </si>
  <si>
    <t>94.5511972893122</t>
  </si>
  <si>
    <t>K183</t>
  </si>
  <si>
    <t>102.09004934210527</t>
  </si>
  <si>
    <t>L183</t>
  </si>
  <si>
    <t>91.80451866404715</t>
  </si>
  <si>
    <t>M183</t>
  </si>
  <si>
    <t>107.46646237657474</t>
  </si>
  <si>
    <t>N183</t>
  </si>
  <si>
    <t>112.01177003168854</t>
  </si>
  <si>
    <t>O183</t>
  </si>
  <si>
    <t>95.46895640686921</t>
  </si>
  <si>
    <t>P183</t>
  </si>
  <si>
    <t>93.89074608722079</t>
  </si>
  <si>
    <t>Q183</t>
  </si>
  <si>
    <t>71.07384153794867</t>
  </si>
  <si>
    <t>R183</t>
  </si>
  <si>
    <t>90.54420680924778</t>
  </si>
  <si>
    <t>S183</t>
  </si>
  <si>
    <t>106.00433369447454</t>
  </si>
  <si>
    <t>T183</t>
  </si>
  <si>
    <t>89.31899223514513</t>
  </si>
  <si>
    <t>U183</t>
  </si>
  <si>
    <t>95.49932482199853</t>
  </si>
  <si>
    <t>G184</t>
  </si>
  <si>
    <t>63.44539411206078</t>
  </si>
  <si>
    <t>H184</t>
  </si>
  <si>
    <t>71.48294342832837</t>
  </si>
  <si>
    <t>I184</t>
  </si>
  <si>
    <t>69.58842277543286</t>
  </si>
  <si>
    <t>J184</t>
  </si>
  <si>
    <t>69.28524204045371</t>
  </si>
  <si>
    <t>K184</t>
  </si>
  <si>
    <t>73.13980263157895</t>
  </si>
  <si>
    <t>L184</t>
  </si>
  <si>
    <t>66.99214145383104</t>
  </si>
  <si>
    <t>M184</t>
  </si>
  <si>
    <t>71.73697650663944</t>
  </si>
  <si>
    <t>N184</t>
  </si>
  <si>
    <t>68.63974649162517</t>
  </si>
  <si>
    <t>O184</t>
  </si>
  <si>
    <t>59.11360634081902</t>
  </si>
  <si>
    <t>P184</t>
  </si>
  <si>
    <t>63.250265917033886</t>
  </si>
  <si>
    <t>Q184</t>
  </si>
  <si>
    <t>60.05908989887765</t>
  </si>
  <si>
    <t>R184</t>
  </si>
  <si>
    <t>78.68945299486974</t>
  </si>
  <si>
    <t>S184</t>
  </si>
  <si>
    <t>78.55384615384615</t>
  </si>
  <si>
    <t>T184</t>
  </si>
  <si>
    <t>56.38846769087213</t>
  </si>
  <si>
    <t>U184</t>
  </si>
  <si>
    <t>68.63245764792536</t>
  </si>
  <si>
    <t>G185</t>
  </si>
  <si>
    <t>19.946343779677107</t>
  </si>
  <si>
    <t>H185</t>
  </si>
  <si>
    <t>23.41284559761803</t>
  </si>
  <si>
    <t>I185</t>
  </si>
  <si>
    <t>29.179429752778006</t>
  </si>
  <si>
    <t>J185</t>
  </si>
  <si>
    <t>25.26595524885849</t>
  </si>
  <si>
    <t>K185</t>
  </si>
  <si>
    <t>28.95024671052633</t>
  </si>
  <si>
    <t>L185</t>
  </si>
  <si>
    <t>24.812377210216113</t>
  </si>
  <si>
    <t>M185</t>
  </si>
  <si>
    <t>35.7294858699353</t>
  </si>
  <si>
    <t>N185</t>
  </si>
  <si>
    <t>43.37202354006337</t>
  </si>
  <si>
    <t>O185</t>
  </si>
  <si>
    <t>36.35535006605019</t>
  </si>
  <si>
    <t>P185</t>
  </si>
  <si>
    <t>30.640480170186905</t>
  </si>
  <si>
    <t>Q185</t>
  </si>
  <si>
    <t>11.014751639071015</t>
  </si>
  <si>
    <t>R185</t>
  </si>
  <si>
    <t>11.854753814378043</t>
  </si>
  <si>
    <t>S185</t>
  </si>
  <si>
    <t>27.450487540628387</t>
  </si>
  <si>
    <t>T185</t>
  </si>
  <si>
    <t>32.930524544273</t>
  </si>
  <si>
    <t>U185</t>
  </si>
  <si>
    <t>26.866867174073164</t>
  </si>
  <si>
    <t>F186</t>
  </si>
  <si>
    <t>0.09981785063752277</t>
  </si>
  <si>
    <t>G186</t>
  </si>
  <si>
    <t>0.09488807216839291</t>
  </si>
  <si>
    <t>H186</t>
  </si>
  <si>
    <t>0.12350455952480549</t>
  </si>
  <si>
    <t>I186</t>
  </si>
  <si>
    <t>0.15058991612130151</t>
  </si>
  <si>
    <t>J186</t>
  </si>
  <si>
    <t>0.14282904226952833</t>
  </si>
  <si>
    <t>K186</t>
  </si>
  <si>
    <t>0.11181415929203539</t>
  </si>
  <si>
    <t>L186</t>
  </si>
  <si>
    <t>0.09892420933430397</t>
  </si>
  <si>
    <t>M186</t>
  </si>
  <si>
    <t>0.10469039986502446</t>
  </si>
  <si>
    <t>N186</t>
  </si>
  <si>
    <t>0.10507623007623007</t>
  </si>
  <si>
    <t>O186</t>
  </si>
  <si>
    <t>0.10310023161428784</t>
  </si>
  <si>
    <t>P186</t>
  </si>
  <si>
    <t>0.11207206397699704</t>
  </si>
  <si>
    <t>Q186</t>
  </si>
  <si>
    <t>0.10193458316713203</t>
  </si>
  <si>
    <t>R186</t>
  </si>
  <si>
    <t>0.09283420313127258</t>
  </si>
  <si>
    <t>S186</t>
  </si>
  <si>
    <t>0.2053163593300626</t>
  </si>
  <si>
    <t>T186</t>
  </si>
  <si>
    <t>0.20251976387643145</t>
  </si>
  <si>
    <t>U186</t>
  </si>
  <si>
    <t>0.21852950609364977</t>
  </si>
  <si>
    <t>F187</t>
  </si>
  <si>
    <t>0.08675005791058606</t>
  </si>
  <si>
    <t>G187</t>
  </si>
  <si>
    <t>0.08362174267100977</t>
  </si>
  <si>
    <t>H187</t>
  </si>
  <si>
    <t>0.08605325316727507</t>
  </si>
  <si>
    <t>I187</t>
  </si>
  <si>
    <t>0.03430528038590749</t>
  </si>
  <si>
    <t>J187</t>
  </si>
  <si>
    <t>0.06248283977250441</t>
  </si>
  <si>
    <t>K187</t>
  </si>
  <si>
    <t>0.08766233766233766</t>
  </si>
  <si>
    <t>L187</t>
  </si>
  <si>
    <t>0.08426849542809643</t>
  </si>
  <si>
    <t>M187</t>
  </si>
  <si>
    <t>0.07927744425385935</t>
  </si>
  <si>
    <t>N187</t>
  </si>
  <si>
    <t>0.0751680034684587</t>
  </si>
  <si>
    <t>O187</t>
  </si>
  <si>
    <t>0.07569308011351233</t>
  </si>
  <si>
    <t>P187</t>
  </si>
  <si>
    <t>0.10377131876050925</t>
  </si>
  <si>
    <t>Q187</t>
  </si>
  <si>
    <t>0.023546881629189647</t>
  </si>
  <si>
    <t>R187</t>
  </si>
  <si>
    <t>0.029601834479883262</t>
  </si>
  <si>
    <t>S187</t>
  </si>
  <si>
    <t>0.027789540546262967</t>
  </si>
  <si>
    <t>T187</t>
  </si>
  <si>
    <t>0.02853726151002881</t>
  </si>
  <si>
    <t>U187</t>
  </si>
  <si>
    <t>0.0387987012987013</t>
  </si>
  <si>
    <t>F188</t>
  </si>
  <si>
    <t>0.010018531387537642</t>
  </si>
  <si>
    <t>G188</t>
  </si>
  <si>
    <t>0.008906758957654724</t>
  </si>
  <si>
    <t>H188</t>
  </si>
  <si>
    <t>0.010253382005582993</t>
  </si>
  <si>
    <t>I188</t>
  </si>
  <si>
    <t>0.30321302437763803</t>
  </si>
  <si>
    <t>J188</t>
  </si>
  <si>
    <t>0.5522651500294176</t>
  </si>
  <si>
    <t>K188</t>
  </si>
  <si>
    <t>0.01959858323494687</t>
  </si>
  <si>
    <t>L188</t>
  </si>
  <si>
    <t>0.015118453865336659</t>
  </si>
  <si>
    <t>M188</t>
  </si>
  <si>
    <t>0.020690394511149228</t>
  </si>
  <si>
    <t>N188</t>
  </si>
  <si>
    <t>0.9422284847171039</t>
  </si>
  <si>
    <t>O188</t>
  </si>
  <si>
    <t>0.9488103034271993</t>
  </si>
  <si>
    <t>P188</t>
  </si>
  <si>
    <t>0.022399711746336776</t>
  </si>
  <si>
    <t>Q188</t>
  </si>
  <si>
    <t>0.017978362324989394</t>
  </si>
  <si>
    <t>R188</t>
  </si>
  <si>
    <t>0.017041901188242652</t>
  </si>
  <si>
    <t>S188</t>
  </si>
  <si>
    <t>0.7002434893076435</t>
  </si>
  <si>
    <t>T188</t>
  </si>
  <si>
    <t>0.7190846333641354</t>
  </si>
  <si>
    <t>U188</t>
  </si>
  <si>
    <t>0.13576839826839826</t>
  </si>
  <si>
    <t>F190</t>
  </si>
  <si>
    <t>G190</t>
  </si>
  <si>
    <t>H190</t>
  </si>
  <si>
    <t>I190</t>
  </si>
  <si>
    <t>J190</t>
  </si>
  <si>
    <t>K190</t>
  </si>
  <si>
    <t>L190</t>
  </si>
  <si>
    <t>M190</t>
  </si>
  <si>
    <t>N190</t>
  </si>
  <si>
    <t>O190</t>
  </si>
  <si>
    <t>P190</t>
  </si>
  <si>
    <t>Q190</t>
  </si>
  <si>
    <t>R190</t>
  </si>
  <si>
    <t>S190</t>
  </si>
  <si>
    <t>T190</t>
  </si>
  <si>
    <t>U190</t>
  </si>
  <si>
    <t>J193</t>
  </si>
  <si>
    <t>O193</t>
  </si>
  <si>
    <t>T193</t>
  </si>
  <si>
    <t>J194</t>
  </si>
  <si>
    <t>O194</t>
  </si>
  <si>
    <t>T194</t>
  </si>
  <si>
    <t>J195</t>
  </si>
  <si>
    <t>O195</t>
  </si>
  <si>
    <t>T195</t>
  </si>
  <si>
    <t>F196</t>
  </si>
  <si>
    <t>9848</t>
  </si>
  <si>
    <t>G196</t>
  </si>
  <si>
    <t>9706</t>
  </si>
  <si>
    <t>H196</t>
  </si>
  <si>
    <t>8860</t>
  </si>
  <si>
    <t>I196</t>
  </si>
  <si>
    <t>J196</t>
  </si>
  <si>
    <t>K196</t>
  </si>
  <si>
    <t>9306</t>
  </si>
  <si>
    <t>L196</t>
  </si>
  <si>
    <t>9508</t>
  </si>
  <si>
    <t>M196</t>
  </si>
  <si>
    <t>9864</t>
  </si>
  <si>
    <t>N196</t>
  </si>
  <si>
    <t>O196</t>
  </si>
  <si>
    <t>P196</t>
  </si>
  <si>
    <t>10431</t>
  </si>
  <si>
    <t>Q196</t>
  </si>
  <si>
    <t>10784</t>
  </si>
  <si>
    <t>R196</t>
  </si>
  <si>
    <t>S196</t>
  </si>
  <si>
    <t>T196</t>
  </si>
  <si>
    <t>U196</t>
  </si>
  <si>
    <t>9522</t>
  </si>
  <si>
    <t>F200</t>
  </si>
  <si>
    <t>G200</t>
  </si>
  <si>
    <t>H200</t>
  </si>
  <si>
    <t>I200</t>
  </si>
  <si>
    <t>J200</t>
  </si>
  <si>
    <t>K200</t>
  </si>
  <si>
    <t>L200</t>
  </si>
  <si>
    <t>M200</t>
  </si>
  <si>
    <t>N200</t>
  </si>
  <si>
    <t>O200</t>
  </si>
  <si>
    <t>P200</t>
  </si>
  <si>
    <t>Q200</t>
  </si>
  <si>
    <t>R200</t>
  </si>
  <si>
    <t>S200</t>
  </si>
  <si>
    <t>T200</t>
  </si>
  <si>
    <t>U200</t>
  </si>
  <si>
    <t>G201</t>
  </si>
  <si>
    <t>0.07136946628051304</t>
  </si>
  <si>
    <t>H201</t>
  </si>
  <si>
    <t>0.09093056831605198</t>
  </si>
  <si>
    <t>I201</t>
  </si>
  <si>
    <t>0.07260072279480659</t>
  </si>
  <si>
    <t>J201</t>
  </si>
  <si>
    <t>0.07770923487708314</t>
  </si>
  <si>
    <t>K201</t>
  </si>
  <si>
    <t>0.06604340932699142</t>
  </si>
  <si>
    <t>L201</t>
  </si>
  <si>
    <t>0.06844001870547135</t>
  </si>
  <si>
    <t>M201</t>
  </si>
  <si>
    <t>0.06780773226882485</t>
  </si>
  <si>
    <t>N201</t>
  </si>
  <si>
    <t>0.07321814254859611</t>
  </si>
  <si>
    <t>O201</t>
  </si>
  <si>
    <t>0.06803051130697285</t>
  </si>
  <si>
    <t>P201</t>
  </si>
  <si>
    <t>0.07016411084207694</t>
  </si>
  <si>
    <t>Q201</t>
  </si>
  <si>
    <t>0.0704874302804947</t>
  </si>
  <si>
    <t>R201</t>
  </si>
  <si>
    <t>0.07614961791124816</t>
  </si>
  <si>
    <t>S201</t>
  </si>
  <si>
    <t>0.07487401007919367</t>
  </si>
  <si>
    <t>T201</t>
  </si>
  <si>
    <t>0.06712118302285384</t>
  </si>
  <si>
    <t>U201</t>
  </si>
  <si>
    <t>0.07439471055510631</t>
  </si>
  <si>
    <t>F202</t>
  </si>
  <si>
    <t>G202</t>
  </si>
  <si>
    <t>H202</t>
  </si>
  <si>
    <t>I202</t>
  </si>
  <si>
    <t>J202</t>
  </si>
  <si>
    <t>K202</t>
  </si>
  <si>
    <t>L202</t>
  </si>
  <si>
    <t>M202</t>
  </si>
  <si>
    <t>N202</t>
  </si>
  <si>
    <t>O202</t>
  </si>
  <si>
    <t>P202</t>
  </si>
  <si>
    <t>Q202</t>
  </si>
  <si>
    <t>R202</t>
  </si>
  <si>
    <t>S202</t>
  </si>
  <si>
    <t>T202</t>
  </si>
  <si>
    <t>U202</t>
  </si>
  <si>
    <t>F204</t>
  </si>
  <si>
    <t>G204</t>
  </si>
  <si>
    <t>H204</t>
  </si>
  <si>
    <t>I204</t>
  </si>
  <si>
    <t>J204</t>
  </si>
  <si>
    <t>K204</t>
  </si>
  <si>
    <t>L204</t>
  </si>
  <si>
    <t>M204</t>
  </si>
  <si>
    <t>N204</t>
  </si>
  <si>
    <t>O204</t>
  </si>
  <si>
    <t>P204</t>
  </si>
  <si>
    <t>Q204</t>
  </si>
  <si>
    <t>R204</t>
  </si>
  <si>
    <t>S204</t>
  </si>
  <si>
    <t>T204</t>
  </si>
  <si>
    <t>U204</t>
  </si>
  <si>
    <t>F206</t>
  </si>
  <si>
    <t>G206</t>
  </si>
  <si>
    <t>H206</t>
  </si>
  <si>
    <t>I206</t>
  </si>
  <si>
    <t>J206</t>
  </si>
  <si>
    <t>K206</t>
  </si>
  <si>
    <t>L206</t>
  </si>
  <si>
    <t>M206</t>
  </si>
  <si>
    <t>N206</t>
  </si>
  <si>
    <t>O206</t>
  </si>
  <si>
    <t>P206</t>
  </si>
  <si>
    <t>Q206</t>
  </si>
  <si>
    <t>R206</t>
  </si>
  <si>
    <t>S206</t>
  </si>
  <si>
    <t>T206</t>
  </si>
  <si>
    <t>U206</t>
  </si>
  <si>
    <t>J207</t>
  </si>
  <si>
    <t>O207</t>
  </si>
  <si>
    <t>T207</t>
  </si>
  <si>
    <t>F208</t>
  </si>
  <si>
    <t>G208</t>
  </si>
  <si>
    <t>H208</t>
  </si>
  <si>
    <t>I208</t>
  </si>
  <si>
    <t>J208</t>
  </si>
  <si>
    <t>K208</t>
  </si>
  <si>
    <t>L208</t>
  </si>
  <si>
    <t>M208</t>
  </si>
  <si>
    <t>N208</t>
  </si>
  <si>
    <t>O208</t>
  </si>
  <si>
    <t>P208</t>
  </si>
  <si>
    <t>Q208</t>
  </si>
  <si>
    <t>R208</t>
  </si>
  <si>
    <t>S208</t>
  </si>
  <si>
    <t>T208</t>
  </si>
  <si>
    <t>U208</t>
  </si>
  <si>
    <t>J209</t>
  </si>
  <si>
    <t>O209</t>
  </si>
  <si>
    <t>T209</t>
  </si>
  <si>
    <t>F210</t>
  </si>
  <si>
    <t>G210</t>
  </si>
  <si>
    <t>H210</t>
  </si>
  <si>
    <t>I210</t>
  </si>
  <si>
    <t>J210</t>
  </si>
  <si>
    <t>K210</t>
  </si>
  <si>
    <t>L210</t>
  </si>
  <si>
    <t>M210</t>
  </si>
  <si>
    <t>N210</t>
  </si>
  <si>
    <t>O210</t>
  </si>
  <si>
    <t>P210</t>
  </si>
  <si>
    <t>Q210</t>
  </si>
  <si>
    <t>R210</t>
  </si>
  <si>
    <t>S210</t>
  </si>
  <si>
    <t>T210</t>
  </si>
  <si>
    <t>U210</t>
  </si>
  <si>
    <t>G214</t>
  </si>
  <si>
    <t>H214</t>
  </si>
  <si>
    <t>I214</t>
  </si>
  <si>
    <t>J214</t>
  </si>
  <si>
    <t>K214</t>
  </si>
  <si>
    <t>L214</t>
  </si>
  <si>
    <t>M214</t>
  </si>
  <si>
    <t>N214</t>
  </si>
  <si>
    <t>O214</t>
  </si>
  <si>
    <t>P214</t>
  </si>
  <si>
    <t>Q214</t>
  </si>
  <si>
    <t>R214</t>
  </si>
  <si>
    <t>S214</t>
  </si>
  <si>
    <t>T214</t>
  </si>
  <si>
    <t>U214</t>
  </si>
  <si>
    <t>F216</t>
  </si>
  <si>
    <t>G216</t>
  </si>
  <si>
    <t>H216</t>
  </si>
  <si>
    <t>I216</t>
  </si>
  <si>
    <t>J216</t>
  </si>
  <si>
    <t>K216</t>
  </si>
  <si>
    <t>L216</t>
  </si>
  <si>
    <t>M216</t>
  </si>
  <si>
    <t>N216</t>
  </si>
  <si>
    <t>O216</t>
  </si>
  <si>
    <t>P216</t>
  </si>
  <si>
    <t>Q216</t>
  </si>
  <si>
    <t>R216</t>
  </si>
  <si>
    <t>S216</t>
  </si>
  <si>
    <t>T216</t>
  </si>
  <si>
    <t>U216</t>
  </si>
  <si>
    <t>F218</t>
  </si>
  <si>
    <t>18678</t>
  </si>
  <si>
    <t>G218</t>
  </si>
  <si>
    <t>18545</t>
  </si>
  <si>
    <t>H218</t>
  </si>
  <si>
    <t>18144</t>
  </si>
  <si>
    <t>I218</t>
  </si>
  <si>
    <t>J218</t>
  </si>
  <si>
    <t>K218</t>
  </si>
  <si>
    <t>18210</t>
  </si>
  <si>
    <t>L218</t>
  </si>
  <si>
    <t>18324</t>
  </si>
  <si>
    <t>M218</t>
  </si>
  <si>
    <t>18686</t>
  </si>
  <si>
    <t>N218</t>
  </si>
  <si>
    <t>O218</t>
  </si>
  <si>
    <t>P218</t>
  </si>
  <si>
    <t>18333</t>
  </si>
  <si>
    <t>Q218</t>
  </si>
  <si>
    <t>18663</t>
  </si>
  <si>
    <t>R218</t>
  </si>
  <si>
    <t>18662</t>
  </si>
  <si>
    <t>S218</t>
  </si>
  <si>
    <t>T218</t>
  </si>
  <si>
    <t>U218</t>
  </si>
  <si>
    <t>15411</t>
  </si>
  <si>
    <t>F219</t>
  </si>
  <si>
    <t>1416</t>
  </si>
  <si>
    <t>G219</t>
  </si>
  <si>
    <t>1179</t>
  </si>
  <si>
    <t>H219</t>
  </si>
  <si>
    <t>1380</t>
  </si>
  <si>
    <t>I219</t>
  </si>
  <si>
    <t>1545</t>
  </si>
  <si>
    <t>J219</t>
  </si>
  <si>
    <t>K219</t>
  </si>
  <si>
    <t>5431</t>
  </si>
  <si>
    <t>L219</t>
  </si>
  <si>
    <t>5393</t>
  </si>
  <si>
    <t>M219</t>
  </si>
  <si>
    <t>5428</t>
  </si>
  <si>
    <t>N219</t>
  </si>
  <si>
    <t>5181</t>
  </si>
  <si>
    <t>O219</t>
  </si>
  <si>
    <t>P219</t>
  </si>
  <si>
    <t>46774</t>
  </si>
  <si>
    <t>Q219</t>
  </si>
  <si>
    <t>48277</t>
  </si>
  <si>
    <t>R219</t>
  </si>
  <si>
    <t>49234</t>
  </si>
  <si>
    <t>S219</t>
  </si>
  <si>
    <t>T219</t>
  </si>
  <si>
    <t>U219</t>
  </si>
  <si>
    <t>5325</t>
  </si>
  <si>
    <t>F220</t>
  </si>
  <si>
    <t>20094</t>
  </si>
  <si>
    <t>G220</t>
  </si>
  <si>
    <t>19724</t>
  </si>
  <si>
    <t>H220</t>
  </si>
  <si>
    <t>19524</t>
  </si>
  <si>
    <t>I220</t>
  </si>
  <si>
    <t>19903</t>
  </si>
  <si>
    <t>J220</t>
  </si>
  <si>
    <t>K220</t>
  </si>
  <si>
    <t>23641</t>
  </si>
  <si>
    <t>L220</t>
  </si>
  <si>
    <t>23717</t>
  </si>
  <si>
    <t>M220</t>
  </si>
  <si>
    <t>24114</t>
  </si>
  <si>
    <t>N220</t>
  </si>
  <si>
    <t>23320</t>
  </si>
  <si>
    <t>O220</t>
  </si>
  <si>
    <t>P220</t>
  </si>
  <si>
    <t>65107</t>
  </si>
  <si>
    <t>Q220</t>
  </si>
  <si>
    <t>66940</t>
  </si>
  <si>
    <t>R220</t>
  </si>
  <si>
    <t>67896</t>
  </si>
  <si>
    <t>S220</t>
  </si>
  <si>
    <t>64159</t>
  </si>
  <si>
    <t>T220</t>
  </si>
  <si>
    <t>U220</t>
  </si>
  <si>
    <t>20736</t>
  </si>
  <si>
    <t>G221</t>
  </si>
  <si>
    <t>-370</t>
  </si>
  <si>
    <t>H221</t>
  </si>
  <si>
    <t>-200</t>
  </si>
  <si>
    <t>I221</t>
  </si>
  <si>
    <t>379</t>
  </si>
  <si>
    <t>K221</t>
  </si>
  <si>
    <t>3738</t>
  </si>
  <si>
    <t>L221</t>
  </si>
  <si>
    <t>76</t>
  </si>
  <si>
    <t>M221</t>
  </si>
  <si>
    <t>397</t>
  </si>
  <si>
    <t>N221</t>
  </si>
  <si>
    <t>-794</t>
  </si>
  <si>
    <t>O221</t>
  </si>
  <si>
    <t>3417</t>
  </si>
  <si>
    <t>P221</t>
  </si>
  <si>
    <t>41787</t>
  </si>
  <si>
    <t>Q221</t>
  </si>
  <si>
    <t>1833</t>
  </si>
  <si>
    <t>R221</t>
  </si>
  <si>
    <t>956</t>
  </si>
  <si>
    <t>S221</t>
  </si>
  <si>
    <t>-3737</t>
  </si>
  <si>
    <t>T221</t>
  </si>
  <si>
    <t>40839</t>
  </si>
  <si>
    <t>U221</t>
  </si>
  <si>
    <t>-43423</t>
  </si>
  <si>
    <t>F223</t>
  </si>
  <si>
    <t>3171</t>
  </si>
  <si>
    <t>G223</t>
  </si>
  <si>
    <t>2714</t>
  </si>
  <si>
    <t>H223</t>
  </si>
  <si>
    <t>2733</t>
  </si>
  <si>
    <t>I223</t>
  </si>
  <si>
    <t>J223</t>
  </si>
  <si>
    <t>K223</t>
  </si>
  <si>
    <t>L223</t>
  </si>
  <si>
    <t>2366</t>
  </si>
  <si>
    <t>M223</t>
  </si>
  <si>
    <t>2292</t>
  </si>
  <si>
    <t>N223</t>
  </si>
  <si>
    <t>O223</t>
  </si>
  <si>
    <t>P223</t>
  </si>
  <si>
    <t>2311</t>
  </si>
  <si>
    <t>Q223</t>
  </si>
  <si>
    <t>2375</t>
  </si>
  <si>
    <t>R223</t>
  </si>
  <si>
    <t>2435</t>
  </si>
  <si>
    <t>S223</t>
  </si>
  <si>
    <t>T223</t>
  </si>
  <si>
    <t>U223</t>
  </si>
  <si>
    <t>2615</t>
  </si>
  <si>
    <t>F224</t>
  </si>
  <si>
    <t>7874</t>
  </si>
  <si>
    <t>G224</t>
  </si>
  <si>
    <t>8449</t>
  </si>
  <si>
    <t>H224</t>
  </si>
  <si>
    <t>8427</t>
  </si>
  <si>
    <t>I224</t>
  </si>
  <si>
    <t>J224</t>
  </si>
  <si>
    <t>K224</t>
  </si>
  <si>
    <t>5465</t>
  </si>
  <si>
    <t>L224</t>
  </si>
  <si>
    <t>4077</t>
  </si>
  <si>
    <t>M224</t>
  </si>
  <si>
    <t>4257</t>
  </si>
  <si>
    <t>N224</t>
  </si>
  <si>
    <t>O224</t>
  </si>
  <si>
    <t>P224</t>
  </si>
  <si>
    <t>4313</t>
  </si>
  <si>
    <t>Q224</t>
  </si>
  <si>
    <t>4856</t>
  </si>
  <si>
    <t>R224</t>
  </si>
  <si>
    <t>4667</t>
  </si>
  <si>
    <t>S224</t>
  </si>
  <si>
    <t>T224</t>
  </si>
  <si>
    <t>U224</t>
  </si>
  <si>
    <t>F225</t>
  </si>
  <si>
    <t>11045</t>
  </si>
  <si>
    <t>G225</t>
  </si>
  <si>
    <t>11163</t>
  </si>
  <si>
    <t>H225</t>
  </si>
  <si>
    <t>11160</t>
  </si>
  <si>
    <t>I225</t>
  </si>
  <si>
    <t>11105</t>
  </si>
  <si>
    <t>J225</t>
  </si>
  <si>
    <t>K225</t>
  </si>
  <si>
    <t>7986</t>
  </si>
  <si>
    <t>L225</t>
  </si>
  <si>
    <t>6443</t>
  </si>
  <si>
    <t>M225</t>
  </si>
  <si>
    <t>6549</t>
  </si>
  <si>
    <t>N225</t>
  </si>
  <si>
    <t>6553</t>
  </si>
  <si>
    <t>O225</t>
  </si>
  <si>
    <t>P225</t>
  </si>
  <si>
    <t>6624</t>
  </si>
  <si>
    <t>Q225</t>
  </si>
  <si>
    <t>7231</t>
  </si>
  <si>
    <t>R225</t>
  </si>
  <si>
    <t>7102</t>
  </si>
  <si>
    <t>S225</t>
  </si>
  <si>
    <t>7141</t>
  </si>
  <si>
    <t>T225</t>
  </si>
  <si>
    <t>U225</t>
  </si>
  <si>
    <t>7040</t>
  </si>
  <si>
    <t>G226</t>
  </si>
  <si>
    <t>118</t>
  </si>
  <si>
    <t>H226</t>
  </si>
  <si>
    <t>-3</t>
  </si>
  <si>
    <t>I226</t>
  </si>
  <si>
    <t>-55</t>
  </si>
  <si>
    <t>K226</t>
  </si>
  <si>
    <t>-3119</t>
  </si>
  <si>
    <t>L226</t>
  </si>
  <si>
    <t>-1543</t>
  </si>
  <si>
    <t>M226</t>
  </si>
  <si>
    <t>106</t>
  </si>
  <si>
    <t>N226</t>
  </si>
  <si>
    <t>4</t>
  </si>
  <si>
    <t>O226</t>
  </si>
  <si>
    <t>-4552</t>
  </si>
  <si>
    <t>P226</t>
  </si>
  <si>
    <t>71</t>
  </si>
  <si>
    <t>Q226</t>
  </si>
  <si>
    <t>607</t>
  </si>
  <si>
    <t>R226</t>
  </si>
  <si>
    <t>-129</t>
  </si>
  <si>
    <t>S226</t>
  </si>
  <si>
    <t>39</t>
  </si>
  <si>
    <t>T226</t>
  </si>
  <si>
    <t>588</t>
  </si>
  <si>
    <t>U226</t>
  </si>
  <si>
    <t>-101</t>
  </si>
  <si>
    <t>G228</t>
  </si>
  <si>
    <t>488</t>
  </si>
  <si>
    <t>H228</t>
  </si>
  <si>
    <t>197</t>
  </si>
  <si>
    <t>I228</t>
  </si>
  <si>
    <t>-434</t>
  </si>
  <si>
    <t>K228</t>
  </si>
  <si>
    <t>-6857</t>
  </si>
  <si>
    <t>L228</t>
  </si>
  <si>
    <t>-1619</t>
  </si>
  <si>
    <t>M228</t>
  </si>
  <si>
    <t>-291</t>
  </si>
  <si>
    <t>N228</t>
  </si>
  <si>
    <t>798</t>
  </si>
  <si>
    <t>O228</t>
  </si>
  <si>
    <t>-7969</t>
  </si>
  <si>
    <t>P228</t>
  </si>
  <si>
    <t>-41716</t>
  </si>
  <si>
    <t>Q228</t>
  </si>
  <si>
    <t>-1226</t>
  </si>
  <si>
    <t>R228</t>
  </si>
  <si>
    <t>-1085</t>
  </si>
  <si>
    <t>S228</t>
  </si>
  <si>
    <t>3776</t>
  </si>
  <si>
    <t>T228</t>
  </si>
  <si>
    <t>-40251</t>
  </si>
  <si>
    <t>U228</t>
  </si>
  <si>
    <t>43322</t>
  </si>
  <si>
    <t>G232</t>
  </si>
  <si>
    <t>-0.1673728813559322</t>
  </si>
  <si>
    <t>H232</t>
  </si>
  <si>
    <t>0.17048346055979646</t>
  </si>
  <si>
    <t>I232</t>
  </si>
  <si>
    <t>0.11956521739130443</t>
  </si>
  <si>
    <t>K232</t>
  </si>
  <si>
    <t>2.515210355987055</t>
  </si>
  <si>
    <t>L232</t>
  </si>
  <si>
    <t>-0.00699686982139569</t>
  </si>
  <si>
    <t>M232</t>
  </si>
  <si>
    <t>0.0064898943074356286</t>
  </si>
  <si>
    <t>N232</t>
  </si>
  <si>
    <t>-0.045504789977892424</t>
  </si>
  <si>
    <t>O232</t>
  </si>
  <si>
    <t>2.353398058252427</t>
  </si>
  <si>
    <t>P232</t>
  </si>
  <si>
    <t>8.027986875120632</t>
  </si>
  <si>
    <t>Q232</t>
  </si>
  <si>
    <t>0.03213323641339216</t>
  </si>
  <si>
    <t>R232</t>
  </si>
  <si>
    <t>0.019823104169687467</t>
  </si>
  <si>
    <t>S232</t>
  </si>
  <si>
    <t>-0.01149612056708782</t>
  </si>
  <si>
    <t>T232</t>
  </si>
  <si>
    <t>8.393553368075661</t>
  </si>
  <si>
    <t>U232</t>
  </si>
  <si>
    <t>-0.8905851894468645</t>
  </si>
  <si>
    <t>F234</t>
  </si>
  <si>
    <t>G234</t>
  </si>
  <si>
    <t>H234</t>
  </si>
  <si>
    <t>I234</t>
  </si>
  <si>
    <t>J234</t>
  </si>
  <si>
    <t>K234</t>
  </si>
  <si>
    <t>L234</t>
  </si>
  <si>
    <t>M234</t>
  </si>
  <si>
    <t>N234</t>
  </si>
  <si>
    <t>O234</t>
  </si>
  <si>
    <t>P234</t>
  </si>
  <si>
    <t>Q234</t>
  </si>
  <si>
    <t>R234</t>
  </si>
  <si>
    <t>S234</t>
  </si>
  <si>
    <t>T234</t>
  </si>
  <si>
    <t>U234</t>
  </si>
  <si>
    <t>F237</t>
  </si>
  <si>
    <t>G237</t>
  </si>
  <si>
    <t>H237</t>
  </si>
  <si>
    <t>I237</t>
  </si>
  <si>
    <t>J237</t>
  </si>
  <si>
    <t>K237</t>
  </si>
  <si>
    <t>L237</t>
  </si>
  <si>
    <t>M237</t>
  </si>
  <si>
    <t>N237</t>
  </si>
  <si>
    <t>O237</t>
  </si>
  <si>
    <t>P237</t>
  </si>
  <si>
    <t>Q237</t>
  </si>
  <si>
    <t>R237</t>
  </si>
  <si>
    <t>S237</t>
  </si>
  <si>
    <t>T237</t>
  </si>
  <si>
    <t>U237</t>
  </si>
  <si>
    <t>F238</t>
  </si>
  <si>
    <t>G238</t>
  </si>
  <si>
    <t>H238</t>
  </si>
  <si>
    <t>I238</t>
  </si>
  <si>
    <t>J238</t>
  </si>
  <si>
    <t>K238</t>
  </si>
  <si>
    <t>L238</t>
  </si>
  <si>
    <t>M238</t>
  </si>
  <si>
    <t>N238</t>
  </si>
  <si>
    <t>O238</t>
  </si>
  <si>
    <t>P238</t>
  </si>
  <si>
    <t>Q238</t>
  </si>
  <si>
    <t>R238</t>
  </si>
  <si>
    <t>S238</t>
  </si>
  <si>
    <t>T238</t>
  </si>
  <si>
    <t>U238</t>
  </si>
  <si>
    <t>J239</t>
  </si>
  <si>
    <t>O239</t>
  </si>
  <si>
    <t>T239</t>
  </si>
  <si>
    <t>F240</t>
  </si>
  <si>
    <t>8.467085368690393</t>
  </si>
  <si>
    <t>G240</t>
  </si>
  <si>
    <t>12.178649237472767</t>
  </si>
  <si>
    <t>H240</t>
  </si>
  <si>
    <t>6.815093550747361</t>
  </si>
  <si>
    <t>I240</t>
  </si>
  <si>
    <t>4.844072975644826</t>
  </si>
  <si>
    <t>J240</t>
  </si>
  <si>
    <t>32.304901132555344</t>
  </si>
  <si>
    <t>K240</t>
  </si>
  <si>
    <t>8.070346849047388</t>
  </si>
  <si>
    <t>L240</t>
  </si>
  <si>
    <t>18.949215323130908</t>
  </si>
  <si>
    <t>M240</t>
  </si>
  <si>
    <t>8.108108108108109</t>
  </si>
  <si>
    <t>N240</t>
  </si>
  <si>
    <t>6.301603872069848</t>
  </si>
  <si>
    <t>O240</t>
  </si>
  <si>
    <t>41.42927415235626</t>
  </si>
  <si>
    <t>P240</t>
  </si>
  <si>
    <t>9.77930755213606</t>
  </si>
  <si>
    <t>Q240</t>
  </si>
  <si>
    <t>R240</t>
  </si>
  <si>
    <t>3.320692447863939</t>
  </si>
  <si>
    <t>S240</t>
  </si>
  <si>
    <t>16.4329036978314</t>
  </si>
  <si>
    <t>T240</t>
  </si>
  <si>
    <t>29.5329036978314</t>
  </si>
  <si>
    <t>U240</t>
  </si>
  <si>
    <t>16.67398463227223</t>
  </si>
  <si>
    <t>H241</t>
  </si>
  <si>
    <t>2498</t>
  </si>
  <si>
    <t>J241</t>
  </si>
  <si>
    <t>O241</t>
  </si>
  <si>
    <t>S241</t>
  </si>
  <si>
    <t>4971</t>
  </si>
  <si>
    <t>T241</t>
  </si>
  <si>
    <t>J245</t>
  </si>
  <si>
    <t>O245</t>
  </si>
  <si>
    <t>T245</t>
  </si>
  <si>
    <t>62</t>
  </si>
  <si>
    <t>17</t>
  </si>
  <si>
    <t>J246</t>
  </si>
  <si>
    <t>79</t>
  </si>
  <si>
    <t>51</t>
  </si>
  <si>
    <t>47</t>
  </si>
  <si>
    <t>O246</t>
  </si>
  <si>
    <t>98</t>
  </si>
  <si>
    <t>T246</t>
  </si>
  <si>
    <t>F247</t>
  </si>
  <si>
    <t>20649</t>
  </si>
  <si>
    <t>G247</t>
  </si>
  <si>
    <t>20753</t>
  </si>
  <si>
    <t>H247</t>
  </si>
  <si>
    <t>20841</t>
  </si>
  <si>
    <t>I247</t>
  </si>
  <si>
    <t>J247</t>
  </si>
  <si>
    <t>K247</t>
  </si>
  <si>
    <t>21081</t>
  </si>
  <si>
    <t>L247</t>
  </si>
  <si>
    <t>21228</t>
  </si>
  <si>
    <t>M247</t>
  </si>
  <si>
    <t>21470</t>
  </si>
  <si>
    <t>N247</t>
  </si>
  <si>
    <t>O247</t>
  </si>
  <si>
    <t>P247</t>
  </si>
  <si>
    <t>21633</t>
  </si>
  <si>
    <t>Q247</t>
  </si>
  <si>
    <t>21730</t>
  </si>
  <si>
    <t>R247</t>
  </si>
  <si>
    <t>22249</t>
  </si>
  <si>
    <t>S247</t>
  </si>
  <si>
    <t>T247</t>
  </si>
  <si>
    <t>U247</t>
  </si>
  <si>
    <t>22394</t>
  </si>
  <si>
    <t>F249</t>
  </si>
  <si>
    <t>G249</t>
  </si>
  <si>
    <t>0.005178750417641162</t>
  </si>
  <si>
    <t>H249</t>
  </si>
  <si>
    <t>0.0014222370952898854</t>
  </si>
  <si>
    <t>I249</t>
  </si>
  <si>
    <t>J249</t>
  </si>
  <si>
    <t>0.001726624994535997</t>
  </si>
  <si>
    <t>K249</t>
  </si>
  <si>
    <t>L249</t>
  </si>
  <si>
    <t>0.004125212327105072</t>
  </si>
  <si>
    <t>M249</t>
  </si>
  <si>
    <t>N249</t>
  </si>
  <si>
    <t>0.004071379071379071</t>
  </si>
  <si>
    <t>O249</t>
  </si>
  <si>
    <t>0.0020824036888293916</t>
  </si>
  <si>
    <t>P249</t>
  </si>
  <si>
    <t>Q249</t>
  </si>
  <si>
    <t>R249</t>
  </si>
  <si>
    <t>S249</t>
  </si>
  <si>
    <t>0.008289629504313991</t>
  </si>
  <si>
    <t>T249</t>
  </si>
  <si>
    <t>0.0020441793037274986</t>
  </si>
  <si>
    <t>U249</t>
  </si>
  <si>
    <t>72137</t>
  </si>
  <si>
    <t>72695</t>
  </si>
  <si>
    <t>73793</t>
  </si>
  <si>
    <t>J252</t>
  </si>
  <si>
    <t>74868</t>
  </si>
  <si>
    <t>75189</t>
  </si>
  <si>
    <t>75946</t>
  </si>
  <si>
    <t>O252</t>
  </si>
  <si>
    <t>77189</t>
  </si>
  <si>
    <t>78803</t>
  </si>
  <si>
    <t>80305</t>
  </si>
  <si>
    <t>T252</t>
  </si>
  <si>
    <t>F253</t>
  </si>
  <si>
    <t>G253</t>
  </si>
  <si>
    <t>H253</t>
  </si>
  <si>
    <t>I253</t>
  </si>
  <si>
    <t>J253</t>
  </si>
  <si>
    <t>K253</t>
  </si>
  <si>
    <t>L253</t>
  </si>
  <si>
    <t>M253</t>
  </si>
  <si>
    <t>N253</t>
  </si>
  <si>
    <t>O253</t>
  </si>
  <si>
    <t>P253</t>
  </si>
  <si>
    <t>Q253</t>
  </si>
  <si>
    <t>R253</t>
  </si>
  <si>
    <t>S253</t>
  </si>
  <si>
    <t>T253</t>
  </si>
  <si>
    <t>U253</t>
  </si>
  <si>
    <t>PaymentsOfDividends</t>
  </si>
  <si>
    <t>J254</t>
  </si>
  <si>
    <t>-7952</t>
  </si>
  <si>
    <t>O254</t>
  </si>
  <si>
    <t>-8359</t>
  </si>
  <si>
    <t>T254</t>
  </si>
  <si>
    <t>-8779</t>
  </si>
  <si>
    <t>F255</t>
  </si>
  <si>
    <t>69400</t>
  </si>
  <si>
    <t>G255</t>
  </si>
  <si>
    <t>563</t>
  </si>
  <si>
    <t>H255</t>
  </si>
  <si>
    <t>521</t>
  </si>
  <si>
    <t>I255</t>
  </si>
  <si>
    <t>J255</t>
  </si>
  <si>
    <t>81386</t>
  </si>
  <si>
    <t>K255</t>
  </si>
  <si>
    <t>-1646</t>
  </si>
  <si>
    <t>L255</t>
  </si>
  <si>
    <t>-828</t>
  </si>
  <si>
    <t>M255</t>
  </si>
  <si>
    <t>-506</t>
  </si>
  <si>
    <t>N255</t>
  </si>
  <si>
    <t>7338</t>
  </si>
  <si>
    <t>O255</t>
  </si>
  <si>
    <t>4358</t>
  </si>
  <si>
    <t>P255</t>
  </si>
  <si>
    <t>-1833</t>
  </si>
  <si>
    <t>Q255</t>
  </si>
  <si>
    <t>495</t>
  </si>
  <si>
    <t>R255</t>
  </si>
  <si>
    <t>513</t>
  </si>
  <si>
    <t>S255</t>
  </si>
  <si>
    <t>8628</t>
  </si>
  <si>
    <t>T255</t>
  </si>
  <si>
    <t>7803</t>
  </si>
  <si>
    <t>U255</t>
  </si>
  <si>
    <t>322</t>
  </si>
  <si>
    <t>F256</t>
  </si>
  <si>
    <t>G256</t>
  </si>
  <si>
    <t>H256</t>
  </si>
  <si>
    <t>I256</t>
  </si>
  <si>
    <t>J256</t>
  </si>
  <si>
    <t>K256</t>
  </si>
  <si>
    <t>L256</t>
  </si>
  <si>
    <t>M256</t>
  </si>
  <si>
    <t>N256</t>
  </si>
  <si>
    <t>O256</t>
  </si>
  <si>
    <t>P256</t>
  </si>
  <si>
    <t>Q256</t>
  </si>
  <si>
    <t>R256</t>
  </si>
  <si>
    <t>S256</t>
  </si>
  <si>
    <t>T256</t>
  </si>
  <si>
    <t>U256</t>
  </si>
  <si>
    <t>82026</t>
  </si>
  <si>
    <t>-14322</t>
  </si>
  <si>
    <t>-14017</t>
  </si>
  <si>
    <t>-14815</t>
  </si>
  <si>
    <t>J259</t>
  </si>
  <si>
    <t>-14504</t>
  </si>
  <si>
    <t>-15458</t>
  </si>
  <si>
    <t>-15536</t>
  </si>
  <si>
    <t>O259</t>
  </si>
  <si>
    <t>-16482</t>
  </si>
  <si>
    <t>-15758</t>
  </si>
  <si>
    <t>-14952</t>
  </si>
  <si>
    <t>T259</t>
  </si>
  <si>
    <t>F260</t>
  </si>
  <si>
    <t>G260</t>
  </si>
  <si>
    <t>305</t>
  </si>
  <si>
    <t>H260</t>
  </si>
  <si>
    <t>-798</t>
  </si>
  <si>
    <t>I260</t>
  </si>
  <si>
    <t>540</t>
  </si>
  <si>
    <t>J260</t>
  </si>
  <si>
    <t>K260</t>
  </si>
  <si>
    <t>-229</t>
  </si>
  <si>
    <t>L260</t>
  </si>
  <si>
    <t>-954</t>
  </si>
  <si>
    <t>M260</t>
  </si>
  <si>
    <t>-78</t>
  </si>
  <si>
    <t>N260</t>
  </si>
  <si>
    <t>-1307</t>
  </si>
  <si>
    <t>O260</t>
  </si>
  <si>
    <t>-2568</t>
  </si>
  <si>
    <t>P260</t>
  </si>
  <si>
    <t>361</t>
  </si>
  <si>
    <t>Q260</t>
  </si>
  <si>
    <t>724</t>
  </si>
  <si>
    <t>R260</t>
  </si>
  <si>
    <t>806</t>
  </si>
  <si>
    <t>S260</t>
  </si>
  <si>
    <t>821</t>
  </si>
  <si>
    <t>T260</t>
  </si>
  <si>
    <t>2712</t>
  </si>
  <si>
    <t>U260</t>
  </si>
  <si>
    <t>91</t>
  </si>
  <si>
    <t>F261</t>
  </si>
  <si>
    <t>G261</t>
  </si>
  <si>
    <t>H261</t>
  </si>
  <si>
    <t>I261</t>
  </si>
  <si>
    <t>J261</t>
  </si>
  <si>
    <t>K261</t>
  </si>
  <si>
    <t>L261</t>
  </si>
  <si>
    <t>M261</t>
  </si>
  <si>
    <t>N261</t>
  </si>
  <si>
    <t>O261</t>
  </si>
  <si>
    <t>P261</t>
  </si>
  <si>
    <t>Q261</t>
  </si>
  <si>
    <t>R261</t>
  </si>
  <si>
    <t>S261</t>
  </si>
  <si>
    <t>T261</t>
  </si>
  <si>
    <t>U261</t>
  </si>
  <si>
    <t>-14040</t>
  </si>
  <si>
    <t>F264</t>
  </si>
  <si>
    <t>0.4121212121212121</t>
  </si>
  <si>
    <t>G264</t>
  </si>
  <si>
    <t>0.4157441574415744</t>
  </si>
  <si>
    <t>H264</t>
  </si>
  <si>
    <t>0.4838709677419355</t>
  </si>
  <si>
    <t>I264</t>
  </si>
  <si>
    <t>J264</t>
  </si>
  <si>
    <t>1.8164794007490637</t>
  </si>
  <si>
    <t>K264</t>
  </si>
  <si>
    <t>0.4666666666666667</t>
  </si>
  <si>
    <t>L264</t>
  </si>
  <si>
    <t>0.4698646986469865</t>
  </si>
  <si>
    <t>M264</t>
  </si>
  <si>
    <t>0.5310173697270472</t>
  </si>
  <si>
    <t>N264</t>
  </si>
  <si>
    <t>0.5280898876404494</t>
  </si>
  <si>
    <t>O264</t>
  </si>
  <si>
    <t>2.0199750312109863</t>
  </si>
  <si>
    <t>P264</t>
  </si>
  <si>
    <t>0.5562913907284768</t>
  </si>
  <si>
    <t>Q264</t>
  </si>
  <si>
    <t>0.5531914893617021</t>
  </si>
  <si>
    <t>R264</t>
  </si>
  <si>
    <t>S264</t>
  </si>
  <si>
    <t>0.6042780748663101</t>
  </si>
  <si>
    <t>T264</t>
  </si>
  <si>
    <t>2.27807486631016</t>
  </si>
  <si>
    <t>U264</t>
  </si>
  <si>
    <t>0.6128133704735376</t>
  </si>
  <si>
    <t>F265</t>
  </si>
  <si>
    <t>0.019172887281749807</t>
  </si>
  <si>
    <t>G265</t>
  </si>
  <si>
    <t>0.01811521383187688</t>
  </si>
  <si>
    <t>H265</t>
  </si>
  <si>
    <t>0.020230833813815637</t>
  </si>
  <si>
    <t>I265</t>
  </si>
  <si>
    <t>J265</t>
  </si>
  <si>
    <t>0.019322090039684513</t>
  </si>
  <si>
    <t>K265</t>
  </si>
  <si>
    <t>0.01823807197524833</t>
  </si>
  <si>
    <t>L265</t>
  </si>
  <si>
    <t>0.01832009742263326</t>
  </si>
  <si>
    <t>M265</t>
  </si>
  <si>
    <t>0.019592929424482878</t>
  </si>
  <si>
    <t>N265</t>
  </si>
  <si>
    <t>0.02004706795636137</t>
  </si>
  <si>
    <t>O265</t>
  </si>
  <si>
    <t>0.01940322266379651</t>
  </si>
  <si>
    <t>P265</t>
  </si>
  <si>
    <t>0.022526478668899647</t>
  </si>
  <si>
    <t>Q265</t>
  </si>
  <si>
    <t>0.022400951178850055</t>
  </si>
  <si>
    <t>R265</t>
  </si>
  <si>
    <t>0.013074582213138853</t>
  </si>
  <si>
    <t>S265</t>
  </si>
  <si>
    <t>0.011536501203588763</t>
  </si>
  <si>
    <t>T265</t>
  </si>
  <si>
    <t>0.01353413108895355</t>
  </si>
  <si>
    <t>U265</t>
  </si>
  <si>
    <t>0.013453641503260979</t>
  </si>
  <si>
    <t>F266</t>
  </si>
  <si>
    <t>G266</t>
  </si>
  <si>
    <t>H266</t>
  </si>
  <si>
    <t>I266</t>
  </si>
  <si>
    <t>J266</t>
  </si>
  <si>
    <t>K266</t>
  </si>
  <si>
    <t>L266</t>
  </si>
  <si>
    <t>M266</t>
  </si>
  <si>
    <t>N266</t>
  </si>
  <si>
    <t>O266</t>
  </si>
  <si>
    <t>P266</t>
  </si>
  <si>
    <t>Q266</t>
  </si>
  <si>
    <t>R266</t>
  </si>
  <si>
    <t>S266</t>
  </si>
  <si>
    <t>T266</t>
  </si>
  <si>
    <t>U266</t>
  </si>
  <si>
    <t>F267</t>
  </si>
  <si>
    <t>101</t>
  </si>
  <si>
    <t>G267</t>
  </si>
  <si>
    <t>1988</t>
  </si>
  <si>
    <t>H267</t>
  </si>
  <si>
    <t>1989</t>
  </si>
  <si>
    <t>I267</t>
  </si>
  <si>
    <t>3874</t>
  </si>
  <si>
    <t>J267</t>
  </si>
  <si>
    <t>7952</t>
  </si>
  <si>
    <t>K267</t>
  </si>
  <si>
    <t>99</t>
  </si>
  <si>
    <t>L267</t>
  </si>
  <si>
    <t>2085</t>
  </si>
  <si>
    <t>M267</t>
  </si>
  <si>
    <t>2090</t>
  </si>
  <si>
    <t>N267</t>
  </si>
  <si>
    <t>4085</t>
  </si>
  <si>
    <t>O267</t>
  </si>
  <si>
    <t>8359</t>
  </si>
  <si>
    <t>P267</t>
  </si>
  <si>
    <t>Q267</t>
  </si>
  <si>
    <t>2194</t>
  </si>
  <si>
    <t>R267</t>
  </si>
  <si>
    <t>2108</t>
  </si>
  <si>
    <t>S267</t>
  </si>
  <si>
    <t>4388</t>
  </si>
  <si>
    <t>T267</t>
  </si>
  <si>
    <t>8779</t>
  </si>
  <si>
    <t>U267</t>
  </si>
  <si>
    <t>2281</t>
  </si>
  <si>
    <t>J271</t>
  </si>
  <si>
    <t>O271</t>
  </si>
  <si>
    <t>T271</t>
  </si>
  <si>
    <t>F272</t>
  </si>
  <si>
    <t>G272</t>
  </si>
  <si>
    <t>H272</t>
  </si>
  <si>
    <t>I272</t>
  </si>
  <si>
    <t>J272</t>
  </si>
  <si>
    <t>K272</t>
  </si>
  <si>
    <t>L272</t>
  </si>
  <si>
    <t>M272</t>
  </si>
  <si>
    <t>N272</t>
  </si>
  <si>
    <t>O272</t>
  </si>
  <si>
    <t>P272</t>
  </si>
  <si>
    <t>Q272</t>
  </si>
  <si>
    <t>R272</t>
  </si>
  <si>
    <t>S272</t>
  </si>
  <si>
    <t>T272</t>
  </si>
  <si>
    <t>U272</t>
  </si>
  <si>
    <t>K273</t>
  </si>
  <si>
    <t>-0.01980198019801982</t>
  </si>
  <si>
    <t>L273</t>
  </si>
  <si>
    <t>0.04879275653923543</t>
  </si>
  <si>
    <t>M273</t>
  </si>
  <si>
    <t>0.05077928607340376</t>
  </si>
  <si>
    <t>N273</t>
  </si>
  <si>
    <t>0.05446566855962831</t>
  </si>
  <si>
    <t>O273</t>
  </si>
  <si>
    <t>0.051182092555331904</t>
  </si>
  <si>
    <t>P273</t>
  </si>
  <si>
    <t>-0.101010101010101</t>
  </si>
  <si>
    <t>Q273</t>
  </si>
  <si>
    <t>0.05227817745803365</t>
  </si>
  <si>
    <t>R273</t>
  </si>
  <si>
    <t>0.008612440191387627</t>
  </si>
  <si>
    <t>S273</t>
  </si>
  <si>
    <t>0.0741738066095472</t>
  </si>
  <si>
    <t>T273</t>
  </si>
  <si>
    <t>0.05024524464648872</t>
  </si>
  <si>
    <t>U273</t>
  </si>
  <si>
    <t>24.629213483146067</t>
  </si>
  <si>
    <t>F275</t>
  </si>
  <si>
    <t>G275</t>
  </si>
  <si>
    <t>H275</t>
  </si>
  <si>
    <t>I275</t>
  </si>
  <si>
    <t>J275</t>
  </si>
  <si>
    <t>K275</t>
  </si>
  <si>
    <t>L275</t>
  </si>
  <si>
    <t>M275</t>
  </si>
  <si>
    <t>N275</t>
  </si>
  <si>
    <t>O275</t>
  </si>
  <si>
    <t>P275</t>
  </si>
  <si>
    <t>Q275</t>
  </si>
  <si>
    <t>R275</t>
  </si>
  <si>
    <t>S275</t>
  </si>
  <si>
    <t>T275</t>
  </si>
  <si>
    <t>U275</t>
  </si>
  <si>
    <t>I280</t>
  </si>
  <si>
    <t>N280</t>
  </si>
  <si>
    <t>T280</t>
  </si>
  <si>
    <t>J282</t>
  </si>
  <si>
    <t>O282</t>
  </si>
  <si>
    <t>T282</t>
  </si>
  <si>
    <t>F283</t>
  </si>
  <si>
    <t>G283</t>
  </si>
  <si>
    <t>H283</t>
  </si>
  <si>
    <t>I283</t>
  </si>
  <si>
    <t>J283</t>
  </si>
  <si>
    <t>K283</t>
  </si>
  <si>
    <t>L283</t>
  </si>
  <si>
    <t>M283</t>
  </si>
  <si>
    <t>N283</t>
  </si>
  <si>
    <t>O283</t>
  </si>
  <si>
    <t>P283</t>
  </si>
  <si>
    <t>Q283</t>
  </si>
  <si>
    <t>R283</t>
  </si>
  <si>
    <t>S283</t>
  </si>
  <si>
    <t>T283</t>
  </si>
  <si>
    <t>U283</t>
  </si>
  <si>
    <t>J284</t>
  </si>
  <si>
    <t>O284</t>
  </si>
  <si>
    <t>T284</t>
  </si>
  <si>
    <t>F286</t>
  </si>
  <si>
    <t>G286</t>
  </si>
  <si>
    <t>H286</t>
  </si>
  <si>
    <t>I286</t>
  </si>
  <si>
    <t>J286</t>
  </si>
  <si>
    <t>K286</t>
  </si>
  <si>
    <t>L286</t>
  </si>
  <si>
    <t>M286</t>
  </si>
  <si>
    <t>N286</t>
  </si>
  <si>
    <t>O286</t>
  </si>
  <si>
    <t>P286</t>
  </si>
  <si>
    <t>Q286</t>
  </si>
  <si>
    <t>R286</t>
  </si>
  <si>
    <t>S286</t>
  </si>
  <si>
    <t>T286</t>
  </si>
  <si>
    <t>U286</t>
  </si>
  <si>
    <t>F299</t>
  </si>
  <si>
    <t>G299</t>
  </si>
  <si>
    <t>-0.13364517206815904</t>
  </si>
  <si>
    <t>H299</t>
  </si>
  <si>
    <t>-0.10231740985526647</t>
  </si>
  <si>
    <t>I299</t>
  </si>
  <si>
    <t>1.0447045810673794</t>
  </si>
  <si>
    <t>J299</t>
  </si>
  <si>
    <t>K299</t>
  </si>
  <si>
    <t>1.103008849557522</t>
  </si>
  <si>
    <t>L299</t>
  </si>
  <si>
    <t>0.19259079511445443</t>
  </si>
  <si>
    <t>M299</t>
  </si>
  <si>
    <t>0.1916652606715033</t>
  </si>
  <si>
    <t>N299</t>
  </si>
  <si>
    <t>-1.5334372834372834</t>
  </si>
  <si>
    <t>O299</t>
  </si>
  <si>
    <t>-0.01243067508127749</t>
  </si>
  <si>
    <t>P299</t>
  </si>
  <si>
    <t>0.9106837990834756</t>
  </si>
  <si>
    <t>Q299</t>
  </si>
  <si>
    <t>0.03781412046270443</t>
  </si>
  <si>
    <t>R299</t>
  </si>
  <si>
    <t>0.09345644319550381</t>
  </si>
  <si>
    <t>S299</t>
  </si>
  <si>
    <t>-0.9099983082388766</t>
  </si>
  <si>
    <t>T299</t>
  </si>
  <si>
    <t>0.021171857074320517</t>
  </si>
  <si>
    <t>U299</t>
  </si>
  <si>
    <t>0.626844130853111</t>
  </si>
  <si>
    <t>5282</t>
  </si>
  <si>
    <t>4643</t>
  </si>
  <si>
    <t>3698</t>
  </si>
  <si>
    <t>J302</t>
  </si>
  <si>
    <t>5722</t>
  </si>
  <si>
    <t>3502</t>
  </si>
  <si>
    <t>1817</t>
  </si>
  <si>
    <t>O302</t>
  </si>
  <si>
    <t>5045</t>
  </si>
  <si>
    <t>4040</t>
  </si>
  <si>
    <t>T302</t>
  </si>
  <si>
    <t>F303</t>
  </si>
  <si>
    <t>G303</t>
  </si>
  <si>
    <t>-639</t>
  </si>
  <si>
    <t>H303</t>
  </si>
  <si>
    <t>-945</t>
  </si>
  <si>
    <t>I303</t>
  </si>
  <si>
    <t>-3350</t>
  </si>
  <si>
    <t>J303</t>
  </si>
  <si>
    <t>K303</t>
  </si>
  <si>
    <t>5374</t>
  </si>
  <si>
    <t>L303</t>
  </si>
  <si>
    <t>-2220</t>
  </si>
  <si>
    <t>M303</t>
  </si>
  <si>
    <t>-1685</t>
  </si>
  <si>
    <t>N303</t>
  </si>
  <si>
    <t>-1457</t>
  </si>
  <si>
    <t>O303</t>
  </si>
  <si>
    <t>P303</t>
  </si>
  <si>
    <t>4685</t>
  </si>
  <si>
    <t>Q303</t>
  </si>
  <si>
    <t>-1005</t>
  </si>
  <si>
    <t>R303</t>
  </si>
  <si>
    <t>-2048</t>
  </si>
  <si>
    <t>S303</t>
  </si>
  <si>
    <t>-1936</t>
  </si>
  <si>
    <t>T303</t>
  </si>
  <si>
    <t>U303</t>
  </si>
  <si>
    <t>194</t>
  </si>
  <si>
    <t>F304</t>
  </si>
  <si>
    <t>G304</t>
  </si>
  <si>
    <t>H304</t>
  </si>
  <si>
    <t>I304</t>
  </si>
  <si>
    <t>J304</t>
  </si>
  <si>
    <t>K304</t>
  </si>
  <si>
    <t>L304</t>
  </si>
  <si>
    <t>M304</t>
  </si>
  <si>
    <t>N304</t>
  </si>
  <si>
    <t>O304</t>
  </si>
  <si>
    <t>P304</t>
  </si>
  <si>
    <t>Q304</t>
  </si>
  <si>
    <t>R304</t>
  </si>
  <si>
    <t>S304</t>
  </si>
  <si>
    <t>T304</t>
  </si>
  <si>
    <t>U304</t>
  </si>
  <si>
    <t>250</t>
  </si>
  <si>
    <t>15844</t>
  </si>
  <si>
    <t>15831</t>
  </si>
  <si>
    <t>15577</t>
  </si>
  <si>
    <t>J307</t>
  </si>
  <si>
    <t>15501</t>
  </si>
  <si>
    <t>17550</t>
  </si>
  <si>
    <t>17547</t>
  </si>
  <si>
    <t>17209</t>
  </si>
  <si>
    <t>O307</t>
  </si>
  <si>
    <t>17365</t>
  </si>
  <si>
    <t>43693</t>
  </si>
  <si>
    <t>45067</t>
  </si>
  <si>
    <t>45097</t>
  </si>
  <si>
    <t>T307</t>
  </si>
  <si>
    <t>F308</t>
  </si>
  <si>
    <t>G308</t>
  </si>
  <si>
    <t>H308</t>
  </si>
  <si>
    <t>I308</t>
  </si>
  <si>
    <t>J308</t>
  </si>
  <si>
    <t>K308</t>
  </si>
  <si>
    <t>2049</t>
  </si>
  <si>
    <t>L308</t>
  </si>
  <si>
    <t>M308</t>
  </si>
  <si>
    <t>N308</t>
  </si>
  <si>
    <t>156</t>
  </si>
  <si>
    <t>O308</t>
  </si>
  <si>
    <t>1864</t>
  </si>
  <si>
    <t>P308</t>
  </si>
  <si>
    <t>3439</t>
  </si>
  <si>
    <t>Q308</t>
  </si>
  <si>
    <t>2</t>
  </si>
  <si>
    <t>R308</t>
  </si>
  <si>
    <t>S308</t>
  </si>
  <si>
    <t>4417</t>
  </si>
  <si>
    <t>T308</t>
  </si>
  <si>
    <t>8846</t>
  </si>
  <si>
    <t>U308</t>
  </si>
  <si>
    <t>F309</t>
  </si>
  <si>
    <t>G309</t>
  </si>
  <si>
    <t>-13</t>
  </si>
  <si>
    <t>H309</t>
  </si>
  <si>
    <t>-254</t>
  </si>
  <si>
    <t>I309</t>
  </si>
  <si>
    <t>-76</t>
  </si>
  <si>
    <t>J309</t>
  </si>
  <si>
    <t>K309</t>
  </si>
  <si>
    <t>L309</t>
  </si>
  <si>
    <t>M309</t>
  </si>
  <si>
    <t>-338</t>
  </si>
  <si>
    <t>N309</t>
  </si>
  <si>
    <t>O309</t>
  </si>
  <si>
    <t>P309</t>
  </si>
  <si>
    <t>Q309</t>
  </si>
  <si>
    <t>R309</t>
  </si>
  <si>
    <t>S309</t>
  </si>
  <si>
    <t>T309</t>
  </si>
  <si>
    <t>U309</t>
  </si>
  <si>
    <t>-2967</t>
  </si>
  <si>
    <t>F310</t>
  </si>
  <si>
    <t>G310</t>
  </si>
  <si>
    <t>H310</t>
  </si>
  <si>
    <t>I310</t>
  </si>
  <si>
    <t>J310</t>
  </si>
  <si>
    <t>K310</t>
  </si>
  <si>
    <t>L310</t>
  </si>
  <si>
    <t>M310</t>
  </si>
  <si>
    <t>N310</t>
  </si>
  <si>
    <t>O310</t>
  </si>
  <si>
    <t>P310</t>
  </si>
  <si>
    <t>Q310</t>
  </si>
  <si>
    <t>R310</t>
  </si>
  <si>
    <t>S310</t>
  </si>
  <si>
    <t>T310</t>
  </si>
  <si>
    <t>U310</t>
  </si>
  <si>
    <t>23244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</si>
</sst>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 ca="1">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 ca="1">Valuation!K65</f>
        <v>-85959.25445380561</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 ca="1">Valuation!K72</f>
        <v>-103015.25445380561</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 ca="1">Valuation!N137</f>
        <v>-24.124469589816126</v>
      </c>
      <c r="Q11" s="32">
        <f ca="1">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 ca="1">Valuation!K76</f>
        <v>-145.70757348487356</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 ca="1">Valuation!K77</f>
        <v>1e-12</v>
      </c>
      <c r="M13" s="16"/>
      <c r="N13" s="39" t="s">
        <v>19</v>
      </c>
      <c r="O13" s="37"/>
      <c r="P13" s="40">
        <f ca="1">Valuation!N215</f>
        <v>-24.124469589816126</v>
      </c>
      <c r="Q13" s="38">
        <f ca="1">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 ca="1">Valuation!R65</f>
        <v>-24426.90332580443</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 ca="1">Valuation!R72</f>
        <v>-41482.90332580443</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 ca="1">Valuation!F126</f>
        <v>1e-12</v>
      </c>
      <c r="Q18" s="32">
        <f ca="1">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 ca="1">Valuation!R76</f>
        <v>-58.67454501528208</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 ca="1">Valuation!R77</f>
        <v>1e-12</v>
      </c>
      <c r="M20" s="16"/>
      <c r="N20" s="39" t="s">
        <v>27</v>
      </c>
      <c r="O20" s="37"/>
      <c r="P20" s="40">
        <f ca="1">Valuation!F204</f>
        <v>1e-12</v>
      </c>
      <c r="Q20" s="38">
        <f ca="1">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 ca="1">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82.62</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84.04</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65.35</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 ca="1">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 ca="1">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 ca="1">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 ca="1">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 ca="1">Model!J24</f>
        <v>2023</v>
      </c>
      <c r="U4" s="109">
        <f ca="1">Model!O24</f>
        <v>2024</v>
      </c>
      <c r="V4" s="109">
        <f ca="1">Model!T24</f>
        <v>2025</v>
      </c>
      <c r="W4" s="109">
        <f ca="1">Model!Y24</f>
        <v>2026</v>
      </c>
      <c r="X4" s="109">
        <f ca="1">Model!AD24</f>
        <v>2027</v>
      </c>
      <c r="Y4" s="109">
        <f ca="1">Model!AE24</f>
        <v>2028</v>
      </c>
      <c r="Z4" s="109">
        <f ca="1">Model!AF24</f>
        <v>2029</v>
      </c>
      <c r="AA4" s="45">
        <f ca="1">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 ca="1">"Consolidated "&amp;Model!C25</f>
        <v>Consolidated Income Statement</v>
      </c>
      <c r="D6" s="110"/>
      <c r="E6" s="110"/>
      <c r="F6" s="110"/>
      <c r="G6" s="111" t="str">
        <f ca="1">Model!P25</f>
        <v>1Q25</v>
      </c>
      <c r="H6" s="111" t="str">
        <f ca="1">Model!Q25</f>
        <v>2Q25</v>
      </c>
      <c r="I6" s="111" t="str">
        <f ca="1">Model!R25</f>
        <v>3Q25</v>
      </c>
      <c r="J6" s="111" t="str">
        <f ca="1">Model!S25</f>
        <v>4Q25</v>
      </c>
      <c r="K6" s="111" t="str">
        <f ca="1">Model!U25</f>
        <v>1Q26</v>
      </c>
      <c r="L6" s="111" t="str">
        <f ca="1">Model!V25</f>
        <v>2Q26</v>
      </c>
      <c r="M6" s="111" t="str">
        <f ca="1">Model!W25</f>
        <v>3Q26e</v>
      </c>
      <c r="N6" s="111" t="str">
        <f ca="1">Model!X25</f>
        <v>4Q26e</v>
      </c>
      <c r="O6" s="111" t="str">
        <f ca="1">Model!Z25</f>
        <v>1Q27e</v>
      </c>
      <c r="P6" s="111" t="str">
        <f ca="1">Model!AA25</f>
        <v>2Q27e</v>
      </c>
      <c r="Q6" s="111" t="str">
        <f ca="1">Model!AB25</f>
        <v>3Q27e</v>
      </c>
      <c r="R6" s="111" t="str">
        <f ca="1">Model!AC25</f>
        <v>4Q27e</v>
      </c>
      <c r="S6" s="111"/>
      <c r="T6" s="111">
        <f ca="1">Model!J25</f>
        <v>2023</v>
      </c>
      <c r="U6" s="111">
        <f ca="1">Model!O25</f>
        <v>2024</v>
      </c>
      <c r="V6" s="111">
        <f ca="1">Model!T25</f>
        <v>2025</v>
      </c>
      <c r="W6" s="111" t="str">
        <f ca="1">Model!Y25</f>
        <v>2026e</v>
      </c>
      <c r="X6" s="111" t="str">
        <f ca="1">Model!AD25</f>
        <v>2027e</v>
      </c>
      <c r="Y6" s="111" t="str">
        <f ca="1">Model!AE25</f>
        <v>2028e</v>
      </c>
      <c r="Z6" s="111" t="str">
        <f ca="1">Model!AF25</f>
        <v>2029e</v>
      </c>
      <c r="AA6" s="111" t="str">
        <f ca="1">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 ca="1">Model!C28</f>
        <v>Revenue</v>
      </c>
      <c r="D8" s="16"/>
      <c r="E8" s="16"/>
      <c r="F8" s="16"/>
      <c r="G8" s="116">
        <f ca="1">Model!P28</f>
        <v>19675</v>
      </c>
      <c r="H8" s="116">
        <f ca="1">Model!Q28</f>
        <v>27302</v>
      </c>
      <c r="I8" s="116">
        <f ca="1">Model!R28</f>
        <v>22309</v>
      </c>
      <c r="J8" s="117">
        <f ca="1">Model!S28</f>
        <v>20311</v>
      </c>
      <c r="K8" s="116">
        <f ca="1">Model!U28</f>
        <v>24422</v>
      </c>
      <c r="L8" s="116">
        <f ca="1">Model!V28</f>
        <v>27570</v>
      </c>
      <c r="M8" s="116">
        <f ca="1">Model!W28</f>
        <v>22918</v>
      </c>
      <c r="N8" s="118">
        <f ca="1">Model!X28</f>
        <v>21772.1</v>
      </c>
      <c r="O8" s="116">
        <f ca="1">Model!Z28</f>
        <v>25691.077999999998</v>
      </c>
      <c r="P8" s="116">
        <f ca="1">Model!AA28</f>
        <v>29287.82892</v>
      </c>
      <c r="Q8" s="116">
        <f ca="1">Model!AB28</f>
        <v>25773.2894496</v>
      </c>
      <c r="R8" s="116">
        <f ca="1">Model!AC28</f>
        <v>24484.62497712</v>
      </c>
      <c r="S8" s="16"/>
      <c r="T8" s="116">
        <f ca="1">Model!J28</f>
        <v>71309</v>
      </c>
      <c r="U8" s="116">
        <f ca="1">Model!O28</f>
        <v>72148</v>
      </c>
      <c r="V8" s="117">
        <f ca="1">Model!T28</f>
        <v>89597</v>
      </c>
      <c r="W8" s="116">
        <f ca="1">Model!Y28</f>
        <v>96682.1</v>
      </c>
      <c r="X8" s="116">
        <f ca="1">Model!AD28</f>
        <v>105236.82134671998</v>
      </c>
      <c r="Y8" s="116">
        <f ca="1">Model!AE28</f>
        <v>107341.55777365438</v>
      </c>
      <c r="Z8" s="116">
        <f ca="1">Model!AF28</f>
        <v>109488.38892912747</v>
      </c>
      <c r="AA8" s="116">
        <f ca="1">Model!AG28</f>
        <v>111678.15670771002</v>
      </c>
      <c r="AB8" s="16"/>
      <c r="AC8" s="119">
        <f ca="1">IFERROR((V8/T8)^(1/(V$4-T$4))-1,"N/A")</f>
        <v>0.12091985272961936</v>
      </c>
      <c r="AD8" s="84"/>
      <c r="AE8" s="119">
        <f ca="1">IFERROR((AA8/V8)^(1/(AA$4-V$4))-1,"N/A")</f>
        <v>0.04504490866789568</v>
      </c>
    </row>
    <row r="9" ht="13.5" customHeight="1" spans="1:31" x14ac:dyDescent="0.25">
      <c r="A9" s="17"/>
      <c r="B9" s="16"/>
      <c r="C9" s="120" t="s">
        <v>107</v>
      </c>
      <c r="D9" s="16"/>
      <c r="E9" s="16"/>
      <c r="F9" s="16"/>
      <c r="G9" s="16"/>
      <c r="H9" s="121"/>
      <c r="I9" s="121"/>
      <c r="J9" s="122"/>
      <c r="K9" s="121">
        <f t="shared" ref="K9:R9" si="0" ca="1">K8/G8-1</f>
        <v>0.24127064803049558</v>
      </c>
      <c r="L9" s="121">
        <f ca="1">L8/H8-1</f>
        <v>0.00981613068639664</v>
      </c>
      <c r="M9" s="121">
        <f ca="1">M8/I8-1</f>
        <v>0.027298399748980184</v>
      </c>
      <c r="N9" s="123">
        <f ca="1">N8/J8-1</f>
        <v>0.07193638914873701</v>
      </c>
      <c r="O9" s="121">
        <f ca="1">O8/K8-1</f>
        <v>0.051964540168700335</v>
      </c>
      <c r="P9" s="121">
        <f ca="1">P8/L8-1</f>
        <v>0.062307904243743106</v>
      </c>
      <c r="Q9" s="121">
        <f ca="1">Q8/M8-1</f>
        <v>0.12458720000000012</v>
      </c>
      <c r="R9" s="121">
        <f ca="1">R8/N8-1</f>
        <v>0.1245871999999999</v>
      </c>
      <c r="S9" s="16"/>
      <c r="T9" s="121"/>
      <c r="U9" s="121">
        <f t="shared" ref="U9:AA9" si="1" ca="1">IF(ISERROR(U8/T8-1),"NA",(U8/T8-1))</f>
        <v>0.01176569577472697</v>
      </c>
      <c r="V9" s="122">
        <f ca="1">IF(ISERROR(V8/U8-1),"NA",(V8/U8-1))</f>
        <v>0.2418500859344681</v>
      </c>
      <c r="W9" s="121">
        <f ca="1">IF(ISERROR(W8/V8-1),"NA",(W8/V8-1))</f>
        <v>0.07907742446733712</v>
      </c>
      <c r="X9" s="121">
        <f ca="1">IF(ISERROR(X8/W8-1),"NA",(X8/W8-1))</f>
        <v>0.08848299061273979</v>
      </c>
      <c r="Y9" s="121">
        <f ca="1">IF(ISERROR(Y8/X8-1),"NA",(Y8/X8-1))</f>
        <v>0.020000000000000018</v>
      </c>
      <c r="Z9" s="121">
        <f ca="1">IF(ISERROR(Z8/Y8-1),"NA",(Z8/Y8-1))</f>
        <v>0.020000000000000018</v>
      </c>
      <c r="AA9" s="121">
        <f ca="1">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 ca="1">Model!C30</f>
        <v>Gross Profit</v>
      </c>
      <c r="D11" s="16"/>
      <c r="E11" s="16"/>
      <c r="F11" s="16"/>
      <c r="G11" s="116">
        <f ca="1">Model!P30</f>
        <v>6513</v>
      </c>
      <c r="H11" s="116">
        <f ca="1">Model!Q30</f>
        <v>9304</v>
      </c>
      <c r="I11" s="116">
        <f ca="1">Model!R30</f>
        <v>7300</v>
      </c>
      <c r="J11" s="117">
        <f ca="1">Model!S30</f>
        <v>6466</v>
      </c>
      <c r="K11" s="116">
        <f ca="1">Model!U30</f>
        <v>8130</v>
      </c>
      <c r="L11" s="116">
        <f ca="1">Model!V30</f>
        <v>9312</v>
      </c>
      <c r="M11" s="116">
        <f ca="1">Model!W30</f>
        <v>7587</v>
      </c>
      <c r="N11" s="118">
        <f ca="1">Model!X30</f>
        <v>2830.3729999999996</v>
      </c>
      <c r="O11" s="116">
        <f ca="1">Model!Z30</f>
        <v>3596.7509199999986</v>
      </c>
      <c r="P11" s="116">
        <f ca="1">Model!AA30</f>
        <v>4246.7351934</v>
      </c>
      <c r="Q11" s="116">
        <f ca="1">Model!AB30</f>
        <v>3092.7947339519997</v>
      </c>
      <c r="R11" s="116">
        <f ca="1">Model!AC30</f>
        <v>3305.4243719111983</v>
      </c>
      <c r="S11" s="16"/>
      <c r="T11" s="116">
        <f ca="1">Model!J30</f>
        <v>22908</v>
      </c>
      <c r="U11" s="116">
        <f ca="1">Model!O30</f>
        <v>22943</v>
      </c>
      <c r="V11" s="117">
        <f ca="1">Model!T30</f>
        <v>29583</v>
      </c>
      <c r="W11" s="116">
        <f ca="1">Model!Y30</f>
        <v>27859.373</v>
      </c>
      <c r="X11" s="116">
        <f ca="1">Model!AD30</f>
        <v>14241.705219263196</v>
      </c>
      <c r="Y11" s="116">
        <f ca="1">Model!AE30</f>
        <v>14920.476530537955</v>
      </c>
      <c r="Z11" s="116">
        <f ca="1">Model!AF30</f>
        <v>15328.374450077841</v>
      </c>
      <c r="AA11" s="116">
        <f ca="1">Model!AG30</f>
        <v>15858.298252494831</v>
      </c>
      <c r="AB11" s="16"/>
      <c r="AC11" s="119">
        <f ca="1">IFERROR((V11/T11)^(1/(V$4-T$4))-1,"N/A")</f>
        <v>0.13639030398729335</v>
      </c>
      <c r="AD11" s="84"/>
      <c r="AE11" s="119">
        <f ca="1">IFERROR((AA11/V11)^(1/(AA$4-V$4))-1,"N/A")</f>
        <v>-0.1172395373691637</v>
      </c>
    </row>
    <row r="12" ht="13.5" customHeight="1" spans="1:31" x14ac:dyDescent="0.25">
      <c r="A12" s="17"/>
      <c r="B12" s="16"/>
      <c r="C12" s="120" t="s">
        <v>108</v>
      </c>
      <c r="D12" s="16"/>
      <c r="E12" s="16"/>
      <c r="F12" s="16"/>
      <c r="G12" s="121">
        <f t="shared" ref="G12:R12" si="2" ca="1">G11/G$8</f>
        <v>0.3310292249047014</v>
      </c>
      <c r="H12" s="121">
        <f ca="1">H11/H$8</f>
        <v>0.3407808951725148</v>
      </c>
      <c r="I12" s="121">
        <f ca="1">I11/I$8</f>
        <v>0.3272221973194675</v>
      </c>
      <c r="J12" s="122">
        <f ca="1">J11/J$8</f>
        <v>0.31834966274432575</v>
      </c>
      <c r="K12" s="121">
        <f ca="1">K11/K$8</f>
        <v>0.3328965686675948</v>
      </c>
      <c r="L12" s="121">
        <f ca="1">L11/L$8</f>
        <v>0.33775843307943415</v>
      </c>
      <c r="M12" s="121">
        <f ca="1">M11/M$8</f>
        <v>0.33104982982808273</v>
      </c>
      <c r="N12" s="123">
        <f ca="1">N11/N$8</f>
        <v>0.12999999999999998</v>
      </c>
      <c r="O12" s="121">
        <f ca="1">O11/O$8</f>
        <v>0.13999999999999996</v>
      </c>
      <c r="P12" s="121">
        <f ca="1">P11/P$8</f>
        <v>0.145</v>
      </c>
      <c r="Q12" s="121">
        <f ca="1">Q11/Q$8</f>
        <v>0.11999999999999998</v>
      </c>
      <c r="R12" s="121">
        <f ca="1">R11/R$8</f>
        <v>0.13499999999999993</v>
      </c>
      <c r="S12" s="16"/>
      <c r="T12" s="121">
        <f t="shared" ref="T12:AA12" si="3" ca="1">T11/T$8</f>
        <v>0.3212497721185264</v>
      </c>
      <c r="U12" s="121">
        <f ca="1">U11/U$8</f>
        <v>0.3179991129345235</v>
      </c>
      <c r="V12" s="122">
        <f ca="1">V11/V$8</f>
        <v>0.3301784657968459</v>
      </c>
      <c r="W12" s="121">
        <f ca="1">W11/W$8</f>
        <v>0.28815440500361494</v>
      </c>
      <c r="X12" s="121">
        <f ca="1">X11/X$8</f>
        <v>0.13533005878561802</v>
      </c>
      <c r="Y12" s="121">
        <f ca="1">Y11/Y$8</f>
        <v>0.13899999999999996</v>
      </c>
      <c r="Z12" s="121">
        <f ca="1">Z11/Z$8</f>
        <v>0.13999999999999996</v>
      </c>
      <c r="AA12" s="121">
        <f ca="1">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 ca="1">K11/G11-1</f>
        <v>0.24827268539843383</v>
      </c>
      <c r="L13" s="121">
        <f ca="1">L11/H11-1</f>
        <v>0.0008598452278589797</v>
      </c>
      <c r="M13" s="121">
        <f ca="1">M11/I11-1</f>
        <v>0.039315068493150696</v>
      </c>
      <c r="N13" s="123">
        <f ca="1">N11/J11-1</f>
        <v>-0.5622683266316115</v>
      </c>
      <c r="O13" s="121">
        <f ca="1">O11/K11-1</f>
        <v>-0.5575952127921281</v>
      </c>
      <c r="P13" s="121">
        <f ca="1">P11/L11-1</f>
        <v>-0.5439502584407216</v>
      </c>
      <c r="Q13" s="121">
        <f ca="1">Q11/M11-1</f>
        <v>-0.592356038756821</v>
      </c>
      <c r="R13" s="121">
        <f ca="1">R11/N11-1</f>
        <v>0.16784055384615337</v>
      </c>
      <c r="S13" s="16"/>
      <c r="T13" s="121"/>
      <c r="U13" s="121">
        <f t="shared" ref="U13:AA13" si="5" ca="1">U11/T11-1</f>
        <v>0.0015278505325651004</v>
      </c>
      <c r="V13" s="122">
        <f ca="1">V11/U11-1</f>
        <v>0.28941289282133975</v>
      </c>
      <c r="W13" s="121">
        <f ca="1">W11/V11-1</f>
        <v>-0.05826410438427476</v>
      </c>
      <c r="X13" s="121">
        <f ca="1">X11/W11-1</f>
        <v>-0.4888002246402603</v>
      </c>
      <c r="Y13" s="121">
        <f ca="1">Y11/X11-1</f>
        <v>0.047660817354698404</v>
      </c>
      <c r="Z13" s="121">
        <f ca="1">Z11/Y11-1</f>
        <v>0.027338129496402797</v>
      </c>
      <c r="AA13" s="121">
        <f ca="1">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 ca="1">Model!C36</f>
        <v>EBIT</v>
      </c>
      <c r="D15" s="16"/>
      <c r="E15" s="16"/>
      <c r="F15" s="16"/>
      <c r="G15" s="116">
        <f ca="1">Model!P36</f>
        <v>1991</v>
      </c>
      <c r="H15" s="116">
        <f ca="1">Model!Q36</f>
        <v>3957</v>
      </c>
      <c r="I15" s="116">
        <f ca="1">Model!R36</f>
        <v>2175</v>
      </c>
      <c r="J15" s="117">
        <f ca="1">Model!S36</f>
        <v>2769</v>
      </c>
      <c r="K15" s="116">
        <f ca="1">Model!U36</f>
        <v>3245</v>
      </c>
      <c r="L15" s="116">
        <f ca="1">Model!V36</f>
        <v>4210</v>
      </c>
      <c r="M15" s="116">
        <f ca="1">Model!W36</f>
        <v>2789</v>
      </c>
      <c r="N15" s="118">
        <f ca="1">Model!X36</f>
        <v>-2290.6765000000005</v>
      </c>
      <c r="O15" s="116">
        <f ca="1">Model!Z36</f>
        <v>-2515.6105485000016</v>
      </c>
      <c r="P15" s="116">
        <f ca="1">Model!AA36</f>
        <v>-2679.87777878625</v>
      </c>
      <c r="Q15" s="116">
        <f ca="1">Model!AB36</f>
        <v>-2919.561323639691</v>
      </c>
      <c r="R15" s="116">
        <f ca="1">Model!AC36</f>
        <v>-2425.1039887192537</v>
      </c>
      <c r="S15" s="16"/>
      <c r="T15" s="116">
        <f ca="1">Model!J36</f>
        <v>4018</v>
      </c>
      <c r="U15" s="116">
        <f ca="1">Model!O36</f>
        <v>6314</v>
      </c>
      <c r="V15" s="117">
        <f ca="1">Model!T36</f>
        <v>10892</v>
      </c>
      <c r="W15" s="116">
        <f ca="1">Model!Y36</f>
        <v>7953.3234999999995</v>
      </c>
      <c r="X15" s="116">
        <f ca="1">Model!AD36</f>
        <v>-10540.153639645196</v>
      </c>
      <c r="Y15" s="116">
        <f ca="1">Model!AE36</f>
        <v>-9578.113551031161</v>
      </c>
      <c r="Z15" s="116">
        <f ca="1">Model!AF36</f>
        <v>-9246.151445858737</v>
      </c>
      <c r="AA15" s="116">
        <f ca="1">Model!AG36</f>
        <v>-8671.522881345929</v>
      </c>
      <c r="AB15" s="16"/>
      <c r="AC15" s="119">
        <f ca="1">IFERROR((V15/T15)^(1/(V$4-T$4))-1,"N/A")</f>
        <v>0.6464511513337476</v>
      </c>
      <c r="AD15" s="84"/>
      <c r="AE15" s="119">
        <f ca="1">IFERROR((AA15/V15)^(1/(AA$4-V$4))-1,"N/A")</f>
        <v>-1.9554270841029506</v>
      </c>
    </row>
    <row r="16" ht="13.5" customHeight="1" spans="1:31" x14ac:dyDescent="0.25">
      <c r="A16" s="17"/>
      <c r="B16" s="16"/>
      <c r="C16" s="120" t="s">
        <v>109</v>
      </c>
      <c r="D16" s="16"/>
      <c r="E16" s="16"/>
      <c r="F16" s="16"/>
      <c r="G16" s="121">
        <f t="shared" ref="G16:R16" si="6" ca="1">G15/G$8</f>
        <v>0.10119440914866581</v>
      </c>
      <c r="H16" s="121">
        <f ca="1">H15/H$8</f>
        <v>0.14493443703757966</v>
      </c>
      <c r="I16" s="121">
        <f ca="1">I15/I$8</f>
        <v>0.09749428481778655</v>
      </c>
      <c r="J16" s="122">
        <f ca="1">J15/J$8</f>
        <v>0.13633006745113485</v>
      </c>
      <c r="K16" s="121">
        <f ca="1">K15/K$8</f>
        <v>0.132872000655147</v>
      </c>
      <c r="L16" s="121">
        <f ca="1">L15/L$8</f>
        <v>0.15270221254987304</v>
      </c>
      <c r="M16" s="121">
        <f ca="1">M15/M$8</f>
        <v>0.1216947377607121</v>
      </c>
      <c r="N16" s="123">
        <f ca="1">N15/N$8</f>
        <v>-0.10521155515545128</v>
      </c>
      <c r="O16" s="121">
        <f ca="1">O15/O$8</f>
        <v>-0.09791767198324655</v>
      </c>
      <c r="P16" s="121">
        <f ca="1">P15/P$8</f>
        <v>-0.09150141466977164</v>
      </c>
      <c r="Q16" s="121">
        <f ca="1">Q15/Q$8</f>
        <v>-0.11327856808301211</v>
      </c>
      <c r="R16" s="121">
        <f ca="1">R15/R$8</f>
        <v>-0.09904599278058888</v>
      </c>
      <c r="S16" s="16"/>
      <c r="T16" s="121">
        <f t="shared" ref="T16:AA16" si="7" ca="1">T15/T$8</f>
        <v>0.05634632374595072</v>
      </c>
      <c r="U16" s="121">
        <f ca="1">U15/U$8</f>
        <v>0.08751455341797416</v>
      </c>
      <c r="V16" s="122">
        <f ca="1">V15/V$8</f>
        <v>0.12156657030927374</v>
      </c>
      <c r="W16" s="121">
        <f ca="1">W15/W$8</f>
        <v>0.08226262669098001</v>
      </c>
      <c r="X16" s="121">
        <f ca="1">X15/X$8</f>
        <v>-0.10015651845772622</v>
      </c>
      <c r="Y16" s="121">
        <f ca="1">Y15/Y$8</f>
        <v>-0.08923024548635708</v>
      </c>
      <c r="Z16" s="121">
        <f ca="1">Z15/Z$8</f>
        <v>-0.08444869393268568</v>
      </c>
      <c r="AA16" s="121">
        <f ca="1">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 ca="1">K15/G15-1</f>
        <v>0.6298342541436464</v>
      </c>
      <c r="L17" s="121">
        <f ca="1">L15/H15-1</f>
        <v>0.06393732625726556</v>
      </c>
      <c r="M17" s="121">
        <f ca="1">M15/I15-1</f>
        <v>0.2822988505747126</v>
      </c>
      <c r="N17" s="123">
        <f ca="1">N15/J15-1</f>
        <v>-1.8272576742506321</v>
      </c>
      <c r="O17" s="121">
        <f ca="1">O15/K15-1</f>
        <v>-1.7752266713405245</v>
      </c>
      <c r="P17" s="121">
        <f ca="1">P15/L15-1</f>
        <v>-1.6365505412793944</v>
      </c>
      <c r="Q17" s="121">
        <f ca="1">Q15/M15-1</f>
        <v>-2.0468129521834677</v>
      </c>
      <c r="R17" s="121">
        <f ca="1">R15/N15-1</f>
        <v>0.05868462383023232</v>
      </c>
      <c r="S17" s="16"/>
      <c r="T17" s="121"/>
      <c r="U17" s="121">
        <f t="shared" ref="U17:AA17" si="9" ca="1">U15/T15-1</f>
        <v>0.5714285714285714</v>
      </c>
      <c r="V17" s="122">
        <f ca="1">V15/U15-1</f>
        <v>0.7250554323725056</v>
      </c>
      <c r="W17" s="121">
        <f ca="1">W15/V15-1</f>
        <v>-0.26980136797649656</v>
      </c>
      <c r="X17" s="121">
        <f ca="1">X15/W15-1</f>
        <v>-2.3252514674708245</v>
      </c>
      <c r="Y17" s="121">
        <f ca="1">Y15/X15-1</f>
        <v>-0.09127382024067143</v>
      </c>
      <c r="Z17" s="121">
        <f ca="1">Z15/Y15-1</f>
        <v>-0.03465840151129618</v>
      </c>
      <c r="AA17" s="121">
        <f ca="1">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 ca="1">Model!C45</f>
        <v>Net Income (Loss)</v>
      </c>
      <c r="D19" s="16"/>
      <c r="E19" s="16"/>
      <c r="F19" s="16"/>
      <c r="G19" s="116">
        <f ca="1">Model!P45</f>
        <v>1337</v>
      </c>
      <c r="H19" s="116">
        <f ca="1">Model!Q45</f>
        <v>2828</v>
      </c>
      <c r="I19" s="116">
        <f ca="1">Model!R45</f>
        <v>692</v>
      </c>
      <c r="J19" s="117">
        <f ca="1">Model!S45</f>
        <v>978</v>
      </c>
      <c r="K19" s="116">
        <f ca="1">Model!U45</f>
        <v>2321</v>
      </c>
      <c r="L19" s="116">
        <f ca="1">Model!V45</f>
        <v>3018</v>
      </c>
      <c r="M19" s="116">
        <f ca="1">Model!W45</f>
        <v>1896</v>
      </c>
      <c r="N19" s="118">
        <f ca="1">Model!X45</f>
        <v>-1906.5764130000002</v>
      </c>
      <c r="O19" s="116">
        <f ca="1">Model!Z45</f>
        <v>-2096.841916181371</v>
      </c>
      <c r="P19" s="116">
        <f ca="1">Model!AA45</f>
        <v>-2241.000637520289</v>
      </c>
      <c r="Q19" s="116">
        <f ca="1">Model!AB45</f>
        <v>-2419.8446316089044</v>
      </c>
      <c r="R19" s="116">
        <f ca="1">Model!AC45</f>
        <v>-2072.2741060988806</v>
      </c>
      <c r="S19" s="16"/>
      <c r="T19" s="116">
        <f ca="1">Model!J45</f>
        <v>2314</v>
      </c>
      <c r="U19" s="116">
        <f ca="1">Model!O45</f>
        <v>4281</v>
      </c>
      <c r="V19" s="117">
        <f ca="1">Model!T45</f>
        <v>5835</v>
      </c>
      <c r="W19" s="116">
        <f ca="1">Model!Y45</f>
        <v>6994.423586999999</v>
      </c>
      <c r="X19" s="116">
        <f ca="1">Model!AD45</f>
        <v>-8829.961291409445</v>
      </c>
      <c r="Y19" s="116">
        <f ca="1">Model!AE45</f>
        <v>-8530.981699170086</v>
      </c>
      <c r="Z19" s="116">
        <f ca="1">Model!AF45</f>
        <v>-8740.001666321497</v>
      </c>
      <c r="AA19" s="116">
        <f ca="1">Model!AG45</f>
        <v>-8813.805117377298</v>
      </c>
      <c r="AB19" s="16"/>
      <c r="AC19" s="119">
        <f ca="1">IFERROR((V19/T19)^(1/(V$4-T$4))-1,"N/A")</f>
        <v>0.5879570541665378</v>
      </c>
      <c r="AD19" s="84"/>
      <c r="AE19" s="119" t="str">
        <f ca="1">IFERROR((AA19/V19)^(1/(AA$4-V$4))-1,"N/A")</f>
        <v>N/A</v>
      </c>
    </row>
    <row r="20" ht="13.5" customHeight="1" spans="1:31" x14ac:dyDescent="0.25">
      <c r="A20" s="17"/>
      <c r="B20" s="16"/>
      <c r="C20" s="120" t="s">
        <v>109</v>
      </c>
      <c r="D20" s="16"/>
      <c r="E20" s="16"/>
      <c r="F20" s="16"/>
      <c r="G20" s="121">
        <f t="shared" ref="G20:R20" si="10" ca="1">G19/G$8</f>
        <v>0.06795425667090216</v>
      </c>
      <c r="H20" s="121">
        <f ca="1">H19/H$8</f>
        <v>0.10358215515346861</v>
      </c>
      <c r="I20" s="121">
        <f ca="1">I19/I$8</f>
        <v>0.03101887130754404</v>
      </c>
      <c r="J20" s="122">
        <f ca="1">J19/J$8</f>
        <v>0.04815124809216681</v>
      </c>
      <c r="K20" s="121">
        <f ca="1">K19/K$8</f>
        <v>0.09503726148554582</v>
      </c>
      <c r="L20" s="121">
        <f ca="1">L19/L$8</f>
        <v>0.10946681175190424</v>
      </c>
      <c r="M20" s="121">
        <f ca="1">M19/M$8</f>
        <v>0.08272973208831486</v>
      </c>
      <c r="N20" s="123">
        <f ca="1">N19/N$8</f>
        <v>-0.08756970678069641</v>
      </c>
      <c r="O20" s="121">
        <f ca="1">O19/O$8</f>
        <v>-0.08161751391597391</v>
      </c>
      <c r="P20" s="121">
        <f ca="1">P19/P$8</f>
        <v>-0.07651644796347332</v>
      </c>
      <c r="Q20" s="121">
        <f ca="1">Q19/Q$8</f>
        <v>-0.0938896308265556</v>
      </c>
      <c r="R20" s="121">
        <f ca="1">R19/R$8</f>
        <v>-0.08463572989316137</v>
      </c>
      <c r="S20" s="16"/>
      <c r="T20" s="121">
        <f t="shared" ref="T20:AA20" si="11" ca="1">T19/T$8</f>
        <v>0.03245032183875808</v>
      </c>
      <c r="U20" s="121">
        <f ca="1">U19/U$8</f>
        <v>0.059336364140378114</v>
      </c>
      <c r="V20" s="122">
        <f ca="1">V19/V$8</f>
        <v>0.06512494837996807</v>
      </c>
      <c r="W20" s="121">
        <f ca="1">W19/W$8</f>
        <v>0.08254750663561979</v>
      </c>
      <c r="X20" s="121">
        <f ca="1">X19/X$8</f>
        <v>-0.08390562522140124</v>
      </c>
      <c r="Y20" s="121">
        <f ca="1">Y19/Y$8</f>
        <v>-0.07947510615747658</v>
      </c>
      <c r="Z20" s="121">
        <f ca="1">Z19/Z$8</f>
        <v>-0.07982583132151991</v>
      </c>
      <c r="AA20" s="121">
        <f ca="1">AA19/AA$8</f>
        <v>-0.07892147737041591</v>
      </c>
      <c r="AB20" s="16"/>
      <c r="AC20" s="126"/>
      <c r="AD20" s="84"/>
      <c r="AE20" s="126"/>
    </row>
    <row r="21" ht="13.5" customHeight="1" spans="1:31" x14ac:dyDescent="0.25">
      <c r="A21" s="17"/>
      <c r="B21" s="16"/>
      <c r="C21" s="120" t="s">
        <v>107</v>
      </c>
      <c r="D21" s="16"/>
      <c r="E21" s="16"/>
      <c r="F21" s="16"/>
      <c r="G21" s="16"/>
      <c r="H21" s="121"/>
      <c r="I21" s="121"/>
      <c r="J21" s="122"/>
      <c r="K21" s="121">
        <f t="shared" ref="K21:R21" si="12" ca="1">K19/G19-1</f>
        <v>0.7359760658189978</v>
      </c>
      <c r="L21" s="121">
        <f ca="1">L19/H19-1</f>
        <v>0.06718528995756712</v>
      </c>
      <c r="M21" s="121">
        <f ca="1">M19/I19-1</f>
        <v>1.739884393063584</v>
      </c>
      <c r="N21" s="123">
        <f ca="1">N19/J19-1</f>
        <v>-0.4830324259761387</v>
      </c>
      <c r="O21" s="121">
        <f ca="1">O19/K19-1</f>
        <v>-1.5259197181292627</v>
      </c>
      <c r="P21" s="121">
        <f ca="1">P19/L19-1</f>
        <v>-1.742544942849665</v>
      </c>
      <c r="Q21" s="121">
        <f ca="1">Q19/M19-1</f>
        <v>-2.276289362662924</v>
      </c>
      <c r="R21" s="121">
        <f ca="1">R19/N19-1</f>
        <v>0.08690849837912062</v>
      </c>
      <c r="S21" s="16"/>
      <c r="T21" s="121"/>
      <c r="U21" s="121">
        <f t="shared" ref="U21:AA21" si="13" ca="1">U19/T19-1</f>
        <v>0.8500432152117545</v>
      </c>
      <c r="V21" s="122">
        <f ca="1">V19/U19-1</f>
        <v>0.362999299229152</v>
      </c>
      <c r="W21" s="121">
        <f ca="1">W19/V19-1</f>
        <v>-0.04643168548057264</v>
      </c>
      <c r="X21" s="121">
        <f ca="1">X19/W19-1</f>
        <v>-2.262428730770756</v>
      </c>
      <c r="Y21" s="121">
        <f ca="1">Y19/X19-1</f>
        <v>-0.03385967190255201</v>
      </c>
      <c r="Z21" s="121">
        <f ca="1">Z19/Y19-1</f>
        <v>0.024501279515315888</v>
      </c>
      <c r="AA21" s="121">
        <f ca="1">AA19/Z19-1</f>
        <v>0.008444329174466025</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 ca="1">Model!C57</f>
        <v>Adj. EPS (Diluted)</v>
      </c>
      <c r="D23" s="16"/>
      <c r="E23" s="16"/>
      <c r="F23" s="16"/>
      <c r="G23" s="127">
        <f ca="1">Model!P57</f>
        <v>1.7785185185185184</v>
      </c>
      <c r="H23" s="127">
        <f ca="1">Model!Q57</f>
        <v>3.7656440903054453</v>
      </c>
      <c r="I23" s="127">
        <f ca="1">Model!R57</f>
        <v>1.987771883289125</v>
      </c>
      <c r="J23" s="128">
        <f ca="1">Model!S57</f>
        <v>1.304</v>
      </c>
      <c r="K23" s="127">
        <f ca="1">Model!U57</f>
        <v>3.223611111111111</v>
      </c>
      <c r="L23" s="127">
        <f ca="1">Model!V57</f>
        <v>4.2687411598302685</v>
      </c>
      <c r="M23" s="127">
        <f ca="1">Model!W57</f>
        <v>2.729768786127168</v>
      </c>
      <c r="N23" s="129">
        <f ca="1">Model!X57</f>
        <v>-2.8259180421336656</v>
      </c>
      <c r="O23" s="127">
        <f ca="1">Model!Z57</f>
        <v>-3.1178377978305263</v>
      </c>
      <c r="P23" s="127">
        <f ca="1">Model!AA57</f>
        <v>-3.342848579485971</v>
      </c>
      <c r="Q23" s="127">
        <f ca="1">Model!AB57</f>
        <v>-3.621208634414937</v>
      </c>
      <c r="R23" s="127">
        <f ca="1">Model!AC57</f>
        <v>-3.111064939748635</v>
      </c>
      <c r="S23" s="127"/>
      <c r="T23" s="127">
        <f ca="1">Model!J57</f>
        <v>5.194244694132335</v>
      </c>
      <c r="U23" s="127">
        <f ca="1">Model!O57</f>
        <v>5.579900124843945</v>
      </c>
      <c r="V23" s="128">
        <f ca="1">Model!T57</f>
        <v>8.875826666666669</v>
      </c>
      <c r="W23" s="127">
        <f ca="1">Model!Y57</f>
        <v>9.94449740655666</v>
      </c>
      <c r="X23" s="127">
        <f ca="1">Model!AD57</f>
        <v>-13.192546610872483</v>
      </c>
      <c r="Y23" s="127">
        <f ca="1">Model!AE57</f>
        <v>-12.953342858286467</v>
      </c>
      <c r="Z23" s="127">
        <f ca="1">Model!AF57</f>
        <v>-13.53512462150213</v>
      </c>
      <c r="AA23" s="127">
        <f ca="1">Model!AG57</f>
        <v>-13.926901925615441</v>
      </c>
      <c r="AB23" s="16"/>
      <c r="AC23" s="119">
        <f ca="1">IFERROR((V23/T23)^(1/(V$4-T$4))-1,"N/A")</f>
        <v>0.30720350543331</v>
      </c>
      <c r="AD23" s="84"/>
      <c r="AE23" s="119" t="str">
        <f ca="1">IFERROR((AA23/V23)^(1/(AA$4-V$4))-1,"N/A")</f>
        <v>N/A</v>
      </c>
    </row>
    <row r="24" ht="13.5" customHeight="1" spans="1:31" x14ac:dyDescent="0.25">
      <c r="A24" s="17"/>
      <c r="B24" s="16"/>
      <c r="C24" s="120" t="s">
        <v>107</v>
      </c>
      <c r="D24" s="16"/>
      <c r="E24" s="16"/>
      <c r="F24" s="16"/>
      <c r="G24" s="16"/>
      <c r="H24" s="121"/>
      <c r="I24" s="121"/>
      <c r="J24" s="122"/>
      <c r="K24" s="121">
        <f t="shared" ref="K24:R24" si="14" ca="1">K23/G23-1</f>
        <v>0.8125260308204916</v>
      </c>
      <c r="L24" s="121">
        <f ca="1">L23/H23-1</f>
        <v>0.133601863973293</v>
      </c>
      <c r="M24" s="121">
        <f ca="1">M23/I23-1</f>
        <v>0.3732807114719201</v>
      </c>
      <c r="N24" s="123">
        <f ca="1">N23/J23-1</f>
        <v>-3.16711506298594</v>
      </c>
      <c r="O24" s="121">
        <f ca="1">O23/K23-1</f>
        <v>-1.9671879424549674</v>
      </c>
      <c r="P24" s="121">
        <f ca="1">P23/L23-1</f>
        <v>-1.7830993855853485</v>
      </c>
      <c r="Q24" s="121">
        <f ca="1">Q23/M23-1</f>
        <v>-2.326562400749146</v>
      </c>
      <c r="R24" s="121">
        <f ca="1">R23/N23-1</f>
        <v>0.10090416401449276</v>
      </c>
      <c r="S24" s="16"/>
      <c r="T24" s="121"/>
      <c r="U24" s="121">
        <f t="shared" ref="U24:AA24" si="15" ca="1">IF(ISERROR(U23/T23-1),"NA",(U23/T23-1))</f>
        <v>0.07424668136009549</v>
      </c>
      <c r="V24" s="122">
        <f ca="1">IF(ISERROR(V23/U23-1),"NA",(V23/U23-1))</f>
        <v>0.5906784114554204</v>
      </c>
      <c r="W24" s="121" t="str">
        <f ca="1">IF(ISERROR(W23/V23-1),"NA",(W23/V23-1))</f>
        <v>NA</v>
      </c>
      <c r="X24" s="121" t="str">
        <f ca="1">IF(ISERROR(X23/W23-1),"NA",(X23/W23-1))</f>
        <v>NA</v>
      </c>
      <c r="Y24" s="121" t="str">
        <f ca="1">IF(ISERROR(Y23/X23-1),"NA",(Y23/X23-1))</f>
        <v>NA</v>
      </c>
      <c r="Z24" s="121" t="str">
        <f ca="1">IF(ISERROR(Z23/Y23-1),"NA",(Z23/Y23-1))</f>
        <v>NA</v>
      </c>
      <c r="AA24" s="121" t="str">
        <f ca="1">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 ca="1">Model!C61</f>
        <v>EBITDA</v>
      </c>
      <c r="D27" s="16"/>
      <c r="E27" s="16"/>
      <c r="F27" s="16"/>
      <c r="G27" s="116">
        <f ca="1">Model!P61</f>
        <v>2324.56</v>
      </c>
      <c r="H27" s="116">
        <f ca="1">Model!Q61</f>
        <v>4291.530000000001</v>
      </c>
      <c r="I27" s="116">
        <f ca="1">Model!R61</f>
        <v>3336.78</v>
      </c>
      <c r="J27" s="117">
        <f ca="1">Model!S61</f>
        <v>3159</v>
      </c>
      <c r="K27" s="116">
        <f ca="1">Model!U61</f>
        <v>3636</v>
      </c>
      <c r="L27" s="116">
        <f ca="1">Model!V61</f>
        <v>4619</v>
      </c>
      <c r="M27" s="116">
        <f ca="1">Model!W61</f>
        <v>3207</v>
      </c>
      <c r="N27" s="118">
        <f ca="1">Model!X61</f>
        <v>-1959.4890000000005</v>
      </c>
      <c r="O27" s="116">
        <f ca="1">Model!Z61</f>
        <v>-2183.7416300000014</v>
      </c>
      <c r="P27" s="116">
        <f ca="1">Model!AA61</f>
        <v>-2343.0263136</v>
      </c>
      <c r="Q27" s="116">
        <f ca="1">Model!AB61</f>
        <v>-2577.3289449600006</v>
      </c>
      <c r="R27" s="116">
        <f ca="1">Model!AC61</f>
        <v>-2081.193123055202</v>
      </c>
      <c r="S27" s="16"/>
      <c r="T27" s="116">
        <f ca="1">Model!J61</f>
        <v>7341.59</v>
      </c>
      <c r="U27" s="116">
        <f ca="1">Model!O61</f>
        <v>7764.5</v>
      </c>
      <c r="V27" s="117">
        <f ca="1">Model!T61</f>
        <v>13111.87</v>
      </c>
      <c r="W27" s="116">
        <f ca="1">Model!Y61</f>
        <v>10588.510999999999</v>
      </c>
      <c r="X27" s="116">
        <f ca="1">Model!AD61</f>
        <v>-9185.290011615205</v>
      </c>
      <c r="Y27" s="116">
        <f ca="1">Model!AE61</f>
        <v>-8157.958390797736</v>
      </c>
      <c r="Z27" s="116">
        <f ca="1">Model!AF61</f>
        <v>-7773.6756139680565</v>
      </c>
      <c r="AA27" s="116">
        <f ca="1">Model!AG61</f>
        <v>-7147.402029293433</v>
      </c>
      <c r="AB27" s="16"/>
      <c r="AC27" s="119">
        <f ca="1">IFERROR((V27/T27)^(1/(V$4-T$4))-1,"N/A")</f>
        <v>0.3364024211504246</v>
      </c>
      <c r="AD27" s="84"/>
      <c r="AE27" s="119" t="str">
        <f ca="1">IFERROR((AA27/V27)^(1/(AA$4-V$4))-1,"N/A")</f>
        <v>N/A</v>
      </c>
    </row>
    <row r="28" ht="13.5" customHeight="1" spans="1:31" x14ac:dyDescent="0.25">
      <c r="A28" s="17"/>
      <c r="B28" s="16"/>
      <c r="C28" s="120" t="s">
        <v>109</v>
      </c>
      <c r="D28" s="16"/>
      <c r="E28" s="16"/>
      <c r="F28" s="16"/>
      <c r="G28" s="121">
        <f t="shared" ref="G28:R28" si="16" ca="1">G27/G$8</f>
        <v>0.11814790343074968</v>
      </c>
      <c r="H28" s="121">
        <f ca="1">H27/H$8</f>
        <v>0.15718738553952094</v>
      </c>
      <c r="I28" s="121">
        <f ca="1">I27/I$8</f>
        <v>0.14957102514680176</v>
      </c>
      <c r="J28" s="122">
        <f ca="1">J27/J$8</f>
        <v>0.1555314854019989</v>
      </c>
      <c r="K28" s="121">
        <f ca="1">K27/K$8</f>
        <v>0.14888215543362543</v>
      </c>
      <c r="L28" s="121">
        <f ca="1">L27/L$8</f>
        <v>0.16753717809212912</v>
      </c>
      <c r="M28" s="121">
        <f ca="1">M27/M$8</f>
        <v>0.13993367658608954</v>
      </c>
      <c r="N28" s="123">
        <f ca="1">N27/N$8</f>
        <v>-0.09000000000000002</v>
      </c>
      <c r="O28" s="121">
        <f ca="1">O27/O$8</f>
        <v>-0.08500000000000006</v>
      </c>
      <c r="P28" s="121">
        <f ca="1">P27/P$8</f>
        <v>-0.08</v>
      </c>
      <c r="Q28" s="121">
        <f ca="1">Q27/Q$8</f>
        <v>-0.10000000000000002</v>
      </c>
      <c r="R28" s="121">
        <f ca="1">R27/R$8</f>
        <v>-0.08500000000000008</v>
      </c>
      <c r="S28" s="16"/>
      <c r="T28" s="121">
        <f t="shared" ref="T28:AA28" si="17" ca="1">T27/T$8</f>
        <v>0.10295460601046151</v>
      </c>
      <c r="U28" s="121">
        <f ca="1">U27/U$8</f>
        <v>0.10761906081942674</v>
      </c>
      <c r="V28" s="122">
        <f ca="1">V27/V$8</f>
        <v>0.14634273468977757</v>
      </c>
      <c r="W28" s="121">
        <f ca="1">W27/W$8</f>
        <v>0.12496457658903766</v>
      </c>
      <c r="X28" s="121">
        <f ca="1">X27/X$8</f>
        <v>-0.08728209284612236</v>
      </c>
      <c r="Y28" s="121">
        <f ca="1">Y27/Y$8</f>
        <v>-0.07600000000000003</v>
      </c>
      <c r="Z28" s="121">
        <f ca="1">Z27/Z$8</f>
        <v>-0.07100000000000006</v>
      </c>
      <c r="AA28" s="121">
        <f ca="1">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 ca="1">K27/G27-1</f>
        <v>0.5641669821385553</v>
      </c>
      <c r="L29" s="121">
        <f ca="1">L27/H27-1</f>
        <v>0.07630611926282693</v>
      </c>
      <c r="M29" s="121">
        <f ca="1">M27/I27-1</f>
        <v>-0.0388937838275224</v>
      </c>
      <c r="N29" s="123">
        <f ca="1">N27/J27-1</f>
        <v>0.19190328467153317</v>
      </c>
      <c r="O29" s="121">
        <f ca="1">O27/K27-1</f>
        <v>-1.4624611668784415</v>
      </c>
      <c r="P29" s="121">
        <f ca="1">P27/L27-1</f>
        <v>-1.5072583489066897</v>
      </c>
      <c r="Q29" s="121">
        <f ca="1">Q27/M27-1</f>
        <v>-1.8036572949672594</v>
      </c>
      <c r="R29" s="121">
        <f ca="1">R27/N27-1</f>
        <v>0.06211013333333404</v>
      </c>
      <c r="S29" s="16"/>
      <c r="T29" s="121"/>
      <c r="U29" s="121">
        <f t="shared" ref="U29:AA29" si="19" ca="1">U27/T27-1</f>
        <v>0.05760468781285799</v>
      </c>
      <c r="V29" s="122">
        <f ca="1">V27/U27-1</f>
        <v>0.688694700238264</v>
      </c>
      <c r="W29" s="121">
        <f ca="1">W27/V27-1</f>
        <v>-0.12128539419087148</v>
      </c>
      <c r="X29" s="121">
        <f ca="1">X27/W27-1</f>
        <v>-1.8674770240702594</v>
      </c>
      <c r="Y29" s="121">
        <f ca="1">Y27/X27-1</f>
        <v>-0.11184531130953546</v>
      </c>
      <c r="Z29" s="121">
        <f ca="1">Z27/Y27-1</f>
        <v>-0.04710526315789432</v>
      </c>
      <c r="AA29" s="121">
        <f ca="1">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 ca="1">G$5</f>
        <v>Quarterly</v>
      </c>
      <c r="H31" s="112"/>
      <c r="I31" s="112"/>
      <c r="J31" s="112"/>
      <c r="K31" s="112"/>
      <c r="L31" s="112"/>
      <c r="M31" s="112"/>
      <c r="N31" s="112"/>
      <c r="O31" s="112"/>
      <c r="P31" s="112"/>
      <c r="Q31" s="112"/>
      <c r="R31" s="112"/>
      <c r="S31" s="112"/>
      <c r="T31" s="113" t="str">
        <f ca="1">T$5</f>
        <v>Annuals</v>
      </c>
      <c r="U31" s="114"/>
      <c r="V31" s="114"/>
      <c r="W31" s="114"/>
      <c r="X31" s="114"/>
      <c r="Y31" s="114"/>
      <c r="Z31" s="114"/>
      <c r="AA31" s="114"/>
      <c r="AB31" s="16"/>
      <c r="AC31" s="16"/>
      <c r="AD31" s="16"/>
      <c r="AE31" s="16"/>
    </row>
    <row r="32" ht="13.5" customHeight="1" spans="1:31" x14ac:dyDescent="0.25">
      <c r="A32" s="17" t="s">
        <v>1</v>
      </c>
      <c r="B32" s="16"/>
      <c r="C32" s="110" t="str">
        <f ca="1">"Consolidated "&amp;Model!C118</f>
        <v>Consolidated Balance Sheet</v>
      </c>
      <c r="D32" s="110"/>
      <c r="E32" s="110"/>
      <c r="F32" s="110"/>
      <c r="G32" s="111" t="str">
        <f t="shared" ref="G32:R32" si="20" ca="1">G$6</f>
        <v>1Q25</v>
      </c>
      <c r="H32" s="111" t="str">
        <f ca="1">H$6</f>
        <v>2Q25</v>
      </c>
      <c r="I32" s="111" t="str">
        <f ca="1">I$6</f>
        <v>3Q25</v>
      </c>
      <c r="J32" s="111" t="str">
        <f ca="1">J$6</f>
        <v>4Q25</v>
      </c>
      <c r="K32" s="111" t="str">
        <f ca="1">K$6</f>
        <v>1Q26</v>
      </c>
      <c r="L32" s="111" t="str">
        <f ca="1">L$6</f>
        <v>2Q26</v>
      </c>
      <c r="M32" s="111" t="str">
        <f ca="1">M$6</f>
        <v>3Q26e</v>
      </c>
      <c r="N32" s="111" t="str">
        <f ca="1">N$6</f>
        <v>4Q26e</v>
      </c>
      <c r="O32" s="111" t="str">
        <f ca="1">O$6</f>
        <v>1Q27e</v>
      </c>
      <c r="P32" s="111" t="str">
        <f ca="1">P$6</f>
        <v>2Q27e</v>
      </c>
      <c r="Q32" s="111" t="str">
        <f ca="1">Q$6</f>
        <v>3Q27e</v>
      </c>
      <c r="R32" s="111" t="str">
        <f ca="1">R$6</f>
        <v>4Q27e</v>
      </c>
      <c r="S32" s="111"/>
      <c r="T32" s="111">
        <f t="shared" ref="T32:AA32" si="21" ca="1">T$6</f>
        <v>2023</v>
      </c>
      <c r="U32" s="111">
        <f ca="1">U$6</f>
        <v>2024</v>
      </c>
      <c r="V32" s="111">
        <f ca="1">V$6</f>
        <v>2025</v>
      </c>
      <c r="W32" s="111" t="str">
        <f ca="1">W$6</f>
        <v>2026e</v>
      </c>
      <c r="X32" s="111" t="str">
        <f ca="1">X$6</f>
        <v>2027e</v>
      </c>
      <c r="Y32" s="111" t="str">
        <f ca="1">Y$6</f>
        <v>2028e</v>
      </c>
      <c r="Z32" s="111" t="str">
        <f ca="1">Z$6</f>
        <v>2029e</v>
      </c>
      <c r="AA32" s="111" t="str">
        <f ca="1">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 ca="1">Model!C120</f>
        <v>Cash &amp; Cash Equivalents</v>
      </c>
      <c r="D34" s="16"/>
      <c r="E34" s="16"/>
      <c r="F34" s="16"/>
      <c r="G34" s="116">
        <f ca="1">Model!P120</f>
        <v>6156</v>
      </c>
      <c r="H34" s="116">
        <f ca="1">Model!Q120</f>
        <v>12726</v>
      </c>
      <c r="I34" s="116">
        <f ca="1">Model!R120</f>
        <v>10101</v>
      </c>
      <c r="J34" s="117">
        <f ca="1">Model!S120</f>
        <v>5196</v>
      </c>
      <c r="K34" s="116">
        <f ca="1">Model!U120</f>
        <v>7146</v>
      </c>
      <c r="L34" s="116">
        <f ca="1">Model!V120</f>
        <v>6255</v>
      </c>
      <c r="M34" s="116">
        <f ca="1">Model!W120</f>
        <v>6673</v>
      </c>
      <c r="N34" s="118">
        <f ca="1">Model!X120</f>
        <v>2432.4998565217375</v>
      </c>
      <c r="O34" s="116">
        <f ca="1">Model!Z120</f>
        <v>16.041032457944766</v>
      </c>
      <c r="P34" s="116">
        <f ca="1">Model!AA120</f>
        <v>1645.8511854135822</v>
      </c>
      <c r="Q34" s="116">
        <f ca="1">Model!AB120</f>
        <v>1217.7828427801232</v>
      </c>
      <c r="R34" s="116">
        <f ca="1">Model!AC120</f>
        <v>15.287745573719121</v>
      </c>
      <c r="S34" s="16"/>
      <c r="T34" s="116">
        <f ca="1">Model!J120</f>
        <v>729</v>
      </c>
      <c r="U34" s="116">
        <f ca="1">Model!O120</f>
        <v>876</v>
      </c>
      <c r="V34" s="117">
        <f ca="1">Model!T120</f>
        <v>5196</v>
      </c>
      <c r="W34" s="116">
        <f ca="1">Model!Y120</f>
        <v>2432.4998565217375</v>
      </c>
      <c r="X34" s="116">
        <f ca="1">Model!AD120</f>
        <v>15.287745573719121</v>
      </c>
      <c r="Y34" s="116">
        <f ca="1">Model!AE120</f>
        <v>67.02207717144074</v>
      </c>
      <c r="Z34" s="116">
        <f ca="1">Model!AF120</f>
        <v>68.36251871486797</v>
      </c>
      <c r="AA34" s="116">
        <f ca="1">Model!AG120</f>
        <v>69.72976908916462</v>
      </c>
      <c r="AB34" s="16"/>
      <c r="AC34" s="16"/>
      <c r="AD34" s="16"/>
      <c r="AE34" s="16"/>
    </row>
    <row r="35" ht="13.5" customHeight="1" spans="1:31" x14ac:dyDescent="0.25">
      <c r="A35" s="17"/>
      <c r="B35" s="16"/>
      <c r="C35" s="16" t="str">
        <f ca="1">Model!C121</f>
        <v>Accounts Receivable</v>
      </c>
      <c r="D35" s="16"/>
      <c r="E35" s="16"/>
      <c r="F35" s="16"/>
      <c r="G35" s="136">
        <f ca="1">Model!P121</f>
        <v>4091</v>
      </c>
      <c r="H35" s="136">
        <f ca="1">Model!Q121</f>
        <v>4168</v>
      </c>
      <c r="I35" s="136">
        <f ca="1">Model!R121</f>
        <v>3946</v>
      </c>
      <c r="J35" s="137">
        <f ca="1">Model!S121</f>
        <v>3038</v>
      </c>
      <c r="K35" s="136">
        <f ca="1">Model!U121</f>
        <v>3675</v>
      </c>
      <c r="L35" s="136">
        <f ca="1">Model!V121</f>
        <v>1e-12</v>
      </c>
      <c r="M35" s="136">
        <f ca="1">Model!W121</f>
        <v>1e-12</v>
      </c>
      <c r="N35" s="138">
        <f ca="1">Model!X121</f>
        <v>1e-12</v>
      </c>
      <c r="O35" s="136">
        <f ca="1">Model!Z121</f>
        <v>1e-12</v>
      </c>
      <c r="P35" s="136">
        <f ca="1">Model!AA121</f>
        <v>1e-12</v>
      </c>
      <c r="Q35" s="136">
        <f ca="1">Model!AB121</f>
        <v>1e-12</v>
      </c>
      <c r="R35" s="136">
        <f ca="1">Model!AC121</f>
        <v>1e-12</v>
      </c>
      <c r="S35" s="16"/>
      <c r="T35" s="136">
        <f ca="1">Model!J121</f>
        <v>3410</v>
      </c>
      <c r="U35" s="136">
        <f ca="1">Model!O121</f>
        <v>3569</v>
      </c>
      <c r="V35" s="137">
        <f ca="1">Model!T121</f>
        <v>3038</v>
      </c>
      <c r="W35" s="136">
        <f ca="1">Model!Y121</f>
        <v>1e-12</v>
      </c>
      <c r="X35" s="136">
        <f ca="1">Model!AD121</f>
        <v>1e-12</v>
      </c>
      <c r="Y35" s="136">
        <f ca="1">Model!AE121</f>
        <v>1e-12</v>
      </c>
      <c r="Z35" s="136">
        <f ca="1">Model!AF121</f>
        <v>1e-12</v>
      </c>
      <c r="AA35" s="136">
        <f ca="1">Model!AG121</f>
        <v>1e-12</v>
      </c>
      <c r="AB35" s="16"/>
      <c r="AC35" s="16"/>
      <c r="AD35" s="16"/>
      <c r="AE35" s="16"/>
    </row>
    <row r="36" ht="13.5" customHeight="1" spans="1:31" x14ac:dyDescent="0.25">
      <c r="A36" s="17"/>
      <c r="B36" s="16"/>
      <c r="C36" s="16" t="str">
        <f ca="1">Model!C122</f>
        <v>Inventory</v>
      </c>
      <c r="D36" s="16"/>
      <c r="E36" s="16"/>
      <c r="F36" s="16"/>
      <c r="G36" s="136">
        <f ca="1">Model!P122</f>
        <v>14283</v>
      </c>
      <c r="H36" s="136">
        <f ca="1">Model!Q122</f>
        <v>13831</v>
      </c>
      <c r="I36" s="136">
        <f ca="1">Model!R122</f>
        <v>15712</v>
      </c>
      <c r="J36" s="137">
        <f ca="1">Model!S122</f>
        <v>16193</v>
      </c>
      <c r="K36" s="136">
        <f ca="1">Model!U122</f>
        <v>18382</v>
      </c>
      <c r="L36" s="136">
        <f ca="1">Model!V122</f>
        <v>17322</v>
      </c>
      <c r="M36" s="136">
        <f ca="1">Model!W122</f>
        <v>16685</v>
      </c>
      <c r="N36" s="138">
        <f ca="1">Model!X122</f>
        <v>18529.950326086957</v>
      </c>
      <c r="O36" s="136">
        <f ca="1">Model!Z122</f>
        <v>23065.506292307695</v>
      </c>
      <c r="P36" s="136">
        <f ca="1">Model!AA122</f>
        <v>22014.14833107692</v>
      </c>
      <c r="Q36" s="136">
        <f ca="1">Model!AB122</f>
        <v>20954.80490032696</v>
      </c>
      <c r="R36" s="136">
        <f ca="1">Model!AC122</f>
        <v>20718.783200747737</v>
      </c>
      <c r="S36" s="16"/>
      <c r="T36" s="136">
        <f ca="1">Model!J122</f>
        <v>12561</v>
      </c>
      <c r="U36" s="136">
        <f ca="1">Model!O122</f>
        <v>13179</v>
      </c>
      <c r="V36" s="137">
        <f ca="1">Model!T122</f>
        <v>16193</v>
      </c>
      <c r="W36" s="136">
        <f ca="1">Model!Y122</f>
        <v>18529.950326086957</v>
      </c>
      <c r="X36" s="136">
        <f ca="1">Model!AD122</f>
        <v>20718.783200747737</v>
      </c>
      <c r="Y36" s="136">
        <f ca="1">Model!AE122</f>
        <v>21269.509108004873</v>
      </c>
      <c r="Z36" s="136">
        <f ca="1">Model!AF122</f>
        <v>21669.70196230183</v>
      </c>
      <c r="AA36" s="136">
        <f ca="1">Model!AG122</f>
        <v>22051.69345270706</v>
      </c>
      <c r="AB36" s="16"/>
      <c r="AC36" s="16"/>
      <c r="AD36" s="16"/>
      <c r="AE36" s="16"/>
    </row>
    <row r="37" ht="13.5" customHeight="1" spans="1:31" x14ac:dyDescent="0.25">
      <c r="A37" s="17"/>
      <c r="B37" s="16"/>
      <c r="C37" s="16" t="str">
        <f ca="1">Model!C123</f>
        <v>Prepaid &amp; Other Current Assets</v>
      </c>
      <c r="D37" s="16"/>
      <c r="E37" s="16"/>
      <c r="F37" s="16"/>
      <c r="G37" s="136">
        <f ca="1">Model!P123</f>
        <v>1487</v>
      </c>
      <c r="H37" s="136">
        <f ca="1">Model!Q123</f>
        <v>1160</v>
      </c>
      <c r="I37" s="136">
        <f ca="1">Model!R123</f>
        <v>1103</v>
      </c>
      <c r="J37" s="137">
        <f ca="1">Model!S123</f>
        <v>937</v>
      </c>
      <c r="K37" s="136">
        <f ca="1">Model!U123</f>
        <v>1288</v>
      </c>
      <c r="L37" s="136">
        <f ca="1">Model!V123</f>
        <v>1506</v>
      </c>
      <c r="M37" s="136">
        <f ca="1">Model!W123</f>
        <v>1491</v>
      </c>
      <c r="N37" s="138">
        <f ca="1">Model!X123</f>
        <v>1e-12</v>
      </c>
      <c r="O37" s="136">
        <f ca="1">Model!Z123</f>
        <v>1849.7576159999996</v>
      </c>
      <c r="P37" s="136">
        <f ca="1">Model!AA123</f>
        <v>2108.72368224</v>
      </c>
      <c r="Q37" s="136">
        <f ca="1">Model!AB123</f>
        <v>1855.6768403712</v>
      </c>
      <c r="R37" s="136">
        <f ca="1">Model!AC123</f>
        <v>1762.8929983526398</v>
      </c>
      <c r="S37" s="16"/>
      <c r="T37" s="136">
        <f ca="1">Model!J123</f>
        <v>938</v>
      </c>
      <c r="U37" s="136">
        <f ca="1">Model!O123</f>
        <v>1263</v>
      </c>
      <c r="V37" s="137">
        <f ca="1">Model!T123</f>
        <v>937</v>
      </c>
      <c r="W37" s="136">
        <f ca="1">Model!Y123</f>
        <v>1e-12</v>
      </c>
      <c r="X37" s="136">
        <f ca="1">Model!AD123</f>
        <v>1762.8929983526398</v>
      </c>
      <c r="Y37" s="136">
        <f ca="1">Model!AE123</f>
        <v>1932.1480399257787</v>
      </c>
      <c r="Z37" s="136">
        <f ca="1">Model!AF123</f>
        <v>1970.7910007242942</v>
      </c>
      <c r="AA37" s="136">
        <f ca="1">Model!AG123</f>
        <v>2010.2068207387802</v>
      </c>
      <c r="AB37" s="16"/>
      <c r="AC37" s="16"/>
      <c r="AD37" s="16"/>
      <c r="AE37" s="16"/>
    </row>
    <row r="38" ht="13.5" customHeight="1" spans="1:31" x14ac:dyDescent="0.25">
      <c r="A38" s="17"/>
      <c r="B38" s="16"/>
      <c r="C38" s="139" t="str">
        <f ca="1">Model!C124</f>
        <v>Total Current Assets</v>
      </c>
      <c r="D38" s="16"/>
      <c r="E38" s="16"/>
      <c r="F38" s="16"/>
      <c r="G38" s="140">
        <f t="shared" ref="G38:R38" si="22" ca="1">SUM(G34:G37)</f>
        <v>21926</v>
      </c>
      <c r="H38" s="140">
        <f ca="1">SUM(H34:H37)</f>
        <v>27717</v>
      </c>
      <c r="I38" s="140">
        <f ca="1">SUM(I34:I37)</f>
        <v>26916</v>
      </c>
      <c r="J38" s="141">
        <f ca="1">SUM(J34:J37)</f>
        <v>22326</v>
      </c>
      <c r="K38" s="140">
        <f ca="1">SUM(K34:K37)</f>
        <v>26816</v>
      </c>
      <c r="L38" s="140">
        <f ca="1">SUM(L34:L37)</f>
        <v>25083</v>
      </c>
      <c r="M38" s="140">
        <f ca="1">SUM(M34:M37)</f>
        <v>24849</v>
      </c>
      <c r="N38" s="142">
        <f ca="1">SUM(N34:N37)</f>
        <v>20962.450182608693</v>
      </c>
      <c r="O38" s="140">
        <f ca="1">SUM(O34:O37)</f>
        <v>24931.30494076564</v>
      </c>
      <c r="P38" s="140">
        <f ca="1">SUM(P34:P37)</f>
        <v>25768.723198730506</v>
      </c>
      <c r="Q38" s="140">
        <f ca="1">SUM(Q34:Q37)</f>
        <v>24028.264583478285</v>
      </c>
      <c r="R38" s="140">
        <f ca="1">SUM(R34:R37)</f>
        <v>22496.963944674095</v>
      </c>
      <c r="S38" s="16"/>
      <c r="T38" s="140">
        <f t="shared" ref="T38:AA38" si="23" ca="1">SUM(T34:T37)</f>
        <v>14228</v>
      </c>
      <c r="U38" s="140">
        <f ca="1">SUM(U34:U37)</f>
        <v>15318</v>
      </c>
      <c r="V38" s="141">
        <f ca="1">SUM(V34:V37)</f>
        <v>22326</v>
      </c>
      <c r="W38" s="140">
        <f ca="1">SUM(W34:W37)</f>
        <v>20962.450182608693</v>
      </c>
      <c r="X38" s="140">
        <f ca="1">SUM(X34:X37)</f>
        <v>22496.963944674095</v>
      </c>
      <c r="Y38" s="140">
        <f ca="1">SUM(Y34:Y37)</f>
        <v>23268.679225102092</v>
      </c>
      <c r="Z38" s="140">
        <f ca="1">SUM(Z34:Z37)</f>
        <v>23708.855481740993</v>
      </c>
      <c r="AA38" s="140">
        <f ca="1">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 ca="1">Model!C126</f>
        <v>PP&amp;E, Net</v>
      </c>
      <c r="D40" s="16"/>
      <c r="E40" s="16"/>
      <c r="F40" s="16"/>
      <c r="G40" s="116">
        <f ca="1">Model!P126</f>
        <v>18501</v>
      </c>
      <c r="H40" s="116">
        <f ca="1">Model!Q126</f>
        <v>18612</v>
      </c>
      <c r="I40" s="116">
        <f ca="1">Model!R126</f>
        <v>18683</v>
      </c>
      <c r="J40" s="117">
        <f ca="1">Model!S126</f>
        <v>22987</v>
      </c>
      <c r="K40" s="116">
        <f ca="1">Model!U126</f>
        <v>19059</v>
      </c>
      <c r="L40" s="116">
        <f ca="1">Model!V126</f>
        <v>19031</v>
      </c>
      <c r="M40" s="116">
        <f ca="1">Model!W126</f>
        <v>18925</v>
      </c>
      <c r="N40" s="118">
        <f ca="1">Model!X126</f>
        <v>18963.9382</v>
      </c>
      <c r="O40" s="116">
        <f ca="1">Model!Z126</f>
        <v>19248.6551535</v>
      </c>
      <c r="P40" s="116">
        <f ca="1">Model!AA126</f>
        <v>19556.13592455375</v>
      </c>
      <c r="Q40" s="116">
        <f ca="1">Model!AB126</f>
        <v>19652.04946651726</v>
      </c>
      <c r="R40" s="116">
        <f ca="1">Model!AC126</f>
        <v>19724.377225464246</v>
      </c>
      <c r="S40" s="16"/>
      <c r="T40" s="116">
        <f ca="1">Model!J126</f>
        <v>18432</v>
      </c>
      <c r="U40" s="116">
        <f ca="1">Model!O126</f>
        <v>18669</v>
      </c>
      <c r="V40" s="117">
        <f ca="1">Model!T126</f>
        <v>22987</v>
      </c>
      <c r="W40" s="116">
        <f ca="1">Model!Y126</f>
        <v>18963.9382</v>
      </c>
      <c r="X40" s="116">
        <f ca="1">Model!AD126</f>
        <v>19724.377225464246</v>
      </c>
      <c r="Y40" s="116">
        <f ca="1">Model!AE126</f>
        <v>20451.053220703907</v>
      </c>
      <c r="Z40" s="116">
        <f ca="1">Model!AF126</f>
        <v>21168.345167395775</v>
      </c>
      <c r="AA40" s="116">
        <f ca="1">Model!AG126</f>
        <v>21989.46560620519</v>
      </c>
      <c r="AB40" s="16"/>
      <c r="AC40" s="16"/>
      <c r="AD40" s="16"/>
      <c r="AE40" s="16"/>
    </row>
    <row r="41" ht="13.5" customHeight="1" spans="1:31" x14ac:dyDescent="0.25">
      <c r="A41" s="17"/>
      <c r="B41" s="16"/>
      <c r="C41" s="16" t="str">
        <f ca="1">Model!C127</f>
        <v>Intangible Assets, Net</v>
      </c>
      <c r="D41" s="16"/>
      <c r="E41" s="16"/>
      <c r="F41" s="16"/>
      <c r="G41" s="136">
        <f ca="1">Model!P127</f>
        <v>1e-12</v>
      </c>
      <c r="H41" s="136">
        <f ca="1">Model!Q127</f>
        <v>1e-12</v>
      </c>
      <c r="I41" s="136">
        <f ca="1">Model!R127</f>
        <v>1e-12</v>
      </c>
      <c r="J41" s="137">
        <f ca="1">Model!S127</f>
        <v>1e-12</v>
      </c>
      <c r="K41" s="136">
        <f ca="1">Model!U127</f>
        <v>1e-12</v>
      </c>
      <c r="L41" s="136">
        <f ca="1">Model!V127</f>
        <v>1e-12</v>
      </c>
      <c r="M41" s="136">
        <f ca="1">Model!W127</f>
        <v>1e-12</v>
      </c>
      <c r="N41" s="138">
        <f ca="1">Model!X127</f>
        <v>1e-12</v>
      </c>
      <c r="O41" s="136">
        <f ca="1">Model!Z127</f>
        <v>1e-12</v>
      </c>
      <c r="P41" s="136">
        <f ca="1">Model!AA127</f>
        <v>1e-12</v>
      </c>
      <c r="Q41" s="136">
        <f ca="1">Model!AB127</f>
        <v>1e-12</v>
      </c>
      <c r="R41" s="136">
        <f ca="1">Model!AC127</f>
        <v>1e-12</v>
      </c>
      <c r="S41" s="16"/>
      <c r="T41" s="136">
        <f ca="1">Model!J127</f>
        <v>355</v>
      </c>
      <c r="U41" s="136">
        <f ca="1">Model!O127</f>
        <v>1e-12</v>
      </c>
      <c r="V41" s="137">
        <f ca="1">Model!T127</f>
        <v>1e-12</v>
      </c>
      <c r="W41" s="136">
        <f ca="1">Model!Y127</f>
        <v>1e-12</v>
      </c>
      <c r="X41" s="136">
        <f ca="1">Model!AD127</f>
        <v>1e-12</v>
      </c>
      <c r="Y41" s="136">
        <f ca="1">Model!AE127</f>
        <v>1e-12</v>
      </c>
      <c r="Z41" s="136">
        <f ca="1">Model!AF127</f>
        <v>1e-12</v>
      </c>
      <c r="AA41" s="136">
        <f ca="1">Model!AG127</f>
        <v>1e-12</v>
      </c>
      <c r="AB41" s="16"/>
      <c r="AC41" s="16"/>
      <c r="AD41" s="16"/>
      <c r="AE41" s="16"/>
    </row>
    <row r="42" ht="13.5" customHeight="1" spans="1:31" x14ac:dyDescent="0.25">
      <c r="A42" s="17"/>
      <c r="B42" s="16"/>
      <c r="C42" s="16" t="str">
        <f ca="1">Model!C128</f>
        <v>Goodwill</v>
      </c>
      <c r="D42" s="16"/>
      <c r="E42" s="16"/>
      <c r="F42" s="16"/>
      <c r="G42" s="136">
        <f ca="1">Model!P128</f>
        <v>18333</v>
      </c>
      <c r="H42" s="136">
        <f ca="1">Model!Q128</f>
        <v>18663</v>
      </c>
      <c r="I42" s="136">
        <f ca="1">Model!R128</f>
        <v>18662</v>
      </c>
      <c r="J42" s="137">
        <f ca="1">Model!S128</f>
        <v>311</v>
      </c>
      <c r="K42" s="136">
        <f ca="1">Model!U128</f>
        <v>15411</v>
      </c>
      <c r="L42" s="136">
        <f ca="1">Model!V128</f>
        <v>1e-12</v>
      </c>
      <c r="M42" s="136">
        <f ca="1">Model!W128</f>
        <v>1e-12</v>
      </c>
      <c r="N42" s="138">
        <f ca="1">Model!X128</f>
        <v>1e-12</v>
      </c>
      <c r="O42" s="136">
        <f ca="1">Model!Z128</f>
        <v>1e-12</v>
      </c>
      <c r="P42" s="136">
        <f ca="1">Model!AA128</f>
        <v>1e-12</v>
      </c>
      <c r="Q42" s="136">
        <f ca="1">Model!AB128</f>
        <v>1e-12</v>
      </c>
      <c r="R42" s="136">
        <f ca="1">Model!AC128</f>
        <v>1e-12</v>
      </c>
      <c r="S42" s="16"/>
      <c r="T42" s="136">
        <f ca="1">Model!J128</f>
        <v>303</v>
      </c>
      <c r="U42" s="136">
        <f ca="1">Model!O128</f>
        <v>303</v>
      </c>
      <c r="V42" s="137">
        <f ca="1">Model!T128</f>
        <v>311</v>
      </c>
      <c r="W42" s="136">
        <f ca="1">Model!Y128</f>
        <v>1e-12</v>
      </c>
      <c r="X42" s="136">
        <f ca="1">Model!AD128</f>
        <v>1e-12</v>
      </c>
      <c r="Y42" s="136">
        <f ca="1">Model!AE128</f>
        <v>1e-12</v>
      </c>
      <c r="Z42" s="136">
        <f ca="1">Model!AF128</f>
        <v>1e-12</v>
      </c>
      <c r="AA42" s="136">
        <f ca="1">Model!AG128</f>
        <v>1e-12</v>
      </c>
      <c r="AB42" s="16"/>
      <c r="AC42" s="16"/>
      <c r="AD42" s="16"/>
      <c r="AE42" s="16"/>
    </row>
    <row r="43" ht="13.5" customHeight="1" spans="1:31" x14ac:dyDescent="0.25">
      <c r="A43" s="17"/>
      <c r="B43" s="16"/>
      <c r="C43" s="16" t="str">
        <f ca="1">Model!C129</f>
        <v>Other Non-Current Assets</v>
      </c>
      <c r="D43" s="16"/>
      <c r="E43" s="16"/>
      <c r="F43" s="16"/>
      <c r="G43" s="136">
        <f ca="1">Model!P129</f>
        <v>5405</v>
      </c>
      <c r="H43" s="136">
        <f ca="1">Model!Q129</f>
        <v>5434</v>
      </c>
      <c r="I43" s="136">
        <f ca="1">Model!R129</f>
        <v>5281</v>
      </c>
      <c r="J43" s="137">
        <f ca="1">Model!S129</f>
        <v>1111</v>
      </c>
      <c r="K43" s="136">
        <f ca="1">Model!U129</f>
        <v>5325</v>
      </c>
      <c r="L43" s="136">
        <f ca="1">Model!V129</f>
        <v>5290</v>
      </c>
      <c r="M43" s="136">
        <f ca="1">Model!W129</f>
        <v>5626</v>
      </c>
      <c r="N43" s="138">
        <f ca="1">Model!X129</f>
        <v>5738.52</v>
      </c>
      <c r="O43" s="136">
        <f ca="1">Model!Z129</f>
        <v>5853.290400000001</v>
      </c>
      <c r="P43" s="136">
        <f ca="1">Model!AA129</f>
        <v>5970.356208000001</v>
      </c>
      <c r="Q43" s="136">
        <f ca="1">Model!AB129</f>
        <v>6089.7633321600015</v>
      </c>
      <c r="R43" s="136">
        <f ca="1">Model!AC129</f>
        <v>6211.558598803202</v>
      </c>
      <c r="S43" s="16"/>
      <c r="T43" s="136">
        <f ca="1">Model!J129</f>
        <v>1545</v>
      </c>
      <c r="U43" s="136">
        <f ca="1">Model!O129</f>
        <v>5181</v>
      </c>
      <c r="V43" s="137">
        <f ca="1">Model!T129</f>
        <v>1111</v>
      </c>
      <c r="W43" s="136">
        <f ca="1">Model!Y129</f>
        <v>5738.52</v>
      </c>
      <c r="X43" s="136">
        <f ca="1">Model!AD129</f>
        <v>6211.558598803202</v>
      </c>
      <c r="Y43" s="136">
        <f ca="1">Model!AE129</f>
        <v>6335.789770779265</v>
      </c>
      <c r="Z43" s="136">
        <f ca="1">Model!AF129</f>
        <v>6462.505566194851</v>
      </c>
      <c r="AA43" s="136">
        <f ca="1">Model!AG129</f>
        <v>6591.755677518748</v>
      </c>
      <c r="AB43" s="16"/>
      <c r="AC43" s="16"/>
      <c r="AD43" s="16"/>
      <c r="AE43" s="16"/>
    </row>
    <row r="44" ht="13.5" customHeight="1" spans="1:31" x14ac:dyDescent="0.25">
      <c r="A44" s="17"/>
      <c r="B44" s="16"/>
      <c r="C44" s="139" t="str">
        <f ca="1">Model!C130</f>
        <v>Total Non-Current Assets</v>
      </c>
      <c r="D44" s="16"/>
      <c r="E44" s="16"/>
      <c r="F44" s="16"/>
      <c r="G44" s="140">
        <f t="shared" ref="G44:R44" si="24" ca="1">SUM(G40:G43)</f>
        <v>23906</v>
      </c>
      <c r="H44" s="140">
        <f ca="1">SUM(H40:H43)</f>
        <v>24046</v>
      </c>
      <c r="I44" s="140">
        <f ca="1">SUM(I40:I43)</f>
        <v>23964</v>
      </c>
      <c r="J44" s="141">
        <f ca="1">SUM(J40:J43)</f>
        <v>24409</v>
      </c>
      <c r="K44" s="140">
        <f ca="1">SUM(K40:K43)</f>
        <v>24384</v>
      </c>
      <c r="L44" s="140">
        <f ca="1">SUM(L40:L43)</f>
        <v>24321</v>
      </c>
      <c r="M44" s="140">
        <f ca="1">SUM(M40:M43)</f>
        <v>24551</v>
      </c>
      <c r="N44" s="142">
        <f ca="1">SUM(N40:N43)</f>
        <v>24702.4582</v>
      </c>
      <c r="O44" s="140">
        <f ca="1">SUM(O40:O43)</f>
        <v>25101.9455535</v>
      </c>
      <c r="P44" s="140">
        <f ca="1">SUM(P40:P43)</f>
        <v>25526.49213255375</v>
      </c>
      <c r="Q44" s="140">
        <f ca="1">SUM(Q40:Q43)</f>
        <v>25741.81279867726</v>
      </c>
      <c r="R44" s="140">
        <f ca="1">SUM(R40:R43)</f>
        <v>25935.93582426745</v>
      </c>
      <c r="S44" s="16"/>
      <c r="T44" s="140">
        <f t="shared" ref="T44:AA44" si="25" ca="1">SUM(T40:T43)</f>
        <v>20280</v>
      </c>
      <c r="U44" s="140">
        <f ca="1">SUM(U40:U43)</f>
        <v>24153</v>
      </c>
      <c r="V44" s="141">
        <f ca="1">SUM(V40:V43)</f>
        <v>24409</v>
      </c>
      <c r="W44" s="140">
        <f ca="1">SUM(W40:W43)</f>
        <v>24702.4582</v>
      </c>
      <c r="X44" s="140">
        <f ca="1">SUM(X40:X43)</f>
        <v>25935.93582426745</v>
      </c>
      <c r="Y44" s="140">
        <f ca="1">SUM(Y40:Y43)</f>
        <v>26786.842991483172</v>
      </c>
      <c r="Z44" s="140">
        <f ca="1">SUM(Z40:Z43)</f>
        <v>27630.850733590625</v>
      </c>
      <c r="AA44" s="140">
        <f ca="1">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 ca="1">Model!C132</f>
        <v>Total Assets</v>
      </c>
      <c r="D46" s="16"/>
      <c r="E46" s="16"/>
      <c r="F46" s="16"/>
      <c r="G46" s="146">
        <f t="shared" ref="G46:R46" si="26" ca="1">SUM(G38,G44)</f>
        <v>45832</v>
      </c>
      <c r="H46" s="146">
        <f ca="1">SUM(H38,H44)</f>
        <v>51763</v>
      </c>
      <c r="I46" s="146">
        <f ca="1">SUM(I38,I44)</f>
        <v>50880</v>
      </c>
      <c r="J46" s="147">
        <f ca="1">SUM(J38,J44)</f>
        <v>46735</v>
      </c>
      <c r="K46" s="146">
        <f ca="1">SUM(K38,K44)</f>
        <v>51200</v>
      </c>
      <c r="L46" s="146">
        <f ca="1">SUM(L38,L44)</f>
        <v>49404</v>
      </c>
      <c r="M46" s="146">
        <f ca="1">SUM(M38,M44)</f>
        <v>49400</v>
      </c>
      <c r="N46" s="148">
        <f ca="1">SUM(N38,N44)</f>
        <v>45664.90838260869</v>
      </c>
      <c r="O46" s="146">
        <f ca="1">SUM(O38,O44)</f>
        <v>50033.25049426564</v>
      </c>
      <c r="P46" s="146">
        <f ca="1">SUM(P38,P44)</f>
        <v>51295.21533128426</v>
      </c>
      <c r="Q46" s="146">
        <f ca="1">SUM(Q38,Q44)</f>
        <v>49770.07738215555</v>
      </c>
      <c r="R46" s="146">
        <f ca="1">SUM(R38,R44)</f>
        <v>48432.89976894154</v>
      </c>
      <c r="S46" s="149"/>
      <c r="T46" s="146">
        <f t="shared" ref="T46:AA46" si="27" ca="1">SUM(T38,T44)</f>
        <v>34508</v>
      </c>
      <c r="U46" s="146">
        <f ca="1">SUM(U38,U44)</f>
        <v>39471</v>
      </c>
      <c r="V46" s="147">
        <f ca="1">SUM(V38,V44)</f>
        <v>46735</v>
      </c>
      <c r="W46" s="146">
        <f ca="1">SUM(W38,W44)</f>
        <v>45664.90838260869</v>
      </c>
      <c r="X46" s="146">
        <f ca="1">SUM(X38,X44)</f>
        <v>48432.89976894154</v>
      </c>
      <c r="Y46" s="146">
        <f ca="1">SUM(Y38,Y44)</f>
        <v>50055.52221658526</v>
      </c>
      <c r="Z46" s="146">
        <f ca="1">SUM(Z38,Z44)</f>
        <v>51339.70621533162</v>
      </c>
      <c r="AA46" s="146">
        <f ca="1">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 ca="1">Model!C134</f>
        <v>Accounts Payable</v>
      </c>
      <c r="D48" s="16"/>
      <c r="E48" s="16"/>
      <c r="F48" s="16"/>
      <c r="G48" s="136">
        <f ca="1">Model!P134</f>
        <v>10841</v>
      </c>
      <c r="H48" s="136">
        <f ca="1">Model!Q134</f>
        <v>12916</v>
      </c>
      <c r="I48" s="136">
        <f ca="1">Model!R134</f>
        <v>12759</v>
      </c>
      <c r="J48" s="137">
        <f ca="1">Model!S134</f>
        <v>10884</v>
      </c>
      <c r="K48" s="136">
        <f ca="1">Model!U134</f>
        <v>13964</v>
      </c>
      <c r="L48" s="136">
        <f ca="1">Model!V134</f>
        <v>12011</v>
      </c>
      <c r="M48" s="136">
        <f ca="1">Model!W134</f>
        <v>11334</v>
      </c>
      <c r="N48" s="138">
        <f ca="1">Model!X134</f>
        <v>11323.858532608696</v>
      </c>
      <c r="O48" s="136">
        <f ca="1">Model!Z134</f>
        <v>14082.098578461539</v>
      </c>
      <c r="P48" s="136">
        <f ca="1">Model!AA134</f>
        <v>13208.488998646155</v>
      </c>
      <c r="Q48" s="136">
        <f ca="1">Model!AB134</f>
        <v>13065.937173145043</v>
      </c>
      <c r="R48" s="136">
        <f ca="1">Model!AC134</f>
        <v>12661.478622679173</v>
      </c>
      <c r="S48" s="16"/>
      <c r="T48" s="136">
        <f ca="1">Model!J134</f>
        <v>8279</v>
      </c>
      <c r="U48" s="136">
        <f ca="1">Model!O134</f>
        <v>7659</v>
      </c>
      <c r="V48" s="137">
        <f ca="1">Model!T134</f>
        <v>10884</v>
      </c>
      <c r="W48" s="136">
        <f ca="1">Model!Y134</f>
        <v>11323.858532608696</v>
      </c>
      <c r="X48" s="136">
        <f ca="1">Model!AD134</f>
        <v>12661.478622679173</v>
      </c>
      <c r="Y48" s="136">
        <f ca="1">Model!AE134</f>
        <v>13673.255855145992</v>
      </c>
      <c r="Z48" s="136">
        <f ca="1">Model!AF134</f>
        <v>13930.522690051177</v>
      </c>
      <c r="AA48" s="136">
        <f ca="1">Model!AG134</f>
        <v>14176.088648168821</v>
      </c>
      <c r="AB48" s="16"/>
      <c r="AC48" s="16"/>
      <c r="AD48" s="16"/>
      <c r="AE48" s="16"/>
    </row>
    <row r="49" ht="13.5" customHeight="1" spans="1:31" x14ac:dyDescent="0.25">
      <c r="A49" s="17"/>
      <c r="B49" s="16"/>
      <c r="C49" s="16" t="str">
        <f ca="1">Model!C135</f>
        <v>Accrued Liabilities</v>
      </c>
      <c r="D49" s="16"/>
      <c r="E49" s="16"/>
      <c r="F49" s="16"/>
      <c r="G49" s="136">
        <f ca="1">Model!P135</f>
        <v>982</v>
      </c>
      <c r="H49" s="136">
        <f ca="1">Model!Q135</f>
        <v>1139</v>
      </c>
      <c r="I49" s="136">
        <f ca="1">Model!R135</f>
        <v>1117</v>
      </c>
      <c r="J49" s="137">
        <f ca="1">Model!S135</f>
        <v>2411</v>
      </c>
      <c r="K49" s="136">
        <f ca="1">Model!U135</f>
        <v>1312</v>
      </c>
      <c r="L49" s="136">
        <f ca="1">Model!V135</f>
        <v>1331</v>
      </c>
      <c r="M49" s="136">
        <f ca="1">Model!W135</f>
        <v>1353</v>
      </c>
      <c r="N49" s="138">
        <f ca="1">Model!X135</f>
        <v>947.08635</v>
      </c>
      <c r="O49" s="136">
        <f ca="1">Model!Z135</f>
        <v>1104.716354</v>
      </c>
      <c r="P49" s="136">
        <f ca="1">Model!AA135</f>
        <v>1252.05468633</v>
      </c>
      <c r="Q49" s="136">
        <f ca="1">Model!AB135</f>
        <v>1134.0247357824</v>
      </c>
      <c r="R49" s="136">
        <f ca="1">Model!AC135</f>
        <v>1058.9600302604401</v>
      </c>
      <c r="S49" s="16"/>
      <c r="T49" s="136">
        <f ca="1">Model!J135</f>
        <v>662</v>
      </c>
      <c r="U49" s="136">
        <f ca="1">Model!O135</f>
        <v>684</v>
      </c>
      <c r="V49" s="137">
        <f ca="1">Model!T135</f>
        <v>2411</v>
      </c>
      <c r="W49" s="136">
        <f ca="1">Model!Y135</f>
        <v>947.08635</v>
      </c>
      <c r="X49" s="136">
        <f ca="1">Model!AD135</f>
        <v>1058.9600302604401</v>
      </c>
      <c r="Y49" s="136">
        <f ca="1">Model!AE135</f>
        <v>1201.4740561605136</v>
      </c>
      <c r="Z49" s="136">
        <f ca="1">Model!AF135</f>
        <v>1224.080188227645</v>
      </c>
      <c r="AA49" s="136">
        <f ca="1">Model!AG135</f>
        <v>1245.6581599177973</v>
      </c>
      <c r="AB49" s="16"/>
      <c r="AC49" s="16"/>
      <c r="AD49" s="16"/>
      <c r="AE49" s="16"/>
    </row>
    <row r="50" ht="13.5" customHeight="1" spans="1:31" x14ac:dyDescent="0.25">
      <c r="A50" s="17"/>
      <c r="B50" s="16"/>
      <c r="C50" s="16" t="str">
        <f ca="1">Model!C136</f>
        <v>Other Current Liabilities</v>
      </c>
      <c r="D50" s="16"/>
      <c r="E50" s="16"/>
      <c r="F50" s="16"/>
      <c r="G50" s="136">
        <f ca="1">Model!P136</f>
        <v>5898</v>
      </c>
      <c r="H50" s="136">
        <f ca="1">Model!Q136</f>
        <v>6706</v>
      </c>
      <c r="I50" s="136">
        <f ca="1">Model!R136</f>
        <v>5079</v>
      </c>
      <c r="J50" s="137">
        <f ca="1">Model!S136</f>
        <v>3614</v>
      </c>
      <c r="K50" s="136">
        <f ca="1">Model!U136</f>
        <v>6278</v>
      </c>
      <c r="L50" s="136">
        <f ca="1">Model!V136</f>
        <v>6978</v>
      </c>
      <c r="M50" s="136">
        <f ca="1">Model!W136</f>
        <v>6795</v>
      </c>
      <c r="N50" s="138">
        <f ca="1">Model!X136</f>
        <v>9470.8635</v>
      </c>
      <c r="O50" s="136">
        <f ca="1">Model!Z136</f>
        <v>9721.503915199999</v>
      </c>
      <c r="P50" s="136">
        <f ca="1">Model!AA136</f>
        <v>11018.081239704</v>
      </c>
      <c r="Q50" s="136">
        <f ca="1">Model!AB136</f>
        <v>11340.247357824</v>
      </c>
      <c r="R50" s="136">
        <f ca="1">Model!AC136</f>
        <v>10589.6003026044</v>
      </c>
      <c r="S50" s="16"/>
      <c r="T50" s="136">
        <f ca="1">Model!J136</f>
        <v>4446</v>
      </c>
      <c r="U50" s="136">
        <f ca="1">Model!O136</f>
        <v>6242</v>
      </c>
      <c r="V50" s="137">
        <f ca="1">Model!T136</f>
        <v>3614</v>
      </c>
      <c r="W50" s="136">
        <f ca="1">Model!Y136</f>
        <v>9470.8635</v>
      </c>
      <c r="X50" s="136">
        <f ca="1">Model!AD136</f>
        <v>10589.6003026044</v>
      </c>
      <c r="Y50" s="136">
        <f ca="1">Model!AE136</f>
        <v>11090.529749173971</v>
      </c>
      <c r="Z50" s="136">
        <f ca="1">Model!AF136</f>
        <v>11299.201737485955</v>
      </c>
      <c r="AA50" s="136">
        <f ca="1">Model!AG136</f>
        <v>11498.383014625822</v>
      </c>
      <c r="AB50" s="16"/>
      <c r="AC50" s="16"/>
      <c r="AD50" s="16"/>
      <c r="AE50" s="16"/>
    </row>
    <row r="51" ht="13.5" customHeight="1" spans="1:31" x14ac:dyDescent="0.25">
      <c r="A51" s="17"/>
      <c r="B51" s="16"/>
      <c r="C51" s="139" t="str">
        <f ca="1">Model!C137</f>
        <v>Total Current Liabilities (Excl. Debt)</v>
      </c>
      <c r="D51" s="16"/>
      <c r="E51" s="16"/>
      <c r="F51" s="16"/>
      <c r="G51" s="140">
        <f t="shared" ref="G51:R51" si="28" ca="1">SUM(G48:G50)</f>
        <v>17721</v>
      </c>
      <c r="H51" s="140">
        <f ca="1">SUM(H48:H50)</f>
        <v>20761</v>
      </c>
      <c r="I51" s="140">
        <f ca="1">SUM(I48:I50)</f>
        <v>18955</v>
      </c>
      <c r="J51" s="141">
        <f ca="1">SUM(J48:J50)</f>
        <v>16909</v>
      </c>
      <c r="K51" s="140">
        <f ca="1">SUM(K48:K50)</f>
        <v>21554</v>
      </c>
      <c r="L51" s="140">
        <f ca="1">SUM(L48:L50)</f>
        <v>20320</v>
      </c>
      <c r="M51" s="140">
        <f ca="1">SUM(M48:M50)</f>
        <v>19482</v>
      </c>
      <c r="N51" s="142">
        <f ca="1">SUM(N48:N50)</f>
        <v>21741.808382608695</v>
      </c>
      <c r="O51" s="140">
        <f ca="1">SUM(O48:O50)</f>
        <v>24908.31884766154</v>
      </c>
      <c r="P51" s="140">
        <f ca="1">SUM(P48:P50)</f>
        <v>25478.624924680156</v>
      </c>
      <c r="Q51" s="140">
        <f ca="1">SUM(Q48:Q50)</f>
        <v>25540.209266751444</v>
      </c>
      <c r="R51" s="140">
        <f ca="1">SUM(R48:R50)</f>
        <v>24310.038955544012</v>
      </c>
      <c r="S51" s="16"/>
      <c r="T51" s="140">
        <f t="shared" ref="T51:AA51" si="29" ca="1">SUM(T48:T50)</f>
        <v>13387</v>
      </c>
      <c r="U51" s="140">
        <f ca="1">SUM(U48:U50)</f>
        <v>14585</v>
      </c>
      <c r="V51" s="141">
        <f ca="1">SUM(V48:V50)</f>
        <v>16909</v>
      </c>
      <c r="W51" s="140">
        <f ca="1">SUM(W48:W50)</f>
        <v>21741.808382608695</v>
      </c>
      <c r="X51" s="140">
        <f ca="1">SUM(X48:X50)</f>
        <v>24310.038955544012</v>
      </c>
      <c r="Y51" s="140">
        <f ca="1">SUM(Y48:Y50)</f>
        <v>25965.25966048048</v>
      </c>
      <c r="Z51" s="140">
        <f ca="1">SUM(Z48:Z50)</f>
        <v>26453.804615764777</v>
      </c>
      <c r="AA51" s="140">
        <f ca="1">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 ca="1">Model!C139</f>
        <v>Revolver</v>
      </c>
      <c r="D53" s="16"/>
      <c r="E53" s="16"/>
      <c r="F53" s="16"/>
      <c r="G53" s="116">
        <f ca="1">Model!P139</f>
        <v>5045</v>
      </c>
      <c r="H53" s="116">
        <f ca="1">Model!Q139</f>
        <v>4040</v>
      </c>
      <c r="I53" s="116">
        <f ca="1">Model!R139</f>
        <v>1992</v>
      </c>
      <c r="J53" s="117">
        <f ca="1">Model!S139</f>
        <v>56</v>
      </c>
      <c r="K53" s="116">
        <f ca="1">Model!U139</f>
        <v>250</v>
      </c>
      <c r="L53" s="116">
        <f ca="1">Model!V139</f>
        <v>1e-12</v>
      </c>
      <c r="M53" s="116">
        <f ca="1">Model!W139</f>
        <v>1e-12</v>
      </c>
      <c r="N53" s="118">
        <f ca="1">Model!X139</f>
        <v>1e-12</v>
      </c>
      <c r="O53" s="116">
        <f ca="1">Model!Z139</f>
        <v>4764.4476466041</v>
      </c>
      <c r="P53" s="116">
        <f ca="1">Model!AA139</f>
        <v>4764.4476466041</v>
      </c>
      <c r="Q53" s="116">
        <f ca="1">Model!AB139</f>
        <v>4764.4476466041</v>
      </c>
      <c r="R53" s="116">
        <f ca="1">Model!AC139</f>
        <v>11402.879021237532</v>
      </c>
      <c r="S53" s="16"/>
      <c r="T53" s="116">
        <f ca="1">Model!J139</f>
        <v>348</v>
      </c>
      <c r="U53" s="116">
        <f ca="1">Model!O139</f>
        <v>360</v>
      </c>
      <c r="V53" s="117">
        <f ca="1">Model!T139</f>
        <v>56</v>
      </c>
      <c r="W53" s="116">
        <f ca="1">Model!Y139</f>
        <v>1e-12</v>
      </c>
      <c r="X53" s="116">
        <f ca="1">Model!AD139</f>
        <v>11402.879021237532</v>
      </c>
      <c r="Y53" s="116">
        <f ca="1">Model!AE139</f>
        <v>23713.54773594159</v>
      </c>
      <c r="Z53" s="116">
        <f ca="1">Model!AF139</f>
        <v>37567.01413084038</v>
      </c>
      <c r="AA53" s="116">
        <f ca="1">Model!AG139</f>
        <v>52328.08247728551</v>
      </c>
      <c r="AB53" s="16"/>
      <c r="AC53" s="16"/>
      <c r="AD53" s="16"/>
      <c r="AE53" s="16"/>
    </row>
    <row r="54" ht="13.5" customHeight="1" spans="1:31" x14ac:dyDescent="0.25">
      <c r="A54" s="17"/>
      <c r="B54" s="16"/>
      <c r="C54" s="16" t="str">
        <f ca="1">Model!C140</f>
        <v>LT Debt (Incl. Current Portion)</v>
      </c>
      <c r="D54" s="16"/>
      <c r="E54" s="16"/>
      <c r="F54" s="16"/>
      <c r="G54" s="136">
        <f ca="1">Model!P140</f>
        <v>20804</v>
      </c>
      <c r="H54" s="136">
        <f ca="1">Model!Q140</f>
        <v>20806</v>
      </c>
      <c r="I54" s="136">
        <f ca="1">Model!R140</f>
        <v>21794</v>
      </c>
      <c r="J54" s="137">
        <f ca="1">Model!S140</f>
        <v>26211</v>
      </c>
      <c r="K54" s="136">
        <f ca="1">Model!U140</f>
        <v>23244</v>
      </c>
      <c r="L54" s="136">
        <f ca="1">Model!V140</f>
        <v>23311</v>
      </c>
      <c r="M54" s="136">
        <f ca="1">Model!W140</f>
        <v>25233</v>
      </c>
      <c r="N54" s="138">
        <f ca="1">Model!X140</f>
        <v>24733</v>
      </c>
      <c r="O54" s="136">
        <f ca="1">Model!Z140</f>
        <v>24233</v>
      </c>
      <c r="P54" s="136">
        <f ca="1">Model!AA140</f>
        <v>23733</v>
      </c>
      <c r="Q54" s="136">
        <f ca="1">Model!AB140</f>
        <v>23233</v>
      </c>
      <c r="R54" s="136">
        <f ca="1">Model!AC140</f>
        <v>22733</v>
      </c>
      <c r="S54" s="16"/>
      <c r="T54" s="136">
        <f ca="1">Model!J140</f>
        <v>15501</v>
      </c>
      <c r="U54" s="136">
        <f ca="1">Model!O140</f>
        <v>17365</v>
      </c>
      <c r="V54" s="137">
        <f ca="1">Model!T140</f>
        <v>26211</v>
      </c>
      <c r="W54" s="136">
        <f ca="1">Model!Y140</f>
        <v>24733</v>
      </c>
      <c r="X54" s="136">
        <f ca="1">Model!AD140</f>
        <v>22733</v>
      </c>
      <c r="Y54" s="136">
        <f ca="1">Model!AE140</f>
        <v>21333</v>
      </c>
      <c r="Z54" s="136">
        <f ca="1">Model!AF140</f>
        <v>20033</v>
      </c>
      <c r="AA54" s="136">
        <f ca="1">Model!AG140</f>
        <v>18833</v>
      </c>
      <c r="AB54" s="16"/>
      <c r="AC54" s="16"/>
      <c r="AD54" s="16"/>
      <c r="AE54" s="16"/>
    </row>
    <row r="55" ht="13.5" customHeight="1" spans="1:31" x14ac:dyDescent="0.25">
      <c r="A55" s="17"/>
      <c r="B55" s="16"/>
      <c r="C55" s="16" t="str">
        <f ca="1">Model!C141</f>
        <v>Deferred Income Taxes</v>
      </c>
      <c r="D55" s="16"/>
      <c r="E55" s="16"/>
      <c r="F55" s="16"/>
      <c r="G55" s="136">
        <f ca="1">Model!P141</f>
        <v>2311</v>
      </c>
      <c r="H55" s="136">
        <f ca="1">Model!Q141</f>
        <v>2375</v>
      </c>
      <c r="I55" s="136">
        <f ca="1">Model!R141</f>
        <v>2435</v>
      </c>
      <c r="J55" s="137">
        <f ca="1">Model!S141</f>
        <v>168</v>
      </c>
      <c r="K55" s="136">
        <f ca="1">Model!U141</f>
        <v>2615</v>
      </c>
      <c r="L55" s="136">
        <f ca="1">Model!V141</f>
        <v>1e-12</v>
      </c>
      <c r="M55" s="136">
        <f ca="1">Model!W141</f>
        <v>1e-12</v>
      </c>
      <c r="N55" s="138">
        <f ca="1">Model!X141</f>
        <v>1e-12</v>
      </c>
      <c r="O55" s="136">
        <f ca="1">Model!Z141</f>
        <v>1e-12</v>
      </c>
      <c r="P55" s="136">
        <f ca="1">Model!AA141</f>
        <v>1e-12</v>
      </c>
      <c r="Q55" s="136">
        <f ca="1">Model!AB141</f>
        <v>1e-12</v>
      </c>
      <c r="R55" s="136">
        <f ca="1">Model!AC141</f>
        <v>1e-12</v>
      </c>
      <c r="S55" s="16"/>
      <c r="T55" s="136">
        <f ca="1">Model!J141</f>
        <v>2639</v>
      </c>
      <c r="U55" s="136">
        <f ca="1">Model!O141</f>
        <v>2469</v>
      </c>
      <c r="V55" s="137">
        <f ca="1">Model!T141</f>
        <v>168</v>
      </c>
      <c r="W55" s="136">
        <f ca="1">Model!Y141</f>
        <v>1e-12</v>
      </c>
      <c r="X55" s="136">
        <f ca="1">Model!AD141</f>
        <v>1e-12</v>
      </c>
      <c r="Y55" s="136">
        <f ca="1">Model!AE141</f>
        <v>1e-12</v>
      </c>
      <c r="Z55" s="136">
        <f ca="1">Model!AF141</f>
        <v>1e-12</v>
      </c>
      <c r="AA55" s="136">
        <f ca="1">Model!AG141</f>
        <v>1e-12</v>
      </c>
      <c r="AB55" s="16"/>
      <c r="AC55" s="16"/>
      <c r="AD55" s="16"/>
      <c r="AE55" s="16"/>
    </row>
    <row r="56" ht="13.5" customHeight="1" spans="1:31" x14ac:dyDescent="0.25">
      <c r="A56" s="17"/>
      <c r="B56" s="16"/>
      <c r="C56" s="16" t="str">
        <f ca="1">Model!C142</f>
        <v>Other Non-Current Liabilities</v>
      </c>
      <c r="D56" s="16"/>
      <c r="E56" s="16"/>
      <c r="F56" s="16"/>
      <c r="G56" s="136">
        <f ca="1">Model!P142</f>
        <v>5591</v>
      </c>
      <c r="H56" s="136">
        <f ca="1">Model!Q142</f>
        <v>5840</v>
      </c>
      <c r="I56" s="136">
        <f ca="1">Model!R142</f>
        <v>6058</v>
      </c>
      <c r="J56" s="137">
        <f ca="1">Model!S142</f>
        <v>2010</v>
      </c>
      <c r="K56" s="136">
        <f ca="1">Model!U142</f>
        <v>5957</v>
      </c>
      <c r="L56" s="136">
        <f ca="1">Model!V142</f>
        <v>5948</v>
      </c>
      <c r="M56" s="150">
        <f ca="1">Model!W142</f>
        <v>6261</v>
      </c>
      <c r="N56" s="138">
        <f ca="1">Model!X142</f>
        <v>6261</v>
      </c>
      <c r="O56" s="136">
        <f ca="1">Model!Z142</f>
        <v>6261</v>
      </c>
      <c r="P56" s="136">
        <f ca="1">Model!AA142</f>
        <v>6261</v>
      </c>
      <c r="Q56" s="136">
        <f ca="1">Model!AB142</f>
        <v>6261</v>
      </c>
      <c r="R56" s="136">
        <f ca="1">Model!AC142</f>
        <v>6261</v>
      </c>
      <c r="S56" s="16"/>
      <c r="T56" s="136">
        <f ca="1">Model!J142</f>
        <v>1976</v>
      </c>
      <c r="U56" s="136">
        <f ca="1">Model!O142</f>
        <v>5549</v>
      </c>
      <c r="V56" s="137">
        <f ca="1">Model!T142</f>
        <v>2010</v>
      </c>
      <c r="W56" s="136">
        <f ca="1">Model!Y142</f>
        <v>6261</v>
      </c>
      <c r="X56" s="136">
        <f ca="1">Model!AD142</f>
        <v>6261</v>
      </c>
      <c r="Y56" s="136">
        <f ca="1">Model!AE142</f>
        <v>6261</v>
      </c>
      <c r="Z56" s="136">
        <f ca="1">Model!AF142</f>
        <v>6261</v>
      </c>
      <c r="AA56" s="136">
        <f ca="1">Model!AG142</f>
        <v>6261</v>
      </c>
      <c r="AB56" s="16"/>
      <c r="AC56" s="16"/>
      <c r="AD56" s="16"/>
      <c r="AE56" s="16"/>
    </row>
    <row r="57" ht="13.5" customHeight="1" spans="1:31" x14ac:dyDescent="0.25">
      <c r="A57" s="17"/>
      <c r="B57" s="16"/>
      <c r="C57" s="139" t="str">
        <f ca="1">Model!C143</f>
        <v>Total Non-Current Liabilities</v>
      </c>
      <c r="D57" s="16"/>
      <c r="E57" s="16"/>
      <c r="F57" s="16"/>
      <c r="G57" s="140">
        <f ca="1">SUM(G53:G56)</f>
        <v>26395</v>
      </c>
      <c r="H57" s="140">
        <f t="array" ref="H57" ca="1">INDEX(Data,MATCH($C57,Line_Items,0),MATCH(H$32,Fiscal_Periods,0))</f>
        <v>26646</v>
      </c>
      <c r="I57" s="140">
        <f t="array" ref="I57" ca="1">INDEX(Data,MATCH($C57,Line_Items,0),MATCH(I$32,Fiscal_Periods,0))</f>
        <v>27852</v>
      </c>
      <c r="J57" s="141">
        <f t="array" ref="J57" ca="1">INDEX(Data,MATCH($C57,Line_Items,0),MATCH(J$32,Fiscal_Periods,0))</f>
        <v>28389</v>
      </c>
      <c r="K57" s="140">
        <f t="array" ref="K57" ca="1">INDEX(Data,MATCH($C57,Line_Items,0),MATCH(K$32,Fiscal_Periods,0))</f>
        <v>29201</v>
      </c>
      <c r="L57" s="140">
        <f t="array" ref="L57" ca="1">INDEX(Data,MATCH($C57,Line_Items,0),MATCH(L$32,Fiscal_Periods,0))</f>
        <v>29259</v>
      </c>
      <c r="M57" s="140">
        <f t="array" ref="M57" ca="1">INDEX(Data,MATCH($C57,Line_Items,0),MATCH(M$32,Fiscal_Periods,0))</f>
        <v>31494</v>
      </c>
      <c r="N57" s="142">
        <f ca="1">INDEX(Data,MATCH($C57,Line_Items,0),MATCH(N$32,Fiscal_Periods,0))</f>
      </c>
      <c r="O57" s="140">
        <f ca="1">INDEX(Data,MATCH($C57,Line_Items,0),MATCH(O$32,Fiscal_Periods,0))</f>
      </c>
      <c r="P57" s="140">
        <f ca="1">INDEX(Data,MATCH($C57,Line_Items,0),MATCH(P$32,Fiscal_Periods,0))</f>
      </c>
      <c r="Q57" s="140">
        <f ca="1">INDEX(Data,MATCH($C57,Line_Items,0),MATCH(Q$32,Fiscal_Periods,0))</f>
      </c>
      <c r="R57" s="140">
        <f ca="1">INDEX(Data,MATCH($C57,Line_Items,0),MATCH(R$32,Fiscal_Periods,0))</f>
      </c>
      <c r="S57" s="16"/>
      <c r="T57" s="140">
        <f t="array" ref="T57" ca="1">INDEX(Data,MATCH($C57,Line_Items,0),MATCH(T$32,Fiscal_Periods,0))</f>
        <v>17477</v>
      </c>
      <c r="U57" s="140">
        <f t="array" ref="U57" ca="1">INDEX(Data,MATCH($C57,Line_Items,0),MATCH(U$32,Fiscal_Periods,0))</f>
        <v>22914</v>
      </c>
      <c r="V57" s="141">
        <f t="array" ref="V57" ca="1">INDEX(Data,MATCH($C57,Line_Items,0),MATCH(V$32,Fiscal_Periods,0))</f>
        <v>28389</v>
      </c>
      <c r="W57" s="140">
        <f ca="1">INDEX(Data,MATCH($C57,Line_Items,0),MATCH(W$32,Fiscal_Periods,0))</f>
      </c>
      <c r="X57" s="140">
        <f ca="1">INDEX(Data,MATCH($C57,Line_Items,0),MATCH(X$32,Fiscal_Periods,0))</f>
      </c>
      <c r="Y57" s="140">
        <f ca="1">INDEX(Data,MATCH($C57,Line_Items,0),MATCH(Y$32,Fiscal_Periods,0))</f>
      </c>
      <c r="Z57" s="140">
        <f ca="1">INDEX(Data,MATCH($C57,Line_Items,0),MATCH(Z$32,Fiscal_Periods,0))</f>
      </c>
      <c r="AA57" s="140">
        <f ca="1">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 ca="1">Model!C145</f>
        <v>Total Liabilities</v>
      </c>
      <c r="D59" s="16"/>
      <c r="E59" s="16"/>
      <c r="F59" s="16"/>
      <c r="G59" s="140">
        <f t="shared" ref="G59:R59" si="30" ca="1">SUM(G51,G57)</f>
        <v>44116</v>
      </c>
      <c r="H59" s="140">
        <f ca="1">SUM(H51,H57)</f>
        <v>47407</v>
      </c>
      <c r="I59" s="140">
        <f ca="1">SUM(I51,I57)</f>
        <v>46807</v>
      </c>
      <c r="J59" s="141">
        <f ca="1">SUM(J51,J57)</f>
        <v>45298</v>
      </c>
      <c r="K59" s="140">
        <f ca="1">SUM(K51,K57)</f>
        <v>50755</v>
      </c>
      <c r="L59" s="140">
        <f ca="1">SUM(L51,L57)</f>
        <v>49579</v>
      </c>
      <c r="M59" s="140">
        <f ca="1">SUM(M51,M57)</f>
        <v>50976</v>
      </c>
      <c r="N59" s="142">
        <f ca="1">SUM(N51,N57)</f>
        <v>21741.808382608695</v>
      </c>
      <c r="O59" s="140">
        <f ca="1">SUM(O51,O57)</f>
        <v>24908.31884766154</v>
      </c>
      <c r="P59" s="140">
        <f ca="1">SUM(P51,P57)</f>
        <v>25478.624924680156</v>
      </c>
      <c r="Q59" s="140">
        <f ca="1">SUM(Q51,Q57)</f>
        <v>25540.209266751444</v>
      </c>
      <c r="R59" s="140">
        <f ca="1">SUM(R51,R57)</f>
        <v>24310.038955544012</v>
      </c>
      <c r="S59" s="16"/>
      <c r="T59" s="140">
        <f t="shared" ref="T59:AA59" si="31" ca="1">SUM(T51,T57)</f>
        <v>30864</v>
      </c>
      <c r="U59" s="140">
        <f ca="1">SUM(U51,U57)</f>
        <v>37499</v>
      </c>
      <c r="V59" s="141">
        <f ca="1">SUM(V51,V57)</f>
        <v>45298</v>
      </c>
      <c r="W59" s="140">
        <f ca="1">SUM(W51,W57)</f>
        <v>21741.808382608695</v>
      </c>
      <c r="X59" s="140">
        <f ca="1">SUM(X51,X57)</f>
        <v>24310.038955544012</v>
      </c>
      <c r="Y59" s="140">
        <f ca="1">SUM(Y51,Y57)</f>
        <v>25965.25966048048</v>
      </c>
      <c r="Z59" s="140">
        <f ca="1">SUM(Z51,Z57)</f>
        <v>26453.804615764777</v>
      </c>
      <c r="AA59" s="140">
        <f ca="1">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 ca="1">Model!C147</f>
        <v>Common Stock &amp; APIC</v>
      </c>
      <c r="D61" s="16"/>
      <c r="E61" s="16"/>
      <c r="F61" s="16"/>
      <c r="G61" s="116">
        <f ca="1">Model!P147</f>
        <v>387</v>
      </c>
      <c r="H61" s="116">
        <f ca="1">Model!Q147</f>
        <v>507</v>
      </c>
      <c r="I61" s="116">
        <f ca="1">Model!R147</f>
        <v>376</v>
      </c>
      <c r="J61" s="117">
        <f ca="1">Model!S147</f>
        <v>456</v>
      </c>
      <c r="K61" s="116">
        <f ca="1">Model!U147</f>
        <v>358</v>
      </c>
      <c r="L61" s="116">
        <f ca="1">Model!V147</f>
        <v>350</v>
      </c>
      <c r="M61" s="116">
        <f ca="1">Model!W147</f>
        <v>343</v>
      </c>
      <c r="N61" s="118">
        <f ca="1">Model!X147</f>
        <v>394.3</v>
      </c>
      <c r="O61" s="116">
        <f ca="1">Model!Z147</f>
        <v>454.834</v>
      </c>
      <c r="P61" s="116">
        <f ca="1">Model!AA147</f>
        <v>523.84276</v>
      </c>
      <c r="Q61" s="116">
        <f ca="1">Model!AB147</f>
        <v>584.5704688</v>
      </c>
      <c r="R61" s="116">
        <f ca="1">Model!AC147</f>
        <v>642.2617921599999</v>
      </c>
      <c r="S61" s="16"/>
      <c r="T61" s="116">
        <f ca="1">Model!J147</f>
        <v>401</v>
      </c>
      <c r="U61" s="116">
        <f ca="1">Model!O147</f>
        <v>381</v>
      </c>
      <c r="V61" s="117">
        <f ca="1">Model!T147</f>
        <v>456</v>
      </c>
      <c r="W61" s="116">
        <f ca="1">Model!Y147</f>
        <v>394.3</v>
      </c>
      <c r="X61" s="116">
        <f ca="1">Model!AD147</f>
        <v>642.2617921599999</v>
      </c>
      <c r="Y61" s="116">
        <f ca="1">Model!AE147</f>
        <v>895.1828201632</v>
      </c>
      <c r="Z61" s="116">
        <f ca="1">Model!AF147</f>
        <v>1153.162268726464</v>
      </c>
      <c r="AA61" s="116">
        <f ca="1">Model!AG147</f>
        <v>1416.3013062609932</v>
      </c>
      <c r="AB61" s="16"/>
      <c r="AC61" s="16"/>
      <c r="AD61" s="16"/>
      <c r="AE61" s="16"/>
    </row>
    <row r="62" ht="13.5" customHeight="1" spans="1:31" x14ac:dyDescent="0.25">
      <c r="A62" s="17"/>
      <c r="B62" s="16"/>
      <c r="C62" s="16" t="str">
        <f ca="1">Model!C148</f>
        <v>Retained Earnings</v>
      </c>
      <c r="D62" s="16"/>
      <c r="E62" s="16"/>
      <c r="F62" s="16"/>
      <c r="G62" s="136">
        <f ca="1">Model!P148</f>
        <v>1722</v>
      </c>
      <c r="H62" s="136">
        <f ca="1">Model!Q148</f>
        <v>4134</v>
      </c>
      <c r="I62" s="136">
        <f ca="1">Model!R148</f>
        <v>3942</v>
      </c>
      <c r="J62" s="137">
        <f ca="1">Model!S148</f>
        <v>1117</v>
      </c>
      <c r="K62" s="136">
        <f ca="1">Model!U148</f>
        <v>98</v>
      </c>
      <c r="L62" s="136">
        <f ca="1">Model!V148</f>
        <v>-460</v>
      </c>
      <c r="M62" s="136">
        <f ca="1">Model!W148</f>
        <v>-1913</v>
      </c>
      <c r="N62" s="138">
        <f ca="1">Model!X148</f>
        <v>-8865.776413</v>
      </c>
      <c r="O62" s="136">
        <f ca="1">Model!Z148</f>
        <v>-13585.76832918137</v>
      </c>
      <c r="P62" s="136">
        <f ca="1">Model!AA148</f>
        <v>-14204.118966701659</v>
      </c>
      <c r="Q62" s="136">
        <f ca="1">Model!AB148</f>
        <v>-17271.413598310563</v>
      </c>
      <c r="R62" s="136">
        <f ca="1">Model!AC148</f>
        <v>-25146.81770440944</v>
      </c>
      <c r="S62" s="16"/>
      <c r="T62" s="136">
        <f ca="1">Model!J148</f>
        <v>3452</v>
      </c>
      <c r="U62" s="136">
        <f ca="1">Model!O148</f>
        <v>1727</v>
      </c>
      <c r="V62" s="137">
        <f ca="1">Model!T148</f>
        <v>1117</v>
      </c>
      <c r="W62" s="136">
        <f ca="1">Model!Y148</f>
        <v>-8865.776413</v>
      </c>
      <c r="X62" s="136">
        <f ca="1">Model!AD148</f>
        <v>-25146.81770440944</v>
      </c>
      <c r="Y62" s="136">
        <f ca="1">Model!AE148</f>
        <v>-41873.98740357953</v>
      </c>
      <c r="Z62" s="136">
        <f ca="1">Model!AF148</f>
        <v>-59629.79586990103</v>
      </c>
      <c r="AA62" s="136">
        <f ca="1">Model!AG148</f>
        <v>-78360.98846727834</v>
      </c>
      <c r="AB62" s="16"/>
      <c r="AC62" s="16"/>
      <c r="AD62" s="16"/>
      <c r="AE62" s="16"/>
    </row>
    <row r="63" ht="13.5" customHeight="1" spans="1:31" x14ac:dyDescent="0.25">
      <c r="A63" s="17"/>
      <c r="B63" s="16"/>
      <c r="C63" s="16" t="str">
        <f ca="1">Model!C149</f>
        <v>Treasury Stock</v>
      </c>
      <c r="D63" s="16"/>
      <c r="E63" s="16"/>
      <c r="F63" s="16"/>
      <c r="G63" s="136">
        <f ca="1">Model!P149</f>
        <v>-56138</v>
      </c>
      <c r="H63" s="136">
        <f ca="1">Model!Q149</f>
        <v>-56190</v>
      </c>
      <c r="I63" s="136">
        <f ca="1">Model!R149</f>
        <v>-56355</v>
      </c>
      <c r="J63" s="137">
        <f ca="1">Model!S149</f>
        <v>-56423</v>
      </c>
      <c r="K63" s="136">
        <f ca="1">Model!U149</f>
        <v>-56747</v>
      </c>
      <c r="L63" s="136">
        <f ca="1">Model!V149</f>
        <v>1e-12</v>
      </c>
      <c r="M63" s="136">
        <f ca="1">Model!W149</f>
        <v>1e-12</v>
      </c>
      <c r="N63" s="138">
        <f ca="1">Model!X149</f>
        <v>-500</v>
      </c>
      <c r="O63" s="136">
        <f ca="1">Model!Z149</f>
        <v>-1000</v>
      </c>
      <c r="P63" s="136">
        <f ca="1">Model!AA149</f>
        <v>-1500</v>
      </c>
      <c r="Q63" s="136">
        <f ca="1">Model!AB149</f>
        <v>-2000</v>
      </c>
      <c r="R63" s="136">
        <f ca="1">Model!AC149</f>
        <v>-2500</v>
      </c>
      <c r="S63" s="16"/>
      <c r="T63" s="136">
        <f ca="1">Model!J149</f>
        <v>-54535</v>
      </c>
      <c r="U63" s="136">
        <f ca="1">Model!O149</f>
        <v>-55916</v>
      </c>
      <c r="V63" s="137">
        <f ca="1">Model!T149</f>
        <v>-56423</v>
      </c>
      <c r="W63" s="136">
        <f ca="1">Model!Y149</f>
        <v>-500</v>
      </c>
      <c r="X63" s="136">
        <f ca="1">Model!AD149</f>
        <v>-2500</v>
      </c>
      <c r="Y63" s="136">
        <f ca="1">Model!AE149</f>
        <v>-5500</v>
      </c>
      <c r="Z63" s="136">
        <f ca="1">Model!AF149</f>
        <v>-8500</v>
      </c>
      <c r="AA63" s="136">
        <f ca="1">Model!AG149</f>
        <v>-11500</v>
      </c>
      <c r="AB63" s="16"/>
      <c r="AC63" s="16"/>
      <c r="AD63" s="16"/>
      <c r="AE63" s="16"/>
    </row>
    <row r="64" ht="13.5" customHeight="1" spans="1:31" x14ac:dyDescent="0.25">
      <c r="A64" s="17"/>
      <c r="B64" s="16"/>
      <c r="C64" s="16" t="str">
        <f ca="1">Model!C150</f>
        <v>Accumulated Other Comprehensive Income (AOCI)</v>
      </c>
      <c r="D64" s="16"/>
      <c r="E64" s="16"/>
      <c r="F64" s="16"/>
      <c r="G64" s="136">
        <f ca="1">Model!P150</f>
        <v>-393</v>
      </c>
      <c r="H64" s="136">
        <f ca="1">Model!Q150</f>
        <v>-285</v>
      </c>
      <c r="I64" s="136">
        <f ca="1">Model!R150</f>
        <v>-245</v>
      </c>
      <c r="J64" s="137">
        <f ca="1">Model!S150</f>
        <v>-136</v>
      </c>
      <c r="K64" s="136">
        <f ca="1">Model!U150</f>
        <v>-11</v>
      </c>
      <c r="L64" s="136">
        <f ca="1">Model!V150</f>
        <v>-65</v>
      </c>
      <c r="M64" s="136">
        <f ca="1">Model!W150</f>
        <v>-6</v>
      </c>
      <c r="N64" s="138">
        <f ca="1">Model!X150</f>
        <v>-6</v>
      </c>
      <c r="O64" s="136">
        <f ca="1">Model!Z150</f>
        <v>-6</v>
      </c>
      <c r="P64" s="136">
        <f ca="1">Model!AA150</f>
        <v>-6</v>
      </c>
      <c r="Q64" s="136">
        <f ca="1">Model!AB150</f>
        <v>-6</v>
      </c>
      <c r="R64" s="136">
        <f ca="1">Model!AC150</f>
        <v>-6</v>
      </c>
      <c r="S64" s="16"/>
      <c r="T64" s="136">
        <f ca="1">Model!J150</f>
        <v>-209</v>
      </c>
      <c r="U64" s="136">
        <f ca="1">Model!O150</f>
        <v>-136</v>
      </c>
      <c r="V64" s="137">
        <f ca="1">Model!T150</f>
        <v>-136</v>
      </c>
      <c r="W64" s="136">
        <f ca="1">Model!Y150</f>
        <v>-6</v>
      </c>
      <c r="X64" s="136">
        <f ca="1">Model!AD150</f>
        <v>-6</v>
      </c>
      <c r="Y64" s="136">
        <f ca="1">Model!AE150</f>
        <v>-6</v>
      </c>
      <c r="Z64" s="136">
        <f ca="1">Model!AF150</f>
        <v>-6</v>
      </c>
      <c r="AA64" s="136">
        <f ca="1">Model!AG150</f>
        <v>-6</v>
      </c>
      <c r="AB64" s="16"/>
      <c r="AC64" s="16"/>
      <c r="AD64" s="16"/>
      <c r="AE64" s="16"/>
    </row>
    <row r="65" ht="13.5" customHeight="1" spans="1:31" x14ac:dyDescent="0.25">
      <c r="A65" s="17"/>
      <c r="B65" s="16"/>
      <c r="C65" s="139" t="str">
        <f ca="1">Model!C151</f>
        <v>Total Shareholder's Equity</v>
      </c>
      <c r="D65" s="16"/>
      <c r="E65" s="16"/>
      <c r="F65" s="16"/>
      <c r="G65" s="140">
        <f t="shared" ref="G65:R65" si="32" ca="1">SUM(G61:G64)</f>
        <v>1716</v>
      </c>
      <c r="H65" s="140">
        <f ca="1">SUM(H61:H64)</f>
        <v>4356</v>
      </c>
      <c r="I65" s="140">
        <f ca="1">SUM(I61:I64)</f>
        <v>4073</v>
      </c>
      <c r="J65" s="141">
        <f ca="1">SUM(J61:J64)</f>
        <v>1437</v>
      </c>
      <c r="K65" s="140">
        <f ca="1">SUM(K61:K64)</f>
        <v>445</v>
      </c>
      <c r="L65" s="140">
        <f ca="1">SUM(L61:L64)</f>
        <v>-175</v>
      </c>
      <c r="M65" s="140">
        <f ca="1">SUM(M61:M64)</f>
        <v>-1576</v>
      </c>
      <c r="N65" s="142">
        <f ca="1">SUM(N61:N64)</f>
        <v>-8977.476413</v>
      </c>
      <c r="O65" s="140">
        <f ca="1">SUM(O61:O64)</f>
        <v>-14136.93432918137</v>
      </c>
      <c r="P65" s="140">
        <f ca="1">SUM(P61:P64)</f>
        <v>-15186.27620670166</v>
      </c>
      <c r="Q65" s="140">
        <f ca="1">SUM(Q61:Q64)</f>
        <v>-18692.843129510562</v>
      </c>
      <c r="R65" s="140">
        <f ca="1">SUM(R61:R64)</f>
        <v>-27010.55591224944</v>
      </c>
      <c r="S65" s="16"/>
      <c r="T65" s="140">
        <f t="shared" ref="T65:AA65" si="33" ca="1">SUM(T61:T64)</f>
        <v>3644</v>
      </c>
      <c r="U65" s="140">
        <f ca="1">SUM(U61:U64)</f>
        <v>1972</v>
      </c>
      <c r="V65" s="141">
        <f ca="1">SUM(V61:V64)</f>
        <v>1437</v>
      </c>
      <c r="W65" s="140">
        <f ca="1">SUM(W61:W64)</f>
        <v>-8977.476413</v>
      </c>
      <c r="X65" s="140">
        <f ca="1">SUM(X61:X64)</f>
        <v>-27010.55591224944</v>
      </c>
      <c r="Y65" s="140">
        <f ca="1">SUM(Y61:Y64)</f>
        <v>-46484.80458341633</v>
      </c>
      <c r="Z65" s="140">
        <f ca="1">SUM(Z61:Z64)</f>
        <v>-66982.63360117457</v>
      </c>
      <c r="AA65" s="140">
        <f ca="1">SUM(AA61:AA64)</f>
        <v>-88450.68716101734</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 ca="1">Model!C153</f>
        <v>Noncontrolling Interests</v>
      </c>
      <c r="D67" s="16"/>
      <c r="E67" s="16"/>
      <c r="F67" s="16"/>
      <c r="G67" s="136">
        <f ca="1">Model!P153</f>
        <v>1552</v>
      </c>
      <c r="H67" s="136">
        <f ca="1">Model!Q153</f>
        <v>1597</v>
      </c>
      <c r="I67" s="136">
        <f ca="1">Model!R153</f>
        <v>2020</v>
      </c>
      <c r="J67" s="137">
        <f ca="1">Model!S153</f>
        <v>2106</v>
      </c>
      <c r="K67" s="136">
        <f ca="1">Model!U153</f>
        <v>2101</v>
      </c>
      <c r="L67" s="136">
        <f ca="1">Model!V153</f>
        <v>1e-12</v>
      </c>
      <c r="M67" s="136">
        <f ca="1">Model!W153</f>
        <v>1e-12</v>
      </c>
      <c r="N67" s="138">
        <f ca="1">Model!X153</f>
        <v>1e-12</v>
      </c>
      <c r="O67" s="136">
        <f ca="1">Model!Z153</f>
        <v>1e-12</v>
      </c>
      <c r="P67" s="136">
        <f ca="1">Model!AA153</f>
        <v>1e-12</v>
      </c>
      <c r="Q67" s="136">
        <f ca="1">Model!AB153</f>
        <v>1e-12</v>
      </c>
      <c r="R67" s="136">
        <f ca="1">Model!AC153</f>
        <v>1e-12</v>
      </c>
      <c r="S67" s="16"/>
      <c r="T67" s="136">
        <f ca="1">Model!J153</f>
        <v>1539</v>
      </c>
      <c r="U67" s="136">
        <f ca="1">Model!O153</f>
        <v>1516</v>
      </c>
      <c r="V67" s="137">
        <f ca="1">Model!T153</f>
        <v>2106</v>
      </c>
      <c r="W67" s="136">
        <f ca="1">Model!Y153</f>
        <v>1e-12</v>
      </c>
      <c r="X67" s="136">
        <f ca="1">Model!AD153</f>
        <v>1e-12</v>
      </c>
      <c r="Y67" s="136">
        <f ca="1">Model!AE153</f>
        <v>1e-12</v>
      </c>
      <c r="Z67" s="136">
        <f ca="1">Model!AF153</f>
        <v>1e-12</v>
      </c>
      <c r="AA67" s="136">
        <f ca="1">Model!AG153</f>
        <v>1e-12</v>
      </c>
      <c r="AB67" s="16"/>
      <c r="AC67" s="16"/>
      <c r="AD67" s="16"/>
      <c r="AE67" s="16"/>
    </row>
    <row r="68" ht="13.5" customHeight="1" spans="1:31" x14ac:dyDescent="0.25">
      <c r="A68" s="17"/>
      <c r="B68" s="16"/>
      <c r="C68" s="139" t="str">
        <f ca="1">Model!C154</f>
        <v>Total Equity</v>
      </c>
      <c r="D68" s="16"/>
      <c r="E68" s="16"/>
      <c r="F68" s="16"/>
      <c r="G68" s="140">
        <f t="shared" ref="G68:R68" si="34" ca="1">SUM(G65,G67)</f>
        <v>1716</v>
      </c>
      <c r="H68" s="140">
        <f ca="1">SUM(H65,H67)</f>
        <v>4356</v>
      </c>
      <c r="I68" s="140">
        <f ca="1">SUM(I65,I67)</f>
        <v>4073</v>
      </c>
      <c r="J68" s="141">
        <f ca="1">SUM(J65,J67)</f>
        <v>1437</v>
      </c>
      <c r="K68" s="140">
        <f ca="1">SUM(K65,K67)</f>
        <v>445</v>
      </c>
      <c r="L68" s="140">
        <f ca="1">SUM(L65,L67)</f>
        <v>-175</v>
      </c>
      <c r="M68" s="140">
        <f ca="1">SUM(M65,M67)</f>
        <v>-1576</v>
      </c>
      <c r="N68" s="142">
        <f ca="1">SUM(N65,N67)</f>
        <v>-8977.476413</v>
      </c>
      <c r="O68" s="140">
        <f ca="1">SUM(O65,O67)</f>
        <v>-14136.93432918137</v>
      </c>
      <c r="P68" s="140">
        <f ca="1">SUM(P65,P67)</f>
        <v>-15186.27620670166</v>
      </c>
      <c r="Q68" s="140">
        <f ca="1">SUM(Q65,Q67)</f>
        <v>-18692.843129510562</v>
      </c>
      <c r="R68" s="140">
        <f ca="1">SUM(R65,R67)</f>
        <v>-27010.55591224944</v>
      </c>
      <c r="S68" s="16"/>
      <c r="T68" s="140">
        <f t="shared" ref="T68:AA68" si="35" ca="1">SUM(T65,T67)</f>
        <v>3644</v>
      </c>
      <c r="U68" s="140">
        <f ca="1">SUM(U65,U67)</f>
        <v>1972</v>
      </c>
      <c r="V68" s="141">
        <f ca="1">SUM(V65,V67)</f>
        <v>1437</v>
      </c>
      <c r="W68" s="140">
        <f ca="1">SUM(W65,W67)</f>
        <v>-8977.476413</v>
      </c>
      <c r="X68" s="140">
        <f ca="1">SUM(X65,X67)</f>
        <v>-27010.55591224944</v>
      </c>
      <c r="Y68" s="140">
        <f ca="1">SUM(Y65,Y67)</f>
        <v>-46484.80458341633</v>
      </c>
      <c r="Z68" s="140">
        <f ca="1">SUM(Z65,Z67)</f>
        <v>-66982.63360117457</v>
      </c>
      <c r="AA68" s="140">
        <f ca="1">SUM(AA65,AA67)</f>
        <v>-88450.68716101734</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 ca="1">Model!C156</f>
        <v>Total Liabilities &amp; Shareholder's Equity</v>
      </c>
      <c r="D70" s="16"/>
      <c r="E70" s="16"/>
      <c r="F70" s="16"/>
      <c r="G70" s="146">
        <f t="shared" ref="G70:R70" si="36" ca="1">SUM(G59,G68)</f>
        <v>45832</v>
      </c>
      <c r="H70" s="146">
        <f ca="1">SUM(H59,H68)</f>
        <v>51763</v>
      </c>
      <c r="I70" s="146">
        <f ca="1">SUM(I59,I68)</f>
        <v>50880</v>
      </c>
      <c r="J70" s="147">
        <f ca="1">SUM(J59,J68)</f>
        <v>46735</v>
      </c>
      <c r="K70" s="146">
        <f ca="1">SUM(K59,K68)</f>
        <v>51200</v>
      </c>
      <c r="L70" s="146">
        <f ca="1">SUM(L59,L68)</f>
        <v>49404</v>
      </c>
      <c r="M70" s="146">
        <f ca="1">SUM(M59,M68)</f>
        <v>49400</v>
      </c>
      <c r="N70" s="148">
        <f ca="1">SUM(N59,N68)</f>
        <v>12764.331969608695</v>
      </c>
      <c r="O70" s="146">
        <f ca="1">SUM(O59,O68)</f>
        <v>10771.38451848017</v>
      </c>
      <c r="P70" s="146">
        <f ca="1">SUM(P59,P68)</f>
        <v>10292.348717978497</v>
      </c>
      <c r="Q70" s="146">
        <f ca="1">SUM(Q59,Q68)</f>
        <v>6847.366137240882</v>
      </c>
      <c r="R70" s="146">
        <f ca="1">SUM(R59,R68)</f>
        <v>-2700.516956705429</v>
      </c>
      <c r="S70" s="149"/>
      <c r="T70" s="146">
        <f t="shared" ref="T70:AA70" si="37" ca="1">SUM(T59,T68)</f>
        <v>34508</v>
      </c>
      <c r="U70" s="146">
        <f ca="1">SUM(U59,U68)</f>
        <v>39471</v>
      </c>
      <c r="V70" s="147">
        <f ca="1">SUM(V59,V68)</f>
        <v>46735</v>
      </c>
      <c r="W70" s="146">
        <f ca="1">SUM(W59,W68)</f>
        <v>12764.331969608695</v>
      </c>
      <c r="X70" s="146">
        <f ca="1">SUM(X59,X68)</f>
        <v>-2700.516956705429</v>
      </c>
      <c r="Y70" s="146">
        <f ca="1">SUM(Y59,Y68)</f>
        <v>-20519.54492293585</v>
      </c>
      <c r="Z70" s="146">
        <f ca="1">SUM(Z59,Z68)</f>
        <v>-40528.8289854098</v>
      </c>
      <c r="AA70" s="146">
        <f ca="1">SUM(AA59,AA68)</f>
        <v>-61530.5573383049</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 ca="1">G$5</f>
        <v>Quarterly</v>
      </c>
      <c r="H72" s="112"/>
      <c r="I72" s="112"/>
      <c r="J72" s="112"/>
      <c r="K72" s="112"/>
      <c r="L72" s="112"/>
      <c r="M72" s="112"/>
      <c r="N72" s="112"/>
      <c r="O72" s="112"/>
      <c r="P72" s="112"/>
      <c r="Q72" s="112"/>
      <c r="R72" s="112"/>
      <c r="S72" s="112"/>
      <c r="T72" s="113" t="str">
        <f ca="1">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 ca="1">G$6</f>
        <v>1Q25</v>
      </c>
      <c r="H73" s="111" t="str">
        <f ca="1">H$6</f>
        <v>2Q25</v>
      </c>
      <c r="I73" s="111" t="str">
        <f ca="1">I$6</f>
        <v>3Q25</v>
      </c>
      <c r="J73" s="111" t="str">
        <f ca="1">J$6</f>
        <v>4Q25</v>
      </c>
      <c r="K73" s="111" t="str">
        <f ca="1">K$6</f>
        <v>1Q26</v>
      </c>
      <c r="L73" s="111" t="str">
        <f ca="1">L$6</f>
        <v>2Q26</v>
      </c>
      <c r="M73" s="111" t="str">
        <f ca="1">M$6</f>
        <v>3Q26e</v>
      </c>
      <c r="N73" s="111" t="str">
        <f ca="1">N$6</f>
        <v>4Q26e</v>
      </c>
      <c r="O73" s="111" t="str">
        <f ca="1">O$6</f>
        <v>1Q27e</v>
      </c>
      <c r="P73" s="111" t="str">
        <f ca="1">P$6</f>
        <v>2Q27e</v>
      </c>
      <c r="Q73" s="111" t="str">
        <f ca="1">Q$6</f>
        <v>3Q27e</v>
      </c>
      <c r="R73" s="111" t="str">
        <f ca="1">R$6</f>
        <v>4Q27e</v>
      </c>
      <c r="S73" s="111"/>
      <c r="T73" s="111">
        <f t="shared" ref="T73:AA73" si="39" ca="1">T$6</f>
        <v>2023</v>
      </c>
      <c r="U73" s="111">
        <f ca="1">U$6</f>
        <v>2024</v>
      </c>
      <c r="V73" s="111">
        <f ca="1">V$6</f>
        <v>2025</v>
      </c>
      <c r="W73" s="111" t="str">
        <f ca="1">W$6</f>
        <v>2026e</v>
      </c>
      <c r="X73" s="111" t="str">
        <f ca="1">X$6</f>
        <v>2027e</v>
      </c>
      <c r="Y73" s="111" t="str">
        <f ca="1">Y$6</f>
        <v>2028e</v>
      </c>
      <c r="Z73" s="111" t="str">
        <f ca="1">Z$6</f>
        <v>2029e</v>
      </c>
      <c r="AA73" s="111" t="str">
        <f ca="1">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 ca="1">G12</f>
        <v>0.3310292249047014</v>
      </c>
      <c r="H76" s="153">
        <f ca="1">H12</f>
        <v>0.3407808951725148</v>
      </c>
      <c r="I76" s="153">
        <f ca="1">I12</f>
        <v>0.3272221973194675</v>
      </c>
      <c r="J76" s="154">
        <f ca="1">J12</f>
        <v>0.31834966274432575</v>
      </c>
      <c r="K76" s="153">
        <f ca="1">K12</f>
        <v>0.3328965686675948</v>
      </c>
      <c r="L76" s="153">
        <f ca="1">L12</f>
        <v>0.33775843307943415</v>
      </c>
      <c r="M76" s="153">
        <f ca="1">M12</f>
        <v>0.33104982982808273</v>
      </c>
      <c r="N76" s="155">
        <f ca="1">N12</f>
        <v>0.12999999999999998</v>
      </c>
      <c r="O76" s="153">
        <f ca="1">O12</f>
        <v>0.13999999999999996</v>
      </c>
      <c r="P76" s="153">
        <f ca="1">P12</f>
        <v>0.145</v>
      </c>
      <c r="Q76" s="153">
        <f ca="1">Q12</f>
        <v>0.11999999999999998</v>
      </c>
      <c r="R76" s="153">
        <f ca="1">R12</f>
        <v>0.13499999999999993</v>
      </c>
      <c r="S76" s="16"/>
      <c r="T76" s="153">
        <f t="shared" ref="T76:AA76" si="41" ca="1">T12</f>
        <v>0.3212497721185264</v>
      </c>
      <c r="U76" s="153">
        <f ca="1">U12</f>
        <v>0.3179991129345235</v>
      </c>
      <c r="V76" s="154">
        <f ca="1">V12</f>
        <v>0.3301784657968459</v>
      </c>
      <c r="W76" s="153">
        <f ca="1">W12</f>
        <v>0.28815440500361494</v>
      </c>
      <c r="X76" s="153">
        <f ca="1">X12</f>
        <v>0.13533005878561802</v>
      </c>
      <c r="Y76" s="153">
        <f ca="1">Y12</f>
        <v>0.13899999999999996</v>
      </c>
      <c r="Z76" s="153">
        <f ca="1">Z12</f>
        <v>0.13999999999999996</v>
      </c>
      <c r="AA76" s="153">
        <f ca="1">AA12</f>
        <v>0.14200000000000007</v>
      </c>
      <c r="AB76" s="16"/>
      <c r="AC76" s="16"/>
      <c r="AD76" s="16"/>
      <c r="AE76" s="16"/>
    </row>
    <row r="77" ht="13.5" customHeight="1" spans="1:31" x14ac:dyDescent="0.25">
      <c r="A77" s="17"/>
      <c r="B77" s="16"/>
      <c r="C77" s="139" t="s">
        <v>113</v>
      </c>
      <c r="D77" s="16"/>
      <c r="E77" s="16"/>
      <c r="F77" s="16"/>
      <c r="G77" s="153">
        <f t="shared" ref="G77:R77" si="42" ca="1">G28</f>
        <v>0.11814790343074968</v>
      </c>
      <c r="H77" s="153">
        <f ca="1">H28</f>
        <v>0.15718738553952094</v>
      </c>
      <c r="I77" s="153">
        <f ca="1">I28</f>
        <v>0.14957102514680176</v>
      </c>
      <c r="J77" s="154">
        <f ca="1">J28</f>
        <v>0.1555314854019989</v>
      </c>
      <c r="K77" s="153">
        <f ca="1">K28</f>
        <v>0.14888215543362543</v>
      </c>
      <c r="L77" s="153">
        <f ca="1">L28</f>
        <v>0.16753717809212912</v>
      </c>
      <c r="M77" s="153">
        <f ca="1">M28</f>
        <v>0.13993367658608954</v>
      </c>
      <c r="N77" s="155">
        <f ca="1">N28</f>
        <v>-0.09000000000000002</v>
      </c>
      <c r="O77" s="153">
        <f ca="1">O28</f>
        <v>-0.08500000000000006</v>
      </c>
      <c r="P77" s="153">
        <f ca="1">P28</f>
        <v>-0.08</v>
      </c>
      <c r="Q77" s="153">
        <f ca="1">Q28</f>
        <v>-0.10000000000000002</v>
      </c>
      <c r="R77" s="153">
        <f ca="1">R28</f>
        <v>-0.08500000000000008</v>
      </c>
      <c r="S77" s="16"/>
      <c r="T77" s="153">
        <f t="shared" ref="T77:AA77" si="43" ca="1">T28</f>
        <v>0.10295460601046151</v>
      </c>
      <c r="U77" s="153">
        <f ca="1">U28</f>
        <v>0.10761906081942674</v>
      </c>
      <c r="V77" s="154">
        <f ca="1">V28</f>
        <v>0.14634273468977757</v>
      </c>
      <c r="W77" s="153">
        <f ca="1">W28</f>
        <v>0.12496457658903766</v>
      </c>
      <c r="X77" s="153">
        <f ca="1">X28</f>
        <v>-0.08728209284612236</v>
      </c>
      <c r="Y77" s="153">
        <f ca="1">Y28</f>
        <v>-0.07600000000000003</v>
      </c>
      <c r="Z77" s="153">
        <f ca="1">Z28</f>
        <v>-0.07100000000000006</v>
      </c>
      <c r="AA77" s="153">
        <f ca="1">AA28</f>
        <v>-0.06399999999999993</v>
      </c>
      <c r="AB77" s="16"/>
      <c r="AC77" s="16"/>
      <c r="AD77" s="16"/>
      <c r="AE77" s="16"/>
    </row>
    <row r="78" ht="13.5" customHeight="1" spans="1:31" x14ac:dyDescent="0.25">
      <c r="A78" s="17"/>
      <c r="B78" s="16"/>
      <c r="C78" s="139" t="s">
        <v>114</v>
      </c>
      <c r="D78" s="16"/>
      <c r="E78" s="16"/>
      <c r="F78" s="16"/>
      <c r="G78" s="153">
        <f t="shared" ref="G78:R78" si="44" ca="1">G16</f>
        <v>0.10119440914866581</v>
      </c>
      <c r="H78" s="153">
        <f ca="1">H16</f>
        <v>0.14493443703757966</v>
      </c>
      <c r="I78" s="153">
        <f ca="1">I16</f>
        <v>0.09749428481778655</v>
      </c>
      <c r="J78" s="154">
        <f ca="1">J16</f>
        <v>0.13633006745113485</v>
      </c>
      <c r="K78" s="153">
        <f ca="1">K16</f>
        <v>0.132872000655147</v>
      </c>
      <c r="L78" s="153">
        <f ca="1">L16</f>
        <v>0.15270221254987304</v>
      </c>
      <c r="M78" s="153">
        <f ca="1">M16</f>
        <v>0.1216947377607121</v>
      </c>
      <c r="N78" s="155">
        <f ca="1">N16</f>
        <v>-0.10521155515545128</v>
      </c>
      <c r="O78" s="153">
        <f ca="1">O16</f>
        <v>-0.09791767198324655</v>
      </c>
      <c r="P78" s="153">
        <f ca="1">P16</f>
        <v>-0.09150141466977164</v>
      </c>
      <c r="Q78" s="153">
        <f ca="1">Q16</f>
        <v>-0.11327856808301211</v>
      </c>
      <c r="R78" s="153">
        <f ca="1">R16</f>
        <v>-0.09904599278058888</v>
      </c>
      <c r="S78" s="16"/>
      <c r="T78" s="153">
        <f t="shared" ref="T78:AA78" si="45" ca="1">T16</f>
        <v>0.05634632374595072</v>
      </c>
      <c r="U78" s="153">
        <f ca="1">U16</f>
        <v>0.08751455341797416</v>
      </c>
      <c r="V78" s="154">
        <f ca="1">V16</f>
        <v>0.12156657030927374</v>
      </c>
      <c r="W78" s="153">
        <f ca="1">W16</f>
        <v>0.08226262669098001</v>
      </c>
      <c r="X78" s="153">
        <f ca="1">X16</f>
        <v>-0.10015651845772622</v>
      </c>
      <c r="Y78" s="153">
        <f ca="1">Y16</f>
        <v>-0.08923024548635708</v>
      </c>
      <c r="Z78" s="153">
        <f ca="1">Z16</f>
        <v>-0.08444869393268568</v>
      </c>
      <c r="AA78" s="153">
        <f ca="1">AA16</f>
        <v>-0.07764743918581588</v>
      </c>
      <c r="AB78" s="16"/>
      <c r="AC78" s="16"/>
      <c r="AD78" s="16"/>
      <c r="AE78" s="16"/>
    </row>
    <row r="79" ht="13.5" customHeight="1" spans="1:31" x14ac:dyDescent="0.25">
      <c r="A79" s="17"/>
      <c r="B79" s="16"/>
      <c r="C79" s="139" t="s">
        <v>115</v>
      </c>
      <c r="D79" s="16"/>
      <c r="E79" s="16"/>
      <c r="F79" s="16"/>
      <c r="G79" s="153">
        <f t="shared" ref="G79:R79" si="46" ca="1">G20</f>
        <v>0.06795425667090216</v>
      </c>
      <c r="H79" s="153">
        <f ca="1">H20</f>
        <v>0.10358215515346861</v>
      </c>
      <c r="I79" s="153">
        <f ca="1">I20</f>
        <v>0.03101887130754404</v>
      </c>
      <c r="J79" s="154">
        <f ca="1">J20</f>
        <v>0.04815124809216681</v>
      </c>
      <c r="K79" s="153">
        <f ca="1">K20</f>
        <v>0.09503726148554582</v>
      </c>
      <c r="L79" s="153">
        <f ca="1">L20</f>
        <v>0.10946681175190424</v>
      </c>
      <c r="M79" s="153">
        <f ca="1">M20</f>
        <v>0.08272973208831486</v>
      </c>
      <c r="N79" s="155">
        <f ca="1">N20</f>
        <v>-0.08756970678069641</v>
      </c>
      <c r="O79" s="153">
        <f ca="1">O20</f>
        <v>-0.08161751391597391</v>
      </c>
      <c r="P79" s="153">
        <f ca="1">P20</f>
        <v>-0.07651644796347332</v>
      </c>
      <c r="Q79" s="153">
        <f ca="1">Q20</f>
        <v>-0.0938896308265556</v>
      </c>
      <c r="R79" s="153">
        <f ca="1">R20</f>
        <v>-0.08463572989316137</v>
      </c>
      <c r="S79" s="16"/>
      <c r="T79" s="153">
        <f t="shared" ref="T79:AA79" si="47" ca="1">T20</f>
        <v>0.03245032183875808</v>
      </c>
      <c r="U79" s="153">
        <f ca="1">U20</f>
        <v>0.059336364140378114</v>
      </c>
      <c r="V79" s="154">
        <f ca="1">V20</f>
        <v>0.06512494837996807</v>
      </c>
      <c r="W79" s="153">
        <f ca="1">W20</f>
        <v>0.08254750663561979</v>
      </c>
      <c r="X79" s="153">
        <f ca="1">X20</f>
        <v>-0.08390562522140124</v>
      </c>
      <c r="Y79" s="153">
        <f ca="1">Y20</f>
        <v>-0.07947510615747658</v>
      </c>
      <c r="Z79" s="153">
        <f ca="1">Z20</f>
        <v>-0.07982583132151991</v>
      </c>
      <c r="AA79" s="153">
        <f ca="1">AA20</f>
        <v>-0.07892147737041591</v>
      </c>
      <c r="AB79" s="16"/>
      <c r="AC79" s="16"/>
      <c r="AD79" s="16"/>
      <c r="AE79" s="16"/>
    </row>
    <row r="80" ht="13.5" customHeight="1" spans="1:31" x14ac:dyDescent="0.25">
      <c r="A80" s="17"/>
      <c r="B80" s="16"/>
      <c r="C80" s="139" t="s">
        <v>116</v>
      </c>
      <c r="D80" s="16"/>
      <c r="E80" s="16"/>
      <c r="F80" s="16"/>
      <c r="G80" s="153">
        <f t="shared" ref="G80:R80" si="48" ca="1">G19/G46</f>
        <v>0.029171757723861057</v>
      </c>
      <c r="H80" s="153">
        <f ca="1">H19/H46</f>
        <v>0.054633618607885945</v>
      </c>
      <c r="I80" s="153">
        <f ca="1">I19/I46</f>
        <v>0.01360062893081761</v>
      </c>
      <c r="J80" s="154">
        <f ca="1">J19/J46</f>
        <v>0.020926500481437894</v>
      </c>
      <c r="K80" s="153">
        <f ca="1">K19/K46</f>
        <v>0.04533203125</v>
      </c>
      <c r="L80" s="153">
        <f ca="1">L19/L46</f>
        <v>0.06108817099829973</v>
      </c>
      <c r="M80" s="153">
        <f ca="1">M19/M46</f>
        <v>0.038380566801619435</v>
      </c>
      <c r="N80" s="155">
        <f ca="1">N19/N46</f>
        <v>-0.04175145599823677</v>
      </c>
      <c r="O80" s="153">
        <f ca="1">O19/O46</f>
        <v>-0.041908968445328015</v>
      </c>
      <c r="P80" s="153">
        <f ca="1">P19/P46</f>
        <v>-0.043688297691062285</v>
      </c>
      <c r="Q80" s="153">
        <f ca="1">Q19/Q46</f>
        <v>-0.048620471554189505</v>
      </c>
      <c r="R80" s="153">
        <f ca="1">R19/R46</f>
        <v>-0.04278649669924912</v>
      </c>
      <c r="S80" s="16"/>
      <c r="T80" s="153">
        <f t="shared" ref="T80:AA80" si="49" ca="1">T19/T46</f>
        <v>0.06705691433870407</v>
      </c>
      <c r="U80" s="153">
        <f ca="1">U19/U46</f>
        <v>0.10845937523751616</v>
      </c>
      <c r="V80" s="154">
        <f ca="1">V19/V46</f>
        <v>0.12485289397667701</v>
      </c>
      <c r="W80" s="153">
        <f ca="1">W19/W46</f>
        <v>0.15316845767862744</v>
      </c>
      <c r="X80" s="153">
        <f ca="1">X19/X46</f>
        <v>-0.18231328979958814</v>
      </c>
      <c r="Y80" s="153">
        <f ca="1">Y19/Y46</f>
        <v>-0.17043038053338808</v>
      </c>
      <c r="Z80" s="153">
        <f ca="1">Z19/Z46</f>
        <v>-0.17023863809550713</v>
      </c>
      <c r="AA80" s="153">
        <f ca="1">AA19/AA46</f>
        <v>-0.1672041047983814</v>
      </c>
      <c r="AB80" s="16"/>
      <c r="AC80" s="16"/>
      <c r="AD80" s="16"/>
      <c r="AE80" s="16"/>
    </row>
    <row r="81" ht="13.5" customHeight="1" spans="1:31" x14ac:dyDescent="0.25">
      <c r="A81" s="17"/>
      <c r="B81" s="16"/>
      <c r="C81" s="139" t="s">
        <v>117</v>
      </c>
      <c r="D81" s="16"/>
      <c r="E81" s="16"/>
      <c r="F81" s="16"/>
      <c r="G81" s="153">
        <f t="shared" ref="G81:R81" si="50" ca="1">G19*4/G68</f>
        <v>3.1165501165501164</v>
      </c>
      <c r="H81" s="153">
        <f ca="1">H19*4/H68</f>
        <v>2.596877869605142</v>
      </c>
      <c r="I81" s="153">
        <f ca="1">I19*4/I68</f>
        <v>0.6795973483918487</v>
      </c>
      <c r="J81" s="154">
        <f ca="1">J19*4/J68</f>
        <v>2.722338204592902</v>
      </c>
      <c r="K81" s="153">
        <f ca="1">K19*4/K68</f>
        <v>20.862921348314607</v>
      </c>
      <c r="L81" s="153">
        <f ca="1">L19*4/L68</f>
        <v>-68.98285714285714</v>
      </c>
      <c r="M81" s="153">
        <f ca="1">M19*4/M68</f>
        <v>-4.812182741116751</v>
      </c>
      <c r="N81" s="155">
        <f ca="1">N19*4/N68</f>
        <v>0.8494932541350472</v>
      </c>
      <c r="O81" s="153">
        <f ca="1">O19*4/O68</f>
        <v>0.5932946613051977</v>
      </c>
      <c r="P81" s="153">
        <f ca="1">P19*4/P68</f>
        <v>0.5902699534811152</v>
      </c>
      <c r="Q81" s="153">
        <f ca="1">Q19*4/Q68</f>
        <v>0.5178120021322329</v>
      </c>
      <c r="R81" s="153">
        <f ca="1">R19*4/R68</f>
        <v>0.30688359215281347</v>
      </c>
      <c r="S81" s="16"/>
      <c r="T81" s="153">
        <f t="shared" ref="T81:AA81" si="51" ca="1">T19/T68</f>
        <v>0.6350164654226125</v>
      </c>
      <c r="U81" s="153">
        <f ca="1">U19/U68</f>
        <v>2.170892494929006</v>
      </c>
      <c r="V81" s="154">
        <f ca="1">V19/V68</f>
        <v>4.060542797494781</v>
      </c>
      <c r="W81" s="153">
        <f ca="1">W19/W68</f>
        <v>-0.7791079881726668</v>
      </c>
      <c r="X81" s="153">
        <f ca="1">X19/X68</f>
        <v>0.32690779560760563</v>
      </c>
      <c r="Y81" s="153">
        <f ca="1">Y19/Y68</f>
        <v>0.1835219439045153</v>
      </c>
      <c r="Z81" s="153">
        <f ca="1">Z19/Z68</f>
        <v>0.1304816068947196</v>
      </c>
      <c r="AA81" s="153">
        <f ca="1">AA19/AA68</f>
        <v>0.0996465420481412</v>
      </c>
      <c r="AB81" s="16"/>
      <c r="AC81" s="16"/>
      <c r="AD81" s="16"/>
      <c r="AE81" s="16"/>
    </row>
    <row r="82" ht="13.5" customHeight="1" spans="1:31" x14ac:dyDescent="0.25">
      <c r="A82" s="17"/>
      <c r="B82" s="16"/>
      <c r="C82" s="139" t="s">
        <v>118</v>
      </c>
      <c r="D82" s="16"/>
      <c r="E82" s="16"/>
      <c r="F82" s="16"/>
      <c r="G82" s="153">
        <f t="shared" ref="G82:S82" si="52" ca="1">G19*4/(G53+G54+G68)</f>
        <v>0.2374777975133215</v>
      </c>
      <c r="H82" s="153">
        <f ca="1">H19*4/(H53+H54+H68)</f>
        <v>0.4495668070900564</v>
      </c>
      <c r="I82" s="153">
        <f ca="1">I19*4/(I53+I54+I68)</f>
        <v>0.10700893029728999</v>
      </c>
      <c r="J82" s="154">
        <f ca="1">J19*4/(J53+J54+J68)</f>
        <v>0.14149305555555555</v>
      </c>
      <c r="K82" s="153">
        <f ca="1">K19*4/(K53+K54+K68)</f>
        <v>0.39191185782430665</v>
      </c>
      <c r="L82" s="153">
        <f ca="1">L19*4/(L53+L54+L68)</f>
        <v>0.5217842323651453</v>
      </c>
      <c r="M82" s="153">
        <f ca="1">M19*4/(M53+M54+M68)</f>
        <v>0.3205816460244325</v>
      </c>
      <c r="N82" s="155">
        <f ca="1">N19*4/(N53+N54+N68)</f>
        <v>-0.48404012788838846</v>
      </c>
      <c r="O82" s="153">
        <f ca="1">O19*4/(O53+O54+O68)</f>
        <v>-0.5644063220139228</v>
      </c>
      <c r="P82" s="153">
        <f ca="1">P19*4/(P53+P54+P68)</f>
        <v>-0.6734195101123912</v>
      </c>
      <c r="Q82" s="153">
        <f ca="1">Q19*4/(Q53+Q54+Q68)</f>
        <v>-1.0402783383918768</v>
      </c>
      <c r="R82" s="153">
        <f ca="1">R19*4/(R53+R54+R68)</f>
        <v>-1.1633291989158239</v>
      </c>
      <c r="S82" s="153">
        <f ca="1">S19*4/(S53+S54+S68)</f>
      </c>
      <c r="T82" s="153">
        <f t="shared" ref="T82:AA82" si="53" ca="1">T19/(T53+T54+T68)</f>
        <v>0.12086706711935231</v>
      </c>
      <c r="U82" s="153">
        <f ca="1">U19/(U53+U54+U68)</f>
        <v>0.22138904690489736</v>
      </c>
      <c r="V82" s="154">
        <f ca="1">V19/(V53+V54+V68)</f>
        <v>0.21104600694444445</v>
      </c>
      <c r="W82" s="153">
        <f ca="1">W19/(W53+W54+W68)</f>
        <v>0.44393469683045955</v>
      </c>
      <c r="X82" s="153">
        <f ca="1">X19/(X53+X54+X68)</f>
        <v>-1.2392366151467678</v>
      </c>
      <c r="Y82" s="153">
        <f ca="1">Y19/(Y53+Y54+Y68)</f>
        <v>5.931473028721265</v>
      </c>
      <c r="Z82" s="153">
        <f ca="1">Z19/(Z53+Z54+Z68)</f>
        <v>0.9315097658980511</v>
      </c>
      <c r="AA82" s="153">
        <f ca="1">AA19/(AA53+AA54+AA68)</f>
        <v>0.5097748201073911</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 ca="1">-Model!P39</f>
        <v>205</v>
      </c>
      <c r="H85" s="116">
        <f ca="1">-Model!Q39</f>
        <v>219</v>
      </c>
      <c r="I85" s="116">
        <f ca="1">-Model!R39</f>
        <v>221</v>
      </c>
      <c r="J85" s="117">
        <f ca="1">-Model!S39</f>
        <v>204</v>
      </c>
      <c r="K85" s="116">
        <f ca="1">-Model!U39</f>
        <v>211</v>
      </c>
      <c r="L85" s="116">
        <f ca="1">-Model!V39</f>
        <v>216</v>
      </c>
      <c r="M85" s="116">
        <f ca="1">-Model!W39</f>
        <v>223</v>
      </c>
      <c r="N85" s="118">
        <f ca="1">-Model!X39</f>
        <v>217.976675</v>
      </c>
      <c r="O85" s="116">
        <f ca="1">-Model!Z39</f>
        <v>243.3919727912756</v>
      </c>
      <c r="P85" s="116">
        <f ca="1">-Model!AA39</f>
        <v>268.80727058255127</v>
      </c>
      <c r="Q85" s="116">
        <f ca="1">-Model!AB39</f>
        <v>264.44477058255126</v>
      </c>
      <c r="R85" s="116">
        <f ca="1">-Model!AC39</f>
        <v>301.57246667401023</v>
      </c>
      <c r="S85" s="16"/>
      <c r="T85" s="116">
        <f ca="1">-Model!J39</f>
        <v>624</v>
      </c>
      <c r="U85" s="116">
        <f ca="1">-Model!O39</f>
        <v>691</v>
      </c>
      <c r="V85" s="117">
        <f ca="1">-Model!T39</f>
        <v>849</v>
      </c>
      <c r="W85" s="116">
        <f ca="1">-Model!Y39</f>
        <v>1031.976675</v>
      </c>
      <c r="X85" s="116">
        <f ca="1">-Model!AD39</f>
        <v>1078.2164806303883</v>
      </c>
      <c r="Y85" s="116">
        <f ca="1">-Model!AE39</f>
        <v>1646.8623689294782</v>
      </c>
      <c r="Z85" s="116">
        <f ca="1">-Model!AF39</f>
        <v>2253.850746669549</v>
      </c>
      <c r="AA85" s="116">
        <f ca="1">-Model!AG39</f>
        <v>2925.5891152031472</v>
      </c>
      <c r="AB85" s="16"/>
      <c r="AC85" s="16"/>
      <c r="AD85" s="16"/>
      <c r="AE85" s="16"/>
    </row>
    <row r="86" ht="13.5" customHeight="1" spans="1:31" x14ac:dyDescent="0.25">
      <c r="A86" s="17"/>
      <c r="B86" s="16"/>
      <c r="C86" s="139" t="s">
        <v>121</v>
      </c>
      <c r="D86" s="16"/>
      <c r="E86" s="16"/>
      <c r="F86" s="16"/>
      <c r="G86" s="136">
        <f ca="1">Model!P193</f>
        <v>328</v>
      </c>
      <c r="H86" s="136">
        <f ca="1">Model!Q193</f>
        <v>382</v>
      </c>
      <c r="I86" s="136">
        <f ca="1">Model!R193</f>
        <v>462</v>
      </c>
      <c r="J86" s="137">
        <f ca="1">Model!S193</f>
        <v>557</v>
      </c>
      <c r="K86" s="136">
        <f ca="1">Model!U193</f>
        <v>461</v>
      </c>
      <c r="L86" s="136">
        <f ca="1">Model!V193</f>
        <v>385</v>
      </c>
      <c r="M86" s="136">
        <f ca="1">Model!W193</f>
        <v>410</v>
      </c>
      <c r="N86" s="138">
        <f ca="1">Model!X193</f>
        <v>370.1257</v>
      </c>
      <c r="O86" s="136">
        <f ca="1">Model!Z193</f>
        <v>616.585872</v>
      </c>
      <c r="P86" s="136">
        <f ca="1">Model!AA193</f>
        <v>644.3322362399999</v>
      </c>
      <c r="Q86" s="136">
        <f ca="1">Model!AB193</f>
        <v>438.14592064320004</v>
      </c>
      <c r="R86" s="136">
        <f ca="1">Model!AC193</f>
        <v>416.23862461104</v>
      </c>
      <c r="S86" s="16"/>
      <c r="T86" s="136">
        <f ca="1">Model!J193</f>
        <v>1174</v>
      </c>
      <c r="U86" s="136">
        <f ca="1">Model!O193</f>
        <v>1484</v>
      </c>
      <c r="V86" s="137">
        <f ca="1">Model!T193</f>
        <v>1729</v>
      </c>
      <c r="W86" s="136">
        <f ca="1">Model!Y193</f>
        <v>1626.1257</v>
      </c>
      <c r="X86" s="136">
        <f ca="1">Model!AD193</f>
        <v>2115.30265349424</v>
      </c>
      <c r="Y86" s="136">
        <f ca="1">Model!AE193</f>
        <v>2146.8311554730876</v>
      </c>
      <c r="Z86" s="136">
        <f ca="1">Model!AF193</f>
        <v>2189.7677785825495</v>
      </c>
      <c r="AA86" s="136">
        <f ca="1">Model!AG193</f>
        <v>2345.2412908619103</v>
      </c>
      <c r="AB86" s="16"/>
      <c r="AC86" s="16"/>
      <c r="AD86" s="16"/>
      <c r="AE86" s="16"/>
    </row>
    <row r="87" ht="13.5" customHeight="1" spans="1:31" x14ac:dyDescent="0.25">
      <c r="A87" s="17"/>
      <c r="B87" s="16"/>
      <c r="C87" s="139" t="s">
        <v>122</v>
      </c>
      <c r="D87" s="16"/>
      <c r="E87" s="16"/>
      <c r="F87" s="16"/>
      <c r="G87" s="156">
        <f t="shared" ref="G87:R87" si="54" ca="1">IF(ISERROR(G15/G85),"N/A",(G15/G85))</f>
        <v>9.71219512195122</v>
      </c>
      <c r="H87" s="156">
        <f ca="1">IF(ISERROR(H15/H85),"N/A",(H15/H85))</f>
        <v>18.068493150684933</v>
      </c>
      <c r="I87" s="156">
        <f ca="1">IF(ISERROR(I15/I85),"N/A",(I15/I85))</f>
        <v>9.841628959276019</v>
      </c>
      <c r="J87" s="157">
        <f ca="1">IF(ISERROR(J15/J85),"N/A",(J15/J85))</f>
        <v>13.573529411764707</v>
      </c>
      <c r="K87" s="156">
        <f ca="1">IF(ISERROR(K15/K85),"N/A",(K15/K85))</f>
        <v>15.37914691943128</v>
      </c>
      <c r="L87" s="156">
        <f ca="1">IF(ISERROR(L15/L85),"N/A",(L15/L85))</f>
        <v>19.49074074074074</v>
      </c>
      <c r="M87" s="156">
        <f ca="1">IF(ISERROR(M15/M85),"N/A",(M15/M85))</f>
        <v>12.506726457399104</v>
      </c>
      <c r="N87" s="158" t="str">
        <f ca="1">IF(ISERROR(N15/N85),"N/A",(N15/N85))</f>
        <v>N/A</v>
      </c>
      <c r="O87" s="156" t="str">
        <f ca="1">IF(ISERROR(O15/O85),"N/A",(O15/O85))</f>
        <v>N/A</v>
      </c>
      <c r="P87" s="156" t="str">
        <f ca="1">IF(ISERROR(P15/P85),"N/A",(P15/P85))</f>
        <v>N/A</v>
      </c>
      <c r="Q87" s="156" t="str">
        <f ca="1">IF(ISERROR(Q15/Q85),"N/A",(Q15/Q85))</f>
        <v>N/A</v>
      </c>
      <c r="R87" s="156" t="str">
        <f ca="1">IF(ISERROR(R15/R85),"N/A",(R15/R85))</f>
        <v>N/A</v>
      </c>
      <c r="S87" s="16"/>
      <c r="T87" s="156">
        <f t="shared" ref="T87:AA87" si="55" ca="1">IF(ISERROR(T15/T85),"N/A",(T15/T85))</f>
        <v>6.439102564102564</v>
      </c>
      <c r="U87" s="156">
        <f ca="1">IF(ISERROR(U15/U85),"N/A",(U15/U85))</f>
        <v>9.137481910274964</v>
      </c>
      <c r="V87" s="157">
        <f ca="1">IF(ISERROR(V15/V85),"N/A",(V15/V85))</f>
        <v>12.829210836277975</v>
      </c>
      <c r="W87" s="156" t="str">
        <f ca="1">IF(ISERROR(W15/W85),"N/A",(W15/W85))</f>
        <v>N/A</v>
      </c>
      <c r="X87" s="156" t="str">
        <f ca="1">IF(ISERROR(X15/X85),"N/A",(X15/X85))</f>
        <v>N/A</v>
      </c>
      <c r="Y87" s="156" t="str">
        <f ca="1">IF(ISERROR(Y15/Y85),"N/A",(Y15/Y85))</f>
        <v>N/A</v>
      </c>
      <c r="Z87" s="156" t="str">
        <f ca="1">IF(ISERROR(Z15/Z85),"N/A",(Z15/Z85))</f>
        <v>N/A</v>
      </c>
      <c r="AA87" s="156" t="str">
        <f ca="1">IF(ISERROR(AA15/AA85),"N/A",(AA15/AA85))</f>
        <v>N/A</v>
      </c>
      <c r="AB87" s="16"/>
      <c r="AC87" s="16"/>
      <c r="AD87" s="16"/>
      <c r="AE87" s="16"/>
    </row>
    <row r="88" ht="13.5" customHeight="1" spans="1:31" x14ac:dyDescent="0.25">
      <c r="A88" s="17"/>
      <c r="B88" s="16"/>
      <c r="C88" s="139" t="s">
        <v>123</v>
      </c>
      <c r="D88" s="16"/>
      <c r="E88" s="16"/>
      <c r="F88" s="16"/>
      <c r="G88" s="156">
        <f t="shared" ref="G88:R88" si="56" ca="1">IF(ISERROR(G27/G85),"N/A",(G27/G85))</f>
        <v>11.339317073170731</v>
      </c>
      <c r="H88" s="156">
        <f ca="1">IF(ISERROR(H27/H85),"N/A",(H27/H85))</f>
        <v>19.596027397260276</v>
      </c>
      <c r="I88" s="156">
        <f ca="1">IF(ISERROR(I27/I85),"N/A",(I27/I85))</f>
        <v>15.098552036199097</v>
      </c>
      <c r="J88" s="157">
        <f ca="1">IF(ISERROR(J27/J85),"N/A",(J27/J85))</f>
        <v>15.485294117647058</v>
      </c>
      <c r="K88" s="156">
        <f ca="1">IF(ISERROR(K27/K85),"N/A",(K27/K85))</f>
        <v>17.232227488151658</v>
      </c>
      <c r="L88" s="156">
        <f ca="1">IF(ISERROR(L27/L85),"N/A",(L27/L85))</f>
        <v>21.38425925925926</v>
      </c>
      <c r="M88" s="156">
        <f ca="1">IF(ISERROR(M27/M85),"N/A",(M27/M85))</f>
        <v>14.38116591928251</v>
      </c>
      <c r="N88" s="158" t="str">
        <f ca="1">IF(ISERROR(N27/N85),"N/A",(N27/N85))</f>
        <v>N/A</v>
      </c>
      <c r="O88" s="156" t="str">
        <f ca="1">IF(ISERROR(O27/O85),"N/A",(O27/O85))</f>
        <v>N/A</v>
      </c>
      <c r="P88" s="156" t="str">
        <f ca="1">IF(ISERROR(P27/P85),"N/A",(P27/P85))</f>
        <v>N/A</v>
      </c>
      <c r="Q88" s="156" t="str">
        <f ca="1">IF(ISERROR(Q27/Q85),"N/A",(Q27/Q85))</f>
        <v>N/A</v>
      </c>
      <c r="R88" s="156" t="str">
        <f ca="1">IF(ISERROR(R27/R85),"N/A",(R27/R85))</f>
        <v>N/A</v>
      </c>
      <c r="S88" s="16"/>
      <c r="T88" s="156">
        <f t="shared" ref="T88:AA88" si="57" ca="1">IF(ISERROR(T27/T85),"N/A",(T27/T85))</f>
        <v>11.76536858974359</v>
      </c>
      <c r="U88" s="156">
        <f ca="1">IF(ISERROR(U27/U85),"N/A",(U27/U85))</f>
        <v>11.236613603473227</v>
      </c>
      <c r="V88" s="157">
        <f ca="1">IF(ISERROR(V27/V85),"N/A",(V27/V85))</f>
        <v>15.44389870435807</v>
      </c>
      <c r="W88" s="156" t="str">
        <f ca="1">IF(ISERROR(W27/W85),"N/A",(W27/W85))</f>
        <v>N/A</v>
      </c>
      <c r="X88" s="156" t="str">
        <f ca="1">IF(ISERROR(X27/X85),"N/A",(X27/X85))</f>
        <v>N/A</v>
      </c>
      <c r="Y88" s="156" t="str">
        <f ca="1">IF(ISERROR(Y27/Y85),"N/A",(Y27/Y85))</f>
        <v>N/A</v>
      </c>
      <c r="Z88" s="156" t="str">
        <f ca="1">IF(ISERROR(Z27/Z85),"N/A",(Z27/Z85))</f>
        <v>N/A</v>
      </c>
      <c r="AA88" s="156" t="str">
        <f ca="1">IF(ISERROR(AA27/AA85),"N/A",(AA27/AA85))</f>
        <v>N/A</v>
      </c>
      <c r="AB88" s="16"/>
      <c r="AC88" s="16"/>
      <c r="AD88" s="16"/>
      <c r="AE88" s="16"/>
    </row>
    <row r="89" ht="13.5" customHeight="1" spans="1:31" x14ac:dyDescent="0.25">
      <c r="A89" s="17"/>
      <c r="B89" s="16"/>
      <c r="C89" s="139" t="s">
        <v>124</v>
      </c>
      <c r="D89" s="16"/>
      <c r="E89" s="16"/>
      <c r="F89" s="16"/>
      <c r="G89" s="156">
        <f t="shared" ref="G89:R89" si="58" ca="1">IF(ISERROR((G27-G86)/G85),"N/A",((G27-G86)/G85))</f>
        <v>9.739317073170731</v>
      </c>
      <c r="H89" s="156">
        <f ca="1">IF(ISERROR((H27-H86)/H85),"N/A",((H27-H86)/H85))</f>
        <v>17.851735159817355</v>
      </c>
      <c r="I89" s="156">
        <f ca="1">IF(ISERROR((I27-I86)/I85),"N/A",((I27-I86)/I85))</f>
        <v>13.008054298642534</v>
      </c>
      <c r="J89" s="157">
        <f ca="1">IF(ISERROR((J27-J86)/J85),"N/A",((J27-J86)/J85))</f>
        <v>12.754901960784315</v>
      </c>
      <c r="K89" s="156">
        <f ca="1">IF(ISERROR((K27-K86)/K85),"N/A",((K27-K86)/K85))</f>
        <v>15.04739336492891</v>
      </c>
      <c r="L89" s="156">
        <f ca="1">IF(ISERROR((L27-L86)/L85),"N/A",((L27-L86)/L85))</f>
        <v>19.60185185185185</v>
      </c>
      <c r="M89" s="156">
        <f ca="1">IF(ISERROR((M27-M86)/M85),"N/A",((M27-M86)/M85))</f>
        <v>12.542600896860986</v>
      </c>
      <c r="N89" s="158" t="str">
        <f ca="1">IF(ISERROR((N27-N86)/N85),"N/A",((N27-N86)/N85))</f>
        <v>N/A</v>
      </c>
      <c r="O89" s="156" t="str">
        <f ca="1">IF(ISERROR((O27-O86)/O85),"N/A",((O27-O86)/O85))</f>
        <v>N/A</v>
      </c>
      <c r="P89" s="156" t="str">
        <f ca="1">IF(ISERROR((P27-P86)/P85),"N/A",((P27-P86)/P85))</f>
        <v>N/A</v>
      </c>
      <c r="Q89" s="156" t="str">
        <f ca="1">IF(ISERROR((Q27-Q86)/Q85),"N/A",((Q27-Q86)/Q85))</f>
        <v>N/A</v>
      </c>
      <c r="R89" s="156" t="str">
        <f ca="1">IF(ISERROR((R27-R86)/R85),"N/A",((R27-R86)/R85))</f>
        <v>N/A</v>
      </c>
      <c r="S89" s="16"/>
      <c r="T89" s="156">
        <f t="shared" ref="T89:AA89" si="59" ca="1">IF(ISERROR((T27-T86)/T85),"N/A",((T27-T86)/T85))</f>
        <v>9.883958333333334</v>
      </c>
      <c r="U89" s="156">
        <f ca="1">IF(ISERROR((U27-U86)/U85),"N/A",((U27-U86)/U85))</f>
        <v>9.089001447178003</v>
      </c>
      <c r="V89" s="157">
        <f ca="1">IF(ISERROR((V27-V86)/V85),"N/A",((V27-V86)/V85))</f>
        <v>13.407385159010602</v>
      </c>
      <c r="W89" s="156" t="str">
        <f ca="1">IF(ISERROR((W27-W86)/W85),"N/A",((W27-W86)/W85))</f>
        <v>N/A</v>
      </c>
      <c r="X89" s="156" t="str">
        <f ca="1">IF(ISERROR((X27-X86)/X85),"N/A",((X27-X86)/X85))</f>
        <v>N/A</v>
      </c>
      <c r="Y89" s="156" t="str">
        <f ca="1">IF(ISERROR((Y27-Y86)/Y85),"N/A",((Y27-Y86)/Y85))</f>
        <v>N/A</v>
      </c>
      <c r="Z89" s="156" t="str">
        <f ca="1">IF(ISERROR((Z27-Z86)/Z85),"N/A",((Z27-Z86)/Z85))</f>
        <v>N/A</v>
      </c>
      <c r="AA89" s="156" t="str">
        <f ca="1">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 ca="1">IF(ISERROR((G53+G54)/G27),"NA",((G53+G54)/G27))</f>
        <v>8.949650686581547</v>
      </c>
      <c r="H92" s="156">
        <f ca="1">IF(ISERROR((H53+H54)/H27),"NA",((H53+H54)/H27))</f>
        <v>4.848154387829049</v>
      </c>
      <c r="I92" s="156">
        <f ca="1">IF(ISERROR((I53+I54)/I27),"NA",((I53+I54)/I27))</f>
        <v>6.531446484335197</v>
      </c>
      <c r="J92" s="157">
        <f ca="1">IF(ISERROR((J53+J54)/J27),"NA",((J53+J54)/J27))</f>
        <v>8.29724596391263</v>
      </c>
      <c r="K92" s="156">
        <f ca="1">IF(ISERROR((K53+K54)/K27),"NA",((K53+K54)/K27))</f>
        <v>6.3927392739273925</v>
      </c>
      <c r="L92" s="156">
        <f ca="1">IF(ISERROR((L53+L54)/L27),"NA",((L53+L54)/L27))</f>
        <v>5.046763368694522</v>
      </c>
      <c r="M92" s="156">
        <f ca="1">IF(ISERROR((M53+M54)/M27),"NA",((M53+M54)/M27))</f>
        <v>7.868101028999065</v>
      </c>
      <c r="N92" s="159" t="str">
        <f ca="1">IF(ISERROR((N53+N54)/N27),"NA",((N53+N54)/N27))</f>
        <v>NA</v>
      </c>
      <c r="O92" s="156" t="str">
        <f ca="1">IF(ISERROR((O53+O54)/O27),"NA",((O53+O54)/O27))</f>
        <v>NA</v>
      </c>
      <c r="P92" s="156" t="str">
        <f ca="1">IF(ISERROR((P53+P54)/P27),"NA",((P53+P54)/P27))</f>
        <v>NA</v>
      </c>
      <c r="Q92" s="156" t="str">
        <f ca="1">IF(ISERROR((Q53+Q54)/Q27),"NA",((Q53+Q54)/Q27))</f>
        <v>NA</v>
      </c>
      <c r="R92" s="156" t="str">
        <f ca="1">IF(ISERROR((R53+R54)/R27),"NA",((R53+R54)/R27))</f>
        <v>NA</v>
      </c>
      <c r="S92" s="156"/>
      <c r="T92" s="156">
        <f t="shared" ref="T92:AA92" si="61" ca="1">IF(ISERROR((T53+T54)/T27),"NA",((T53+T54)/T27))</f>
        <v>2.111395487898398</v>
      </c>
      <c r="U92" s="156">
        <f ca="1">IF(ISERROR((U53+U54)/U27),"NA",((U53+U54)/U27))</f>
        <v>2.236460815248889</v>
      </c>
      <c r="V92" s="157">
        <f ca="1">IF(ISERROR((V53+V54)/V27),"NA",((V53+V54)/V27))</f>
        <v>1.9990283613245097</v>
      </c>
      <c r="W92" s="156" t="str">
        <f ca="1">IF(ISERROR((W53+W54)/W27),"NA",((W53+W54)/W27))</f>
        <v>NA</v>
      </c>
      <c r="X92" s="156" t="str">
        <f ca="1">IF(ISERROR((X53+X54)/X27),"NA",((X53+X54)/X27))</f>
        <v>NA</v>
      </c>
      <c r="Y92" s="156" t="str">
        <f ca="1">IF(ISERROR((Y53+Y54)/Y27),"NA",((Y53+Y54)/Y27))</f>
        <v>NA</v>
      </c>
      <c r="Z92" s="156" t="str">
        <f ca="1">IF(ISERROR((Z53+Z54)/Z27),"NA",((Z53+Z54)/Z27))</f>
        <v>NA</v>
      </c>
      <c r="AA92" s="156" t="str">
        <f ca="1">IF(ISERROR((AA53+AA54)/AA27),"NA",((AA53+AA54)/AA27))</f>
        <v>NA</v>
      </c>
      <c r="AB92" s="16"/>
      <c r="AC92" s="16"/>
      <c r="AD92" s="16"/>
      <c r="AE92" s="16"/>
    </row>
    <row r="93" ht="13.5" customHeight="1" spans="1:31" x14ac:dyDescent="0.25">
      <c r="A93" s="17"/>
      <c r="B93" s="16"/>
      <c r="C93" s="139" t="s">
        <v>127</v>
      </c>
      <c r="D93" s="16"/>
      <c r="E93" s="16"/>
      <c r="F93" s="16"/>
      <c r="G93" s="156">
        <f t="shared" ref="G93:R93" si="62" ca="1">IF(ISERROR((G53+G54)/G68),"NA",((G53+G54)/G68))</f>
        <v>12.123543123543124</v>
      </c>
      <c r="H93" s="156">
        <f ca="1">IF(ISERROR((H53+H54)/H68),"NA",((H53+H54)/H68))</f>
        <v>4.776400367309458</v>
      </c>
      <c r="I93" s="156">
        <f ca="1">IF(ISERROR((I53+I54)/I68),"NA",((I53+I54)/I68))</f>
        <v>5.350847041492758</v>
      </c>
      <c r="J93" s="157">
        <f ca="1">IF(ISERROR((J53+J54)/J68),"NA",((J53+J54)/J68))</f>
        <v>18.24008350730689</v>
      </c>
      <c r="K93" s="156">
        <f ca="1">IF(ISERROR((K53+K54)/K68),"NA",((K53+K54)/K68))</f>
        <v>52.23370786516854</v>
      </c>
      <c r="L93" s="156">
        <f ca="1">IF(ISERROR((L53+L54)/L68),"NA",((L53+L54)/L68))</f>
        <v>-133.2057142857143</v>
      </c>
      <c r="M93" s="156">
        <f ca="1">IF(ISERROR((M53+M54)/M68),"NA",((M53+M54)/M68))</f>
        <v>-16.010786802030456</v>
      </c>
      <c r="N93" s="159" t="str">
        <f ca="1">IF(ISERROR((N53+N54)/N68),"NA",((N53+N54)/N68))</f>
        <v>NA</v>
      </c>
      <c r="O93" s="156" t="str">
        <f ca="1">IF(ISERROR((O53+O54)/O68),"NA",((O53+O54)/O68))</f>
        <v>NA</v>
      </c>
      <c r="P93" s="156" t="str">
        <f ca="1">IF(ISERROR((P53+P54)/P68),"NA",((P53+P54)/P68))</f>
        <v>NA</v>
      </c>
      <c r="Q93" s="156" t="str">
        <f ca="1">IF(ISERROR((Q53+Q54)/Q68),"NA",((Q53+Q54)/Q68))</f>
        <v>NA</v>
      </c>
      <c r="R93" s="156" t="str">
        <f ca="1">IF(ISERROR((R53+R54)/R68),"NA",((R53+R54)/R68))</f>
        <v>NA</v>
      </c>
      <c r="S93" s="156"/>
      <c r="T93" s="156">
        <f t="shared" ref="T93:AA93" si="63" ca="1">IF(ISERROR((T53+T54)/T68),"NA",((T53+T54)/T68))</f>
        <v>4.25384193194292</v>
      </c>
      <c r="U93" s="156">
        <f ca="1">IF(ISERROR((U53+U54)/U68),"NA",((U53+U54)/U68))</f>
        <v>8.80578093306288</v>
      </c>
      <c r="V93" s="157">
        <f ca="1">IF(ISERROR((V53+V54)/V68),"NA",((V53+V54)/V68))</f>
        <v>18.24008350730689</v>
      </c>
      <c r="W93" s="156" t="str">
        <f ca="1">IF(ISERROR((W53+W54)/W68),"NA",((W53+W54)/W68))</f>
        <v>NA</v>
      </c>
      <c r="X93" s="156" t="str">
        <f ca="1">IF(ISERROR((X53+X54)/X68),"NA",((X53+X54)/X68))</f>
        <v>NA</v>
      </c>
      <c r="Y93" s="156" t="str">
        <f ca="1">IF(ISERROR((Y53+Y54)/Y68),"NA",((Y53+Y54)/Y68))</f>
        <v>NA</v>
      </c>
      <c r="Z93" s="156" t="str">
        <f ca="1">IF(ISERROR((Z53+Z54)/Z68),"NA",((Z53+Z54)/Z68))</f>
        <v>NA</v>
      </c>
      <c r="AA93" s="156" t="str">
        <f ca="1">IF(ISERROR((AA53+AA54)/AA68),"NA",((AA53+AA54)/AA68))</f>
        <v>NA</v>
      </c>
      <c r="AB93" s="16"/>
      <c r="AC93" s="16"/>
      <c r="AD93" s="16"/>
      <c r="AE93" s="16"/>
    </row>
    <row r="94" ht="13.5" customHeight="1" spans="1:31" x14ac:dyDescent="0.25">
      <c r="A94" s="17"/>
      <c r="B94" s="16"/>
      <c r="C94" s="139" t="s">
        <v>128</v>
      </c>
      <c r="D94" s="16"/>
      <c r="E94" s="16"/>
      <c r="F94" s="16"/>
      <c r="G94" s="156">
        <f t="shared" ref="G94:R94" si="64" ca="1">IF(ISERROR((G53+G54)/G46),"NA",((G53+G54)/G46))</f>
        <v>0.45391865945191134</v>
      </c>
      <c r="H94" s="156">
        <f ca="1">IF(ISERROR((H53+H54)/H46),"NA",((H53+H54)/H46))</f>
        <v>0.40194733690087514</v>
      </c>
      <c r="I94" s="156">
        <f ca="1">IF(ISERROR((I53+I54)/I46),"NA",((I53+I54)/I46))</f>
        <v>0.42834119496855344</v>
      </c>
      <c r="J94" s="157">
        <f ca="1">IF(ISERROR((J53+J54)/J46),"NA",((J53+J54)/J46))</f>
        <v>0.5608430512463892</v>
      </c>
      <c r="K94" s="156">
        <f ca="1">IF(ISERROR((K53+K54)/K46),"NA",((K53+K54)/K46))</f>
        <v>0.453984375</v>
      </c>
      <c r="L94" s="156">
        <f ca="1">IF(ISERROR((L53+L54)/L46),"NA",((L53+L54)/L46))</f>
        <v>0.4718443850700348</v>
      </c>
      <c r="M94" s="156">
        <f ca="1">IF(ISERROR((M53+M54)/M46),"NA",((M53+M54)/M46))</f>
        <v>0.5107894736842106</v>
      </c>
      <c r="N94" s="159" t="str">
        <f ca="1">IF(ISERROR((N53+N54)/N46),"NA",((N53+N54)/N46))</f>
        <v>NA</v>
      </c>
      <c r="O94" s="156" t="str">
        <f ca="1">IF(ISERROR((O53+O54)/O46),"NA",((O53+O54)/O46))</f>
        <v>NA</v>
      </c>
      <c r="P94" s="156" t="str">
        <f ca="1">IF(ISERROR((P53+P54)/P46),"NA",((P53+P54)/P46))</f>
        <v>NA</v>
      </c>
      <c r="Q94" s="156" t="str">
        <f ca="1">IF(ISERROR((Q53+Q54)/Q46),"NA",((Q53+Q54)/Q46))</f>
        <v>NA</v>
      </c>
      <c r="R94" s="156" t="str">
        <f ca="1">IF(ISERROR((R53+R54)/R46),"NA",((R53+R54)/R46))</f>
        <v>NA</v>
      </c>
      <c r="S94" s="156"/>
      <c r="T94" s="156">
        <f t="shared" ref="T94:AA94" si="65" ca="1">IF(ISERROR((T53+T54)/T46),"NA",((T53+T54)/T46))</f>
        <v>0.4492001854642402</v>
      </c>
      <c r="U94" s="156">
        <f ca="1">IF(ISERROR((U53+U54)/U46),"NA",((U53+U54)/U46))</f>
        <v>0.4399432494742976</v>
      </c>
      <c r="V94" s="157">
        <f ca="1">IF(ISERROR((V53+V54)/V46),"NA",((V53+V54)/V46))</f>
        <v>0.5608430512463892</v>
      </c>
      <c r="W94" s="156" t="str">
        <f ca="1">IF(ISERROR((W53+W54)/W46),"NA",((W53+W54)/W46))</f>
        <v>NA</v>
      </c>
      <c r="X94" s="156" t="str">
        <f ca="1">IF(ISERROR((X53+X54)/X46),"NA",((X53+X54)/X46))</f>
        <v>NA</v>
      </c>
      <c r="Y94" s="156" t="str">
        <f ca="1">IF(ISERROR((Y53+Y54)/Y46),"NA",((Y53+Y54)/Y46))</f>
        <v>NA</v>
      </c>
      <c r="Z94" s="156" t="str">
        <f ca="1">IF(ISERROR((Z53+Z54)/Z46),"NA",((Z53+Z54)/Z46))</f>
        <v>NA</v>
      </c>
      <c r="AA94" s="156" t="str">
        <f ca="1">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 ca="1">G8/G46</f>
        <v>0.4292852155699075</v>
      </c>
      <c r="H97" s="156">
        <f ca="1">H8/H46</f>
        <v>0.5274423816239399</v>
      </c>
      <c r="I97" s="156">
        <f ca="1">I8/I46</f>
        <v>0.4384630503144654</v>
      </c>
      <c r="J97" s="157">
        <f ca="1">J8/J46</f>
        <v>0.43459933668556755</v>
      </c>
      <c r="K97" s="156">
        <f ca="1">K8/K46</f>
        <v>0.4769921875</v>
      </c>
      <c r="L97" s="156">
        <f ca="1">L8/L46</f>
        <v>0.5580519795967938</v>
      </c>
      <c r="M97" s="156">
        <f ca="1">M8/M46</f>
        <v>0.4639271255060729</v>
      </c>
      <c r="N97" s="158">
        <f ca="1">N8/N46</f>
        <v>0.4767796711115667</v>
      </c>
      <c r="O97" s="160">
        <f ca="1">O8/O46</f>
        <v>0.5134800906637972</v>
      </c>
      <c r="P97" s="160">
        <f ca="1">P8/P46</f>
        <v>0.5709660975365426</v>
      </c>
      <c r="Q97" s="160">
        <f ca="1">Q8/Q46</f>
        <v>0.5178470841365559</v>
      </c>
      <c r="R97" s="160">
        <f ca="1">R8/R46</f>
        <v>0.5055370439087605</v>
      </c>
      <c r="S97" s="16"/>
      <c r="T97" s="160">
        <f t="shared" ref="T97:AA97" si="67" ca="1">T8/T46</f>
        <v>2.066448359800626</v>
      </c>
      <c r="U97" s="160">
        <f ca="1">U8/U46</f>
        <v>1.8278736287400876</v>
      </c>
      <c r="V97" s="161">
        <f ca="1">V8/V46</f>
        <v>1.9171284904247352</v>
      </c>
      <c r="W97" s="160">
        <f ca="1">W8/W46</f>
        <v>1.8555188875024635</v>
      </c>
      <c r="X97" s="160">
        <f ca="1">X8/X46</f>
        <v>2.1728375102207895</v>
      </c>
      <c r="Y97" s="160">
        <f ca="1">Y8/Y46</f>
        <v>2.1444498632777846</v>
      </c>
      <c r="Z97" s="160">
        <f ca="1">Z8/Z46</f>
        <v>2.132625934201993</v>
      </c>
      <c r="AA97" s="160">
        <f ca="1">AA8/AA46</f>
        <v>2.1186134670745362</v>
      </c>
      <c r="AB97" s="16"/>
      <c r="AC97" s="16"/>
      <c r="AD97" s="16"/>
      <c r="AE97" s="16"/>
    </row>
    <row r="98" ht="13.5" customHeight="1" spans="1:31" x14ac:dyDescent="0.25">
      <c r="A98" s="17"/>
      <c r="B98" s="16"/>
      <c r="C98" s="139" t="str">
        <f ca="1">Model!C182</f>
        <v>Days Sales Outstanding</v>
      </c>
      <c r="D98" s="16"/>
      <c r="E98" s="16"/>
      <c r="F98" s="16"/>
      <c r="G98" s="162">
        <f ca="1">Model!P182</f>
        <v>1e-12</v>
      </c>
      <c r="H98" s="162">
        <f ca="1">Model!Q182</f>
        <v>1e-12</v>
      </c>
      <c r="I98" s="162">
        <f ca="1">Model!R182</f>
        <v>1e-12</v>
      </c>
      <c r="J98" s="163">
        <f ca="1">Model!S182</f>
        <v>1e-12</v>
      </c>
      <c r="K98" s="162">
        <f ca="1">Model!U182</f>
        <v>1e-12</v>
      </c>
      <c r="L98" s="162">
        <f ca="1">Model!V182</f>
        <v>1e-12</v>
      </c>
      <c r="M98" s="162">
        <f ca="1">Model!W182</f>
        <v>1e-12</v>
      </c>
      <c r="N98" s="164">
        <f ca="1">Model!X182</f>
        <v>1e-12</v>
      </c>
      <c r="O98" s="162">
        <f ca="1">Model!Z182</f>
        <v>1e-12</v>
      </c>
      <c r="P98" s="162">
        <f ca="1">Model!AA182</f>
        <v>1e-12</v>
      </c>
      <c r="Q98" s="162">
        <f ca="1">Model!AB182</f>
        <v>1e-12</v>
      </c>
      <c r="R98" s="162">
        <f ca="1">Model!AC182</f>
        <v>1e-12</v>
      </c>
      <c r="S98" s="162"/>
      <c r="T98" s="162">
        <f ca="1">Model!J182</f>
        <v>1e-12</v>
      </c>
      <c r="U98" s="162">
        <f ca="1">Model!O182</f>
        <v>1e-12</v>
      </c>
      <c r="V98" s="163">
        <f ca="1">Model!T182</f>
        <v>1e-12</v>
      </c>
      <c r="W98" s="162">
        <f ca="1">Model!Y182</f>
        <v>1e-12</v>
      </c>
      <c r="X98" s="162">
        <f ca="1">Model!AD182</f>
        <v>1e-12</v>
      </c>
      <c r="Y98" s="162">
        <f ca="1">Model!AE182</f>
        <v>1e-12</v>
      </c>
      <c r="Z98" s="162">
        <f ca="1">Model!AF182</f>
        <v>1e-12</v>
      </c>
      <c r="AA98" s="162">
        <f ca="1">Model!AG182</f>
        <v>1e-12</v>
      </c>
      <c r="AB98" s="16"/>
      <c r="AC98" s="16"/>
      <c r="AD98" s="16"/>
      <c r="AE98" s="16"/>
    </row>
    <row r="99" ht="13.5" customHeight="1" spans="1:31" x14ac:dyDescent="0.25">
      <c r="A99" s="17"/>
      <c r="B99" s="16"/>
      <c r="C99" s="139" t="str">
        <f ca="1">Model!C183</f>
        <v>Days Inventory Outstanding</v>
      </c>
      <c r="D99" s="16"/>
      <c r="E99" s="16"/>
      <c r="F99" s="16"/>
      <c r="G99" s="162">
        <f ca="1">Model!P183</f>
        <v>93.89074608722079</v>
      </c>
      <c r="H99" s="162">
        <f ca="1">Model!Q183</f>
        <v>71.07384153794867</v>
      </c>
      <c r="I99" s="162">
        <f ca="1">Model!R183</f>
        <v>90.54420680924778</v>
      </c>
      <c r="J99" s="163">
        <f ca="1">Model!S183</f>
        <v>106.00433369447454</v>
      </c>
      <c r="K99" s="162">
        <f ca="1">Model!U183</f>
        <v>95.49932482199853</v>
      </c>
      <c r="L99" s="162">
        <f ca="1">Model!V183</f>
        <v>88.97644868003067</v>
      </c>
      <c r="M99" s="162">
        <f ca="1">Model!W183</f>
        <v>102.03652729763225</v>
      </c>
      <c r="N99" s="164">
        <f ca="1">Model!X183</f>
        <v>90</v>
      </c>
      <c r="O99" s="162">
        <f ca="1">Model!Z183</f>
        <v>95</v>
      </c>
      <c r="P99" s="162">
        <f ca="1">Model!AA183</f>
        <v>80</v>
      </c>
      <c r="Q99" s="162">
        <f ca="1">Model!AB183</f>
        <v>85</v>
      </c>
      <c r="R99" s="162">
        <f ca="1">Model!AC183</f>
        <v>90</v>
      </c>
      <c r="S99" s="162"/>
      <c r="T99" s="162">
        <f ca="1">Model!J183</f>
        <v>94.5511972893122</v>
      </c>
      <c r="U99" s="162">
        <f ca="1">Model!O183</f>
        <v>95.46895640686921</v>
      </c>
      <c r="V99" s="163">
        <f ca="1">Model!T183</f>
        <v>89.31899223514513</v>
      </c>
      <c r="W99" s="162">
        <f ca="1">Model!Y183</f>
        <v>92.07624734938022</v>
      </c>
      <c r="X99" s="162">
        <f ca="1">Model!AD183</f>
        <v>78.93300806770992</v>
      </c>
      <c r="Y99" s="162">
        <f ca="1">Model!AE183</f>
        <v>84</v>
      </c>
      <c r="Z99" s="162">
        <f ca="1">Model!AF183</f>
        <v>84</v>
      </c>
      <c r="AA99" s="162">
        <f ca="1">Model!AG183</f>
        <v>84</v>
      </c>
      <c r="AB99" s="16"/>
      <c r="AC99" s="16"/>
      <c r="AD99" s="16"/>
      <c r="AE99" s="16"/>
    </row>
    <row r="100" ht="13.5" customHeight="1" spans="1:31" x14ac:dyDescent="0.25">
      <c r="A100" s="17"/>
      <c r="B100" s="16"/>
      <c r="C100" s="139" t="str">
        <f ca="1">Model!C184</f>
        <v>Days Payables Outstanding</v>
      </c>
      <c r="D100" s="16"/>
      <c r="E100" s="16"/>
      <c r="F100" s="16"/>
      <c r="G100" s="162">
        <f ca="1">Model!P184</f>
        <v>63.250265917033886</v>
      </c>
      <c r="H100" s="162">
        <f ca="1">Model!Q184</f>
        <v>60.05908989887765</v>
      </c>
      <c r="I100" s="162">
        <f ca="1">Model!R184</f>
        <v>78.68945299486974</v>
      </c>
      <c r="J100" s="163">
        <f ca="1">Model!S184</f>
        <v>78.55384615384615</v>
      </c>
      <c r="K100" s="162">
        <f ca="1">Model!U184</f>
        <v>68.63245764792536</v>
      </c>
      <c r="L100" s="162">
        <f ca="1">Model!V184</f>
        <v>64.7312137145361</v>
      </c>
      <c r="M100" s="162">
        <f ca="1">Model!W184</f>
        <v>70.04565912204032</v>
      </c>
      <c r="N100" s="164">
        <f ca="1">Model!X184</f>
        <v>55</v>
      </c>
      <c r="O100" s="162">
        <f ca="1">Model!Z184</f>
        <v>58</v>
      </c>
      <c r="P100" s="162">
        <f ca="1">Model!AA184</f>
        <v>48</v>
      </c>
      <c r="Q100" s="162">
        <f ca="1">Model!AB184</f>
        <v>53</v>
      </c>
      <c r="R100" s="162">
        <f ca="1">Model!AC184</f>
        <v>55</v>
      </c>
      <c r="S100" s="162"/>
      <c r="T100" s="162">
        <f ca="1">Model!J184</f>
        <v>69.28524204045371</v>
      </c>
      <c r="U100" s="162">
        <f ca="1">Model!O184</f>
        <v>59.11360634081902</v>
      </c>
      <c r="V100" s="163">
        <f ca="1">Model!T184</f>
        <v>56.38846769087213</v>
      </c>
      <c r="W100" s="162">
        <f ca="1">Model!Y184</f>
        <v>58.889473853616515</v>
      </c>
      <c r="X100" s="162">
        <f ca="1">Model!AD184</f>
        <v>48.236838263600504</v>
      </c>
      <c r="Y100" s="162">
        <f ca="1">Model!AE184</f>
        <v>54</v>
      </c>
      <c r="Z100" s="162">
        <f ca="1">Model!AF184</f>
        <v>54</v>
      </c>
      <c r="AA100" s="162">
        <f ca="1">Model!AG184</f>
        <v>54</v>
      </c>
      <c r="AB100" s="16"/>
      <c r="AC100" s="16"/>
      <c r="AD100" s="16"/>
      <c r="AE100" s="16"/>
    </row>
    <row r="101" ht="13.5" customHeight="1" spans="1:31" x14ac:dyDescent="0.25">
      <c r="A101" s="17"/>
      <c r="B101" s="16"/>
      <c r="C101" s="139" t="s">
        <v>131</v>
      </c>
      <c r="D101" s="16"/>
      <c r="E101" s="16"/>
      <c r="F101" s="16"/>
      <c r="G101" s="162">
        <f t="shared" ref="G101:R101" si="68" ca="1">G98+G99-G100</f>
        <v>30.640480170186905</v>
      </c>
      <c r="H101" s="162">
        <f ca="1">H98+H99-H100</f>
        <v>11.014751639071015</v>
      </c>
      <c r="I101" s="162">
        <f ca="1">I98+I99-I100</f>
        <v>11.854753814378043</v>
      </c>
      <c r="J101" s="163">
        <f ca="1">J98+J99-J100</f>
        <v>27.450487540628387</v>
      </c>
      <c r="K101" s="162">
        <f ca="1">K98+K99-K100</f>
        <v>26.866867174073164</v>
      </c>
      <c r="L101" s="162">
        <f ca="1">L98+L99-L100</f>
        <v>24.245234965494575</v>
      </c>
      <c r="M101" s="162">
        <f ca="1">M98+M99-M100</f>
        <v>31.990868175591928</v>
      </c>
      <c r="N101" s="164">
        <f ca="1">N98+N99-N100</f>
        <v>35</v>
      </c>
      <c r="O101" s="162">
        <f ca="1">O98+O99-O100</f>
        <v>37</v>
      </c>
      <c r="P101" s="162">
        <f ca="1">P98+P99-P100</f>
        <v>32</v>
      </c>
      <c r="Q101" s="162">
        <f ca="1">Q98+Q99-Q100</f>
        <v>32</v>
      </c>
      <c r="R101" s="162">
        <f ca="1">R98+R99-R100</f>
        <v>35</v>
      </c>
      <c r="S101" s="162"/>
      <c r="T101" s="162">
        <f t="shared" ref="T101:AA101" si="69" ca="1">T98+T99-T100</f>
        <v>25.26595524885849</v>
      </c>
      <c r="U101" s="162">
        <f ca="1">U98+U99-U100</f>
        <v>36.35535006605019</v>
      </c>
      <c r="V101" s="163">
        <f ca="1">V98+V99-V100</f>
        <v>32.930524544273</v>
      </c>
      <c r="W101" s="162">
        <f ca="1">W98+W99-W100</f>
        <v>33.18677349576371</v>
      </c>
      <c r="X101" s="162">
        <f ca="1">X98+X99-X100</f>
        <v>30.696169804109417</v>
      </c>
      <c r="Y101" s="162">
        <f ca="1">Y98+Y99-Y100</f>
        <v>30</v>
      </c>
      <c r="Z101" s="162">
        <f ca="1">Z98+Z99-Z100</f>
        <v>30</v>
      </c>
      <c r="AA101" s="162">
        <f ca="1">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 ca="1">IF(ISERROR(G38/G51),"NA",(G38/G51))</f>
        <v>1.2372890920376953</v>
      </c>
      <c r="H104" s="156">
        <f ca="1">IF(ISERROR(H38/H51),"NA",(H38/H51))</f>
        <v>1.3350512981070275</v>
      </c>
      <c r="I104" s="156">
        <f ca="1">IF(ISERROR(I38/I51),"NA",(I38/I51))</f>
        <v>1.419994724347138</v>
      </c>
      <c r="J104" s="157">
        <f ca="1">IF(ISERROR(J38/J51),"NA",(J38/J51))</f>
        <v>1.320361937429771</v>
      </c>
      <c r="K104" s="156">
        <f ca="1">IF(ISERROR(K38/K51),"NA",(K38/K51))</f>
        <v>1.244131019764313</v>
      </c>
      <c r="L104" s="156">
        <f ca="1">IF(ISERROR(L38/L51),"NA",(L38/L51))</f>
        <v>1.2343996062992126</v>
      </c>
      <c r="M104" s="156">
        <f ca="1">IF(ISERROR(M38/M51),"NA",(M38/M51))</f>
        <v>1.2754850631352017</v>
      </c>
      <c r="N104" s="158" t="str">
        <f ca="1">IF(ISERROR(N38/N51),"NA",(N38/N51))</f>
        <v>NA</v>
      </c>
      <c r="O104" s="160" t="str">
        <f ca="1">IF(ISERROR(O38/O51),"NA",(O38/O51))</f>
        <v>NA</v>
      </c>
      <c r="P104" s="160" t="str">
        <f ca="1">IF(ISERROR(P38/P51),"NA",(P38/P51))</f>
        <v>NA</v>
      </c>
      <c r="Q104" s="160" t="str">
        <f ca="1">IF(ISERROR(Q38/Q51),"NA",(Q38/Q51))</f>
        <v>NA</v>
      </c>
      <c r="R104" s="160" t="str">
        <f ca="1">IF(ISERROR(R38/R51),"NA",(R38/R51))</f>
        <v>NA</v>
      </c>
      <c r="S104" s="16"/>
      <c r="T104" s="160">
        <f t="shared" ref="T104:AA104" si="71" ca="1">IF(ISERROR(T38/T51),"NA",(T38/T51))</f>
        <v>1.0628221408829461</v>
      </c>
      <c r="U104" s="160">
        <f ca="1">IF(ISERROR(U38/U51),"NA",(U38/U51))</f>
        <v>1.0502571134727459</v>
      </c>
      <c r="V104" s="161">
        <f ca="1">IF(ISERROR(V38/V51),"NA",(V38/V51))</f>
        <v>1.320361937429771</v>
      </c>
      <c r="W104" s="160" t="str">
        <f ca="1">IF(ISERROR(W38/W51),"NA",(W38/W51))</f>
        <v>NA</v>
      </c>
      <c r="X104" s="160" t="str">
        <f ca="1">IF(ISERROR(X38/X51),"NA",(X38/X51))</f>
        <v>NA</v>
      </c>
      <c r="Y104" s="160" t="str">
        <f ca="1">IF(ISERROR(Y38/Y51),"NA",(Y38/Y51))</f>
        <v>NA</v>
      </c>
      <c r="Z104" s="160" t="str">
        <f ca="1">IF(ISERROR(Z38/Z51),"NA",(Z38/Z51))</f>
        <v>NA</v>
      </c>
      <c r="AA104" s="160" t="str">
        <f ca="1">IF(ISERROR(AA38/AA51),"NA",(AA38/AA51))</f>
        <v>NA</v>
      </c>
      <c r="AB104" s="16"/>
      <c r="AC104" s="16"/>
      <c r="AD104" s="16"/>
      <c r="AE104" s="16"/>
    </row>
    <row r="105" ht="13.5" customHeight="1" spans="1:31" x14ac:dyDescent="0.25">
      <c r="A105" s="17"/>
      <c r="B105" s="16"/>
      <c r="C105" s="139" t="s">
        <v>134</v>
      </c>
      <c r="D105" s="16"/>
      <c r="E105" s="16"/>
      <c r="F105" s="16"/>
      <c r="G105" s="156">
        <f t="shared" ref="G105:R105" si="72" ca="1">IF(ISERROR((G34+G35)/G51),"NA",((G34+G35)/G51))</f>
        <v>0.34738445911630267</v>
      </c>
      <c r="H105" s="156">
        <f ca="1">IF(ISERROR((H34+H35)/H51),"NA",((H34+H35)/H51))</f>
        <v>0.6129762535523336</v>
      </c>
      <c r="I105" s="156">
        <f ca="1">IF(ISERROR((I34+I35)/I51),"NA",((I34+I35)/I51))</f>
        <v>0.5328936955948299</v>
      </c>
      <c r="J105" s="157">
        <f ca="1">IF(ISERROR((J34+J35)/J51),"NA",((J34+J35)/J51))</f>
        <v>0.307291974688036</v>
      </c>
      <c r="K105" s="156">
        <f ca="1">IF(ISERROR((K34+K35)/K51),"NA",((K34+K35)/K51))</f>
        <v>0.33153938944047506</v>
      </c>
      <c r="L105" s="156">
        <f ca="1">IF(ISERROR((L34+L35)/L51),"NA",((L34+L35)/L51))</f>
        <v>0.3078248031496063</v>
      </c>
      <c r="M105" s="156">
        <f ca="1">IF(ISERROR((M34+M35)/M51),"NA",((M34+M35)/M51))</f>
        <v>0.34252130171440304</v>
      </c>
      <c r="N105" s="158" t="str">
        <f ca="1">IF(ISERROR((N34+N35)/N51),"NA",((N34+N35)/N51))</f>
        <v>NA</v>
      </c>
      <c r="O105" s="160" t="str">
        <f ca="1">IF(ISERROR((O34+O35)/O51),"NA",((O34+O35)/O51))</f>
        <v>NA</v>
      </c>
      <c r="P105" s="160" t="str">
        <f ca="1">IF(ISERROR((P34+P35)/P51),"NA",((P34+P35)/P51))</f>
        <v>NA</v>
      </c>
      <c r="Q105" s="160" t="str">
        <f ca="1">IF(ISERROR((Q34+Q35)/Q51),"NA",((Q34+Q35)/Q51))</f>
        <v>NA</v>
      </c>
      <c r="R105" s="160" t="str">
        <f ca="1">IF(ISERROR((R34+R35)/R51),"NA",((R34+R35)/R51))</f>
        <v>NA</v>
      </c>
      <c r="S105" s="16"/>
      <c r="T105" s="160">
        <f t="shared" ref="T105:AA105" si="73" ca="1">IF(ISERROR((T34+T35)/T51),"NA",((T34+T35)/T51))</f>
        <v>0.054455815343243445</v>
      </c>
      <c r="U105" s="160">
        <f ca="1">IF(ISERROR((U34+U35)/U51),"NA",((U34+U35)/U51))</f>
        <v>0.060061707233459036</v>
      </c>
      <c r="V105" s="161">
        <f ca="1">IF(ISERROR((V34+V35)/V51),"NA",((V34+V35)/V51))</f>
        <v>0.307291974688036</v>
      </c>
      <c r="W105" s="160" t="str">
        <f ca="1">IF(ISERROR((W34+W35)/W51),"NA",((W34+W35)/W51))</f>
        <v>NA</v>
      </c>
      <c r="X105" s="160" t="str">
        <f ca="1">IF(ISERROR((X34+X35)/X51),"NA",((X34+X35)/X51))</f>
        <v>NA</v>
      </c>
      <c r="Y105" s="160" t="str">
        <f ca="1">IF(ISERROR((Y34+Y35)/Y51),"NA",((Y34+Y35)/Y51))</f>
        <v>NA</v>
      </c>
      <c r="Z105" s="160" t="str">
        <f ca="1">IF(ISERROR((Z34+Z35)/Z51),"NA",((Z34+Z35)/Z51))</f>
        <v>NA</v>
      </c>
      <c r="AA105" s="160" t="str">
        <f ca="1">IF(ISERROR((AA34+AA35)/AA51),"NA",((AA34+AA35)/AA51))</f>
        <v>NA</v>
      </c>
      <c r="AB105" s="16"/>
      <c r="AC105" s="16"/>
      <c r="AD105" s="16"/>
      <c r="AE105" s="16"/>
    </row>
    <row r="106" ht="13.5" customHeight="1" spans="1:31" x14ac:dyDescent="0.25">
      <c r="A106" s="17"/>
      <c r="B106" s="16"/>
      <c r="C106" s="139" t="s">
        <v>135</v>
      </c>
      <c r="D106" s="16"/>
      <c r="E106" s="16"/>
      <c r="F106" s="16"/>
      <c r="G106" s="156">
        <f t="shared" ref="G106:R106" si="74" ca="1">IF(ISERROR(G34/G51),"NA",(G34/G51))</f>
        <v>0.34738445911630267</v>
      </c>
      <c r="H106" s="156">
        <f ca="1">IF(ISERROR(H34/H51),"NA",(H34/H51))</f>
        <v>0.6129762535523336</v>
      </c>
      <c r="I106" s="156">
        <f ca="1">IF(ISERROR(I34/I51),"NA",(I34/I51))</f>
        <v>0.5328936955948299</v>
      </c>
      <c r="J106" s="157">
        <f ca="1">IF(ISERROR(J34/J51),"NA",(J34/J51))</f>
        <v>0.307291974688036</v>
      </c>
      <c r="K106" s="156">
        <f ca="1">IF(ISERROR(K34/K51),"NA",(K34/K51))</f>
        <v>0.33153938944047506</v>
      </c>
      <c r="L106" s="156">
        <f ca="1">IF(ISERROR(L34/L51),"NA",(L34/L51))</f>
        <v>0.3078248031496063</v>
      </c>
      <c r="M106" s="156">
        <f ca="1">IF(ISERROR(M34/M51),"NA",(M34/M51))</f>
        <v>0.34252130171440304</v>
      </c>
      <c r="N106" s="158" t="str">
        <f ca="1">IF(ISERROR(N34/N51),"NA",(N34/N51))</f>
        <v>NA</v>
      </c>
      <c r="O106" s="160" t="str">
        <f ca="1">IF(ISERROR(O34/O51),"NA",(O34/O51))</f>
        <v>NA</v>
      </c>
      <c r="P106" s="160" t="str">
        <f ca="1">IF(ISERROR(P34/P51),"NA",(P34/P51))</f>
        <v>NA</v>
      </c>
      <c r="Q106" s="160" t="str">
        <f ca="1">IF(ISERROR(Q34/Q51),"NA",(Q34/Q51))</f>
        <v>NA</v>
      </c>
      <c r="R106" s="160" t="str">
        <f ca="1">IF(ISERROR(R34/R51),"NA",(R34/R51))</f>
        <v>NA</v>
      </c>
      <c r="S106" s="16"/>
      <c r="T106" s="160">
        <f t="shared" ref="T106:AA106" si="75" ca="1">IF(ISERROR(T34/T51),"NA",(T34/T51))</f>
        <v>0.054455815343243445</v>
      </c>
      <c r="U106" s="160">
        <f ca="1">IF(ISERROR(U34/U51),"NA",(U34/U51))</f>
        <v>0.060061707233459036</v>
      </c>
      <c r="V106" s="161">
        <f ca="1">IF(ISERROR(V34/V51),"NA",(V34/V51))</f>
        <v>0.307291974688036</v>
      </c>
      <c r="W106" s="160" t="str">
        <f ca="1">IF(ISERROR(W34/W51),"NA",(W34/W51))</f>
        <v>NA</v>
      </c>
      <c r="X106" s="160" t="str">
        <f ca="1">IF(ISERROR(X34/X51),"NA",(X34/X51))</f>
        <v>NA</v>
      </c>
      <c r="Y106" s="160" t="str">
        <f ca="1">IF(ISERROR(Y34/Y51),"NA",(Y34/Y51))</f>
        <v>NA</v>
      </c>
      <c r="Z106" s="160" t="str">
        <f ca="1">IF(ISERROR(Z34/Z51),"NA",(Z34/Z51))</f>
        <v>NA</v>
      </c>
      <c r="AA106" s="160" t="str">
        <f ca="1">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 ca="1">Company_Name&amp;" "&amp;"("&amp;Ticker&amp;")"&amp;" Valuation Overview"</f>
        <v>Lowe's Companies, Inc. (LOW) Valuation Overview</v>
      </c>
      <c r="C1" s="4"/>
      <c r="D1" s="4"/>
      <c r="E1" s="4"/>
      <c r="F1" s="4"/>
      <c r="G1" s="4"/>
      <c r="H1" s="4"/>
      <c r="I1" s="4"/>
      <c r="J1" s="167"/>
      <c r="K1" s="139" t="s">
        <v>136</v>
      </c>
      <c r="L1" s="66"/>
      <c r="M1" s="66"/>
      <c r="N1" s="168" t="str">
        <f ca="1">Case_Scenario&amp;" Case"</f>
        <v>Base Case</v>
      </c>
      <c r="O1" s="66"/>
      <c r="P1" s="4"/>
      <c r="Q1" s="4"/>
      <c r="R1" s="16" t="s">
        <v>137</v>
      </c>
      <c r="S1" s="16" t="str">
        <f ca="1">IF(N1="Base Case","","Check!")</f>
        <v/>
      </c>
      <c r="T1" s="16"/>
      <c r="U1" s="16"/>
      <c r="V1" s="4"/>
      <c r="W1" s="16"/>
      <c r="X1" s="16"/>
      <c r="Y1" s="47" t="s">
        <v>138</v>
      </c>
      <c r="Z1" s="16"/>
      <c r="AA1" s="16"/>
      <c r="AB1" s="16"/>
      <c r="AC1" s="16"/>
      <c r="AD1" s="16"/>
    </row>
    <row r="2" ht="15.75" customHeight="1" spans="1:30" x14ac:dyDescent="0.25">
      <c r="A2" s="4"/>
      <c r="B2" s="16" t="str">
        <f ca="1">Cover!C2</f>
        <v>$ in Millions Except Per Share Data</v>
      </c>
      <c r="C2" s="4"/>
      <c r="D2" s="4"/>
      <c r="E2" s="4"/>
      <c r="F2" s="4"/>
      <c r="G2" s="4"/>
      <c r="H2" s="4"/>
      <c r="I2" s="4"/>
      <c r="J2" s="4"/>
      <c r="K2" s="16" t="s">
        <v>139</v>
      </c>
      <c r="L2" s="66"/>
      <c r="M2" s="66"/>
      <c r="N2" s="66"/>
      <c r="O2" s="169">
        <f ca="1">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 ca="1">Current_Date</f>
        <v>45903</v>
      </c>
      <c r="P3" s="66"/>
      <c r="Q3" s="4"/>
      <c r="R3" s="4"/>
      <c r="S3" s="4"/>
      <c r="T3" s="4"/>
      <c r="U3" s="4"/>
      <c r="V3" s="16"/>
      <c r="W3" s="16"/>
      <c r="X3" s="16"/>
      <c r="Y3" s="16"/>
      <c r="Z3" s="16"/>
      <c r="AA3" s="16"/>
      <c r="AB3" s="16"/>
      <c r="AC3" s="16"/>
      <c r="AD3" s="16"/>
    </row>
    <row r="4" ht="15.75" customHeight="1" spans="1:30" x14ac:dyDescent="0.25">
      <c r="A4" s="4"/>
      <c r="B4" s="171" t="str">
        <f ca="1">"Multiples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 ca="1">Cover!I9</f>
        <v>Implied Enterprise Value:</v>
      </c>
      <c r="J7" s="16"/>
      <c r="K7" s="16"/>
      <c r="L7" s="16"/>
      <c r="M7" s="16"/>
      <c r="N7" s="180">
        <f ca="1">Cover!L9</f>
        <v>-85959.25445380561</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 ca="1">Cover!I10</f>
        <v>Implied Equity Value:</v>
      </c>
      <c r="J8" s="93"/>
      <c r="K8" s="93"/>
      <c r="L8" s="93"/>
      <c r="M8" s="93"/>
      <c r="N8" s="182">
        <f ca="1">Cover!L10</f>
        <v>-103015.25445380561</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 ca="1">Cover!I12</f>
        <v>Implied Share Price:</v>
      </c>
      <c r="J9" s="16"/>
      <c r="K9" s="16"/>
      <c r="L9" s="16"/>
      <c r="M9" s="16"/>
      <c r="N9" s="184">
        <f ca="1">Cover!L12</f>
        <v>-145.70757348487356</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 ca="1">Cover!I13</f>
        <v>% Return:</v>
      </c>
      <c r="J10" s="131"/>
      <c r="K10" s="131"/>
      <c r="L10" s="131"/>
      <c r="M10" s="131"/>
      <c r="N10" s="186">
        <f ca="1">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 ca="1">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 ca="1">Cover!I16</f>
        <v>Implied Enterprise Value:</v>
      </c>
      <c r="J13" s="132"/>
      <c r="K13" s="132"/>
      <c r="L13" s="132"/>
      <c r="M13" s="132"/>
      <c r="N13" s="180">
        <f ca="1">Cover!L16</f>
        <v>-24426.90332580443</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 ca="1">Cover!I17</f>
        <v>Implied Equity Value:</v>
      </c>
      <c r="J14" s="93"/>
      <c r="K14" s="93"/>
      <c r="L14" s="93"/>
      <c r="M14" s="93"/>
      <c r="N14" s="182">
        <f ca="1">Cover!L17</f>
        <v>-41482.90332580443</v>
      </c>
      <c r="O14" s="183"/>
      <c r="Q14" s="4"/>
      <c r="AB14" s="16"/>
      <c r="AC14" s="16"/>
      <c r="AD14" s="16"/>
    </row>
    <row r="15" ht="15.75" customHeight="1" spans="1:30" x14ac:dyDescent="0.25">
      <c r="A15" s="4"/>
      <c r="B15" s="4"/>
      <c r="C15" s="4"/>
      <c r="D15" s="4"/>
      <c r="E15" s="4"/>
      <c r="F15" s="4"/>
      <c r="G15" s="4"/>
      <c r="H15" s="4"/>
      <c r="I15" s="188" t="str">
        <f ca="1">Cover!I19</f>
        <v>Implied Share Price:</v>
      </c>
      <c r="J15" s="16"/>
      <c r="K15" s="16"/>
      <c r="L15" s="16"/>
      <c r="M15" s="16"/>
      <c r="N15" s="184">
        <f ca="1">Cover!L19</f>
        <v>-58.67454501528208</v>
      </c>
      <c r="O15" s="185"/>
      <c r="Q15" s="4"/>
      <c r="AB15" s="16"/>
      <c r="AC15" s="16"/>
      <c r="AD15" s="16"/>
    </row>
    <row r="16" ht="15.75" customHeight="1" spans="1:30" x14ac:dyDescent="0.25">
      <c r="A16" s="4"/>
      <c r="B16" s="4"/>
      <c r="C16" s="4"/>
      <c r="D16" s="4"/>
      <c r="E16" s="4"/>
      <c r="F16" s="4"/>
      <c r="G16" s="4"/>
      <c r="H16" s="4"/>
      <c r="I16" s="192" t="str">
        <f ca="1">Cover!I20</f>
        <v>% Return:</v>
      </c>
      <c r="J16" s="131"/>
      <c r="K16" s="131"/>
      <c r="L16" s="131"/>
      <c r="M16" s="131"/>
      <c r="N16" s="186">
        <f ca="1">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 ca="1">Summary!U6</f>
        <v>2024</v>
      </c>
      <c r="F19" s="201">
        <f ca="1">Summary!V6</f>
        <v>2025</v>
      </c>
      <c r="G19" s="201" t="str">
        <f ca="1">Summary!W6</f>
        <v>2026e</v>
      </c>
      <c r="H19" s="201" t="str">
        <f ca="1">Summary!X6</f>
        <v>2027e</v>
      </c>
      <c r="I19" s="201" t="str">
        <f ca="1">Summary!Y6</f>
        <v>2028e</v>
      </c>
      <c r="J19" s="201" t="str">
        <f ca="1">Summary!Z6</f>
        <v>2029e</v>
      </c>
      <c r="K19" s="202" t="str">
        <f ca="1">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 ca="1">Summary!C8</f>
        <v>Revenue</v>
      </c>
      <c r="C21" s="16"/>
      <c r="D21" s="205">
        <f ca="1">Summary!T8</f>
        <v>71309</v>
      </c>
      <c r="E21" s="116">
        <f ca="1">Summary!U8</f>
        <v>72148</v>
      </c>
      <c r="F21" s="117">
        <f ca="1">Summary!V8</f>
        <v>89597</v>
      </c>
      <c r="G21" s="116">
        <f ca="1">Summary!W8</f>
        <v>96682.1</v>
      </c>
      <c r="H21" s="116">
        <f ca="1">Summary!X8</f>
        <v>105236.82134671998</v>
      </c>
      <c r="I21" s="116">
        <f ca="1">Summary!Y8</f>
        <v>107341.55777365438</v>
      </c>
      <c r="J21" s="116">
        <f ca="1">Summary!Z8</f>
        <v>109488.38892912747</v>
      </c>
      <c r="K21" s="117">
        <f ca="1">Summary!AA8</f>
        <v>111678.15670771002</v>
      </c>
      <c r="L21" s="116"/>
      <c r="M21" s="206">
        <f ca="1">Summary!AC8</f>
        <v>0.12091985272961936</v>
      </c>
      <c r="N21" s="207"/>
      <c r="O21" s="206">
        <f ca="1">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 ca="1">Summary!C9</f>
        <v>YoY % Growth</v>
      </c>
      <c r="C22" s="16"/>
      <c r="D22" s="205"/>
      <c r="E22" s="121">
        <f ca="1">Summary!U9</f>
        <v>0.01176569577472697</v>
      </c>
      <c r="F22" s="122">
        <f ca="1">Summary!V9</f>
        <v>0.2418500859344681</v>
      </c>
      <c r="G22" s="121">
        <f ca="1">Summary!W9</f>
        <v>0.07907742446733712</v>
      </c>
      <c r="H22" s="121">
        <f ca="1">Summary!X9</f>
        <v>0.08848299061273979</v>
      </c>
      <c r="I22" s="121">
        <f ca="1">Summary!Y9</f>
        <v>0.020000000000000018</v>
      </c>
      <c r="J22" s="121">
        <f ca="1">Summary!Z9</f>
        <v>0.020000000000000018</v>
      </c>
      <c r="K22" s="122">
        <f ca="1">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 ca="1">Summary!C11</f>
        <v>Gross Profit</v>
      </c>
      <c r="C24" s="16"/>
      <c r="D24" s="205">
        <f ca="1">Summary!T11</f>
        <v>22908</v>
      </c>
      <c r="E24" s="116">
        <f ca="1">Summary!U11</f>
        <v>22943</v>
      </c>
      <c r="F24" s="117">
        <f ca="1">Summary!V11</f>
        <v>29583</v>
      </c>
      <c r="G24" s="116">
        <f ca="1">Summary!W11</f>
        <v>27859.373</v>
      </c>
      <c r="H24" s="116">
        <f ca="1">Summary!X11</f>
        <v>14241.705219263196</v>
      </c>
      <c r="I24" s="116">
        <f ca="1">Summary!Y11</f>
        <v>14920.476530537955</v>
      </c>
      <c r="J24" s="116">
        <f ca="1">Summary!Z11</f>
        <v>15328.374450077841</v>
      </c>
      <c r="K24" s="117">
        <f ca="1">Summary!AA11</f>
        <v>15858.298252494831</v>
      </c>
      <c r="L24" s="116"/>
      <c r="M24" s="119">
        <f ca="1">Summary!AC11</f>
        <v>0.13639030398729335</v>
      </c>
      <c r="N24" s="207"/>
      <c r="O24" s="119">
        <f ca="1">Summary!AE11</f>
        <v>-0.1172395373691637</v>
      </c>
      <c r="P24" s="4"/>
      <c r="Q24" s="4"/>
      <c r="R24" s="84" t="s">
        <v>147</v>
      </c>
      <c r="S24" s="211">
        <f ca="1">Valuation!D12</f>
        <v>12.4849</v>
      </c>
      <c r="T24" s="211">
        <f ca="1">Valuation!D11</f>
        <v>18.6398</v>
      </c>
      <c r="U24" s="211">
        <f t="shared" ref="U24:U28" si="0" ca="1">IF($S$21=$S$23,S24,T24)</f>
        <v>18.6398</v>
      </c>
      <c r="W24" s="16"/>
      <c r="X24" s="16"/>
      <c r="Y24" s="16"/>
      <c r="Z24" s="16"/>
      <c r="AA24" s="16"/>
      <c r="AB24" s="16"/>
      <c r="AC24" s="16"/>
      <c r="AD24" s="16"/>
    </row>
    <row r="25" ht="15.75" customHeight="1" spans="1:30" x14ac:dyDescent="0.25">
      <c r="A25" s="4"/>
      <c r="B25" s="120" t="str">
        <f ca="1">Summary!C12</f>
        <v>% Margin</v>
      </c>
      <c r="C25" s="16"/>
      <c r="D25" s="205"/>
      <c r="E25" s="121">
        <f ca="1">Summary!U12</f>
        <v>0.3179991129345235</v>
      </c>
      <c r="F25" s="122">
        <f ca="1">Summary!V12</f>
        <v>0.3301784657968459</v>
      </c>
      <c r="G25" s="121">
        <f ca="1">Summary!W12</f>
        <v>0.28815440500361494</v>
      </c>
      <c r="H25" s="121">
        <f ca="1">Summary!X12</f>
        <v>0.13533005878561802</v>
      </c>
      <c r="I25" s="121">
        <f ca="1">Summary!Y12</f>
        <v>0.13899999999999996</v>
      </c>
      <c r="J25" s="121">
        <f ca="1">Summary!Z12</f>
        <v>0.13999999999999996</v>
      </c>
      <c r="K25" s="122">
        <f ca="1">Summary!AA12</f>
        <v>0.14200000000000007</v>
      </c>
      <c r="L25" s="121"/>
      <c r="M25" s="119"/>
      <c r="N25" s="207"/>
      <c r="O25" s="119"/>
      <c r="P25" s="4"/>
      <c r="Q25" s="4"/>
      <c r="R25" s="84" t="str">
        <f ca="1">Model!Y25</f>
        <v>2026e</v>
      </c>
      <c r="S25" s="212">
        <f ca="1">(Comparables!H10*S30)/(Model!Y61)</f>
        <v>15.585656082333013</v>
      </c>
      <c r="T25" s="212">
        <f ca="1">(Comparables!$G$10*S30)/Summary!W19</f>
        <v>20.383651218234405</v>
      </c>
      <c r="U25" s="212">
        <f ca="1">IF($S$21=$S$23,S25,T25)</f>
      </c>
      <c r="W25" s="16"/>
      <c r="X25" s="16"/>
      <c r="Y25" s="16"/>
      <c r="Z25" s="16"/>
      <c r="AA25" s="16"/>
      <c r="AB25" s="16"/>
      <c r="AC25" s="16"/>
      <c r="AD25" s="16"/>
    </row>
    <row r="26" ht="15.75" customHeight="1" spans="1:30" x14ac:dyDescent="0.25">
      <c r="A26" s="4"/>
      <c r="B26" s="120" t="str">
        <f ca="1">Summary!C13</f>
        <v>YoY % Growth</v>
      </c>
      <c r="C26" s="16"/>
      <c r="D26" s="205"/>
      <c r="E26" s="121">
        <f ca="1">Summary!U13</f>
        <v>0.0015278505325651004</v>
      </c>
      <c r="F26" s="122">
        <f ca="1">Summary!V13</f>
        <v>0.28941289282133975</v>
      </c>
      <c r="G26" s="121">
        <f ca="1">Summary!W13</f>
        <v>-0.05826410438427476</v>
      </c>
      <c r="H26" s="121">
        <f ca="1">Summary!X13</f>
        <v>-0.4888002246402603</v>
      </c>
      <c r="I26" s="121">
        <f ca="1">Summary!Y13</f>
        <v>0.047660817354698404</v>
      </c>
      <c r="J26" s="121">
        <f ca="1">Summary!Z13</f>
        <v>0.027338129496402797</v>
      </c>
      <c r="K26" s="122">
        <f ca="1">Summary!AA13</f>
        <v>0.03457142857142936</v>
      </c>
      <c r="L26" s="121"/>
      <c r="M26" s="119"/>
      <c r="N26" s="207"/>
      <c r="O26" s="119"/>
      <c r="P26" s="4"/>
      <c r="Q26" s="4"/>
      <c r="R26" s="84" t="str">
        <f ca="1">Summary!AA6</f>
        <v>2030e</v>
      </c>
      <c r="S26" s="212">
        <f ca="1">(Comparables!H10*S30)/(Model!AG61)</f>
        <v>-23.089353333369743</v>
      </c>
      <c r="T26" s="212">
        <f ca="1">(Comparables!$G$10*S30)/Summary!AA19</f>
        <v>-14.670223360373102</v>
      </c>
      <c r="U26" s="212">
        <f ca="1">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 ca="1">Valuation!K60</f>
        <v>13</v>
      </c>
      <c r="T27" s="212">
        <f ca="1">Valuation!K72/Summary!AA19</f>
        <v>10.599963170447067</v>
      </c>
      <c r="U27" s="212">
        <f ca="1">IF($S$21=$S$23,S27,T27)</f>
      </c>
      <c r="W27" s="16"/>
      <c r="X27" s="16"/>
      <c r="Y27" s="16"/>
      <c r="Z27" s="16"/>
      <c r="AA27" s="16"/>
      <c r="AB27" s="16"/>
      <c r="AC27" s="16"/>
      <c r="AD27" s="16"/>
    </row>
    <row r="28" ht="15.75" customHeight="1" spans="1:30" x14ac:dyDescent="0.25">
      <c r="A28" s="4"/>
      <c r="B28" s="16" t="str">
        <f ca="1">Summary!C27</f>
        <v>EBITDA</v>
      </c>
      <c r="C28" s="16"/>
      <c r="D28" s="205">
        <f ca="1">Summary!T27</f>
        <v>7341.59</v>
      </c>
      <c r="E28" s="116">
        <f ca="1">Summary!U27</f>
        <v>7764.5</v>
      </c>
      <c r="F28" s="117">
        <f ca="1">Summary!V27</f>
        <v>13111.87</v>
      </c>
      <c r="G28" s="116">
        <f ca="1">Summary!W27</f>
        <v>10588.510999999999</v>
      </c>
      <c r="H28" s="116">
        <f ca="1">Summary!X27</f>
        <v>-9185.290011615205</v>
      </c>
      <c r="I28" s="116">
        <f ca="1">Summary!Y27</f>
        <v>-8157.958390797736</v>
      </c>
      <c r="J28" s="116">
        <f ca="1">Summary!Z27</f>
        <v>-7773.6756139680565</v>
      </c>
      <c r="K28" s="117">
        <f ca="1">Summary!AA27</f>
        <v>-7147.402029293433</v>
      </c>
      <c r="L28" s="116"/>
      <c r="M28" s="119">
        <f ca="1">Summary!AC27</f>
        <v>0.3364024211504246</v>
      </c>
      <c r="N28" s="207"/>
      <c r="O28" s="119" t="str">
        <f ca="1">Summary!AE27</f>
        <v>N/A</v>
      </c>
      <c r="P28" s="4"/>
      <c r="Q28" s="4"/>
      <c r="R28" s="84" t="s">
        <v>149</v>
      </c>
      <c r="S28" s="212">
        <f ca="1">Valuation!K79</f>
        <v>1e-12</v>
      </c>
      <c r="T28" s="212">
        <f ca="1">Valuation!R72/Summary!AA19</f>
        <v>4.268467323486759</v>
      </c>
      <c r="U28" s="212">
        <f ca="1">IF($S$21=$S$23,S28,T28)</f>
      </c>
      <c r="W28" s="16"/>
      <c r="X28" s="16"/>
      <c r="Y28" s="16"/>
      <c r="Z28" s="16"/>
      <c r="AA28" s="16"/>
      <c r="AB28" s="16"/>
      <c r="AC28" s="16"/>
      <c r="AD28" s="16"/>
    </row>
    <row r="29" ht="15.75" customHeight="1" spans="1:30" x14ac:dyDescent="0.25">
      <c r="A29" s="4"/>
      <c r="B29" s="120" t="str">
        <f ca="1">Summary!C28</f>
        <v>Margin</v>
      </c>
      <c r="C29" s="16"/>
      <c r="D29" s="205"/>
      <c r="E29" s="121">
        <f ca="1">Summary!U28</f>
        <v>0.10761906081942674</v>
      </c>
      <c r="F29" s="122">
        <f ca="1">Summary!V28</f>
        <v>0.14634273468977757</v>
      </c>
      <c r="G29" s="121">
        <f ca="1">Summary!W28</f>
        <v>0.12496457658903766</v>
      </c>
      <c r="H29" s="121">
        <f ca="1">Summary!X28</f>
        <v>-0.08728209284612236</v>
      </c>
      <c r="I29" s="121">
        <f ca="1">Summary!Y28</f>
        <v>-0.07600000000000003</v>
      </c>
      <c r="J29" s="121">
        <f ca="1">Summary!Z28</f>
        <v>-0.07100000000000006</v>
      </c>
      <c r="K29" s="122">
        <f ca="1">Summary!AA28</f>
        <v>-0.06399999999999993</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 ca="1">Summary!C29</f>
        <v>YoY % Growth</v>
      </c>
      <c r="C30" s="16"/>
      <c r="D30" s="205"/>
      <c r="E30" s="121">
        <f ca="1">Summary!U17</f>
        <v>0.5714285714285714</v>
      </c>
      <c r="F30" s="122">
        <f ca="1">Summary!V17</f>
        <v>0.7250554323725056</v>
      </c>
      <c r="G30" s="121">
        <f ca="1">Summary!W29</f>
        <v>-0.12128539419087148</v>
      </c>
      <c r="H30" s="121">
        <f ca="1">Summary!X29</f>
        <v>-1.8674770240702594</v>
      </c>
      <c r="I30" s="121">
        <f ca="1">Summary!Y29</f>
        <v>-0.11184531130953546</v>
      </c>
      <c r="J30" s="121">
        <f ca="1">Summary!Z29</f>
        <v>-0.04710526315789432</v>
      </c>
      <c r="K30" s="122">
        <f ca="1">Summary!AA29</f>
        <v>-0.08056338028169197</v>
      </c>
      <c r="L30" s="121"/>
      <c r="M30" s="119"/>
      <c r="N30" s="207"/>
      <c r="O30" s="119"/>
      <c r="P30" s="4"/>
      <c r="Q30" s="4"/>
      <c r="R30" s="16" t="s">
        <v>150</v>
      </c>
      <c r="S30" s="84">
        <f ca="1">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 ca="1">Summary!C19</f>
        <v>Net Income (Loss)</v>
      </c>
      <c r="C32" s="16"/>
      <c r="D32" s="205">
        <f ca="1">Summary!T19</f>
        <v>2314</v>
      </c>
      <c r="E32" s="116">
        <f ca="1">Summary!U19</f>
        <v>4281</v>
      </c>
      <c r="F32" s="117">
        <f ca="1">Summary!V19</f>
        <v>5835</v>
      </c>
      <c r="G32" s="116">
        <f ca="1">Summary!W19</f>
        <v>6994.423586999999</v>
      </c>
      <c r="H32" s="116">
        <f ca="1">Summary!X19</f>
        <v>-8789.627423010646</v>
      </c>
      <c r="I32" s="116">
        <f ca="1">Summary!Y19</f>
        <v>-8724.28692478509</v>
      </c>
      <c r="J32" s="116">
        <f ca="1">Summary!Z19</f>
        <v>-9308.436618468048</v>
      </c>
      <c r="K32" s="117">
        <f ca="1">Summary!AA19</f>
        <v>-9718.453998124676</v>
      </c>
      <c r="L32" s="116"/>
      <c r="M32" s="119">
        <f ca="1">Summary!AC19</f>
        <v>0.5879570541665378</v>
      </c>
      <c r="N32" s="207"/>
      <c r="O32" s="119" t="str">
        <f ca="1">Summary!AE19</f>
        <v>N/A</v>
      </c>
      <c r="P32" s="4"/>
      <c r="Q32" s="4"/>
      <c r="R32" s="16"/>
      <c r="S32" s="16"/>
      <c r="T32" s="16"/>
      <c r="U32" s="16"/>
      <c r="V32" s="16"/>
      <c r="W32" s="16"/>
      <c r="X32" s="16"/>
      <c r="Y32" s="16"/>
      <c r="Z32" s="16"/>
      <c r="AA32" s="16"/>
      <c r="AB32" s="16"/>
      <c r="AC32" s="16"/>
      <c r="AD32" s="16"/>
    </row>
    <row r="33" ht="15.75" customHeight="1" spans="1:30" x14ac:dyDescent="0.25">
      <c r="A33" s="4"/>
      <c r="B33" s="120" t="str">
        <f ca="1">Summary!C20</f>
        <v>Margin</v>
      </c>
      <c r="C33" s="16"/>
      <c r="D33" s="205"/>
      <c r="E33" s="121">
        <f ca="1">Summary!U20</f>
        <v>0.059336364140378114</v>
      </c>
      <c r="F33" s="122">
        <f ca="1">Summary!V20</f>
        <v>0.06512494837996807</v>
      </c>
      <c r="G33" s="121">
        <f ca="1">Summary!W20</f>
        <v>0.08254750663561979</v>
      </c>
      <c r="H33" s="121">
        <f ca="1">Summary!X20</f>
        <v>-0.08352235757911934</v>
      </c>
      <c r="I33" s="121">
        <f ca="1">Summary!Y20</f>
        <v>-0.08127594853040558</v>
      </c>
      <c r="J33" s="121">
        <f ca="1">Summary!Z20</f>
        <v>-0.08501756861628001</v>
      </c>
      <c r="K33" s="122">
        <f ca="1">Summary!AA20</f>
        <v>-0.08702197712270922</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 ca="1">Summary!C21</f>
        <v>YoY % Growth</v>
      </c>
      <c r="C34" s="16"/>
      <c r="D34" s="205"/>
      <c r="E34" s="121">
        <f ca="1">Summary!U21</f>
        <v>0.8500432152117545</v>
      </c>
      <c r="F34" s="122">
        <f ca="1">Summary!V21</f>
        <v>0.362999299229152</v>
      </c>
      <c r="G34" s="121">
        <f ca="1">Summary!W21</f>
        <v>-0.04643168548057264</v>
      </c>
      <c r="H34" s="121">
        <f ca="1">Summary!X21</f>
        <v>-2.2566621557417905</v>
      </c>
      <c r="I34" s="121">
        <f ca="1">Summary!Y21</f>
        <v>-0.00743381887319805</v>
      </c>
      <c r="J34" s="121">
        <f ca="1">Summary!Z21</f>
        <v>0.06695672651749085</v>
      </c>
      <c r="K34" s="122">
        <f ca="1">Summary!AA21</f>
        <v>0.044047931619703995</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 ca="1">Summary!C23</f>
        <v>Adj. EPS (Diluted)</v>
      </c>
      <c r="C36" s="16"/>
      <c r="D36" s="205">
        <f ca="1">Summary!T23</f>
        <v>5.194244694132335</v>
      </c>
      <c r="E36" s="116">
        <f ca="1">Summary!U23</f>
        <v>5.579900124843945</v>
      </c>
      <c r="F36" s="117">
        <f ca="1">Summary!V23</f>
        <v>8.875826666666669</v>
      </c>
      <c r="G36" s="116">
        <f ca="1">Summary!W23</f>
        <v>9.94449740655666</v>
      </c>
      <c r="H36" s="116">
        <f ca="1">Summary!X23</f>
        <v>-13.132285141848193</v>
      </c>
      <c r="I36" s="116">
        <f ca="1">Summary!Y23</f>
        <v>-13.246855252520433</v>
      </c>
      <c r="J36" s="116">
        <f ca="1">Summary!Z23</f>
        <v>-14.415426274780799</v>
      </c>
      <c r="K36" s="117">
        <f ca="1">Summary!AA23</f>
        <v>-15.356359018380791</v>
      </c>
      <c r="L36" s="116"/>
      <c r="M36" s="119">
        <f ca="1">Summary!AC23</f>
        <v>0.30720350543331</v>
      </c>
      <c r="N36" s="207"/>
      <c r="O36" s="119" t="str">
        <f ca="1">Summary!AE23</f>
        <v>N/A</v>
      </c>
      <c r="P36" s="4"/>
      <c r="Q36" s="4"/>
      <c r="R36" s="16"/>
      <c r="S36" s="16"/>
      <c r="T36" s="16"/>
      <c r="U36" s="16"/>
      <c r="V36" s="16"/>
      <c r="W36" s="16"/>
      <c r="X36" s="16"/>
      <c r="Y36" s="16"/>
      <c r="Z36" s="16"/>
      <c r="AA36" s="16"/>
      <c r="AB36" s="16"/>
      <c r="AC36" s="16"/>
      <c r="AD36" s="16"/>
    </row>
    <row r="37" ht="15.75" customHeight="1" spans="1:30" x14ac:dyDescent="0.25">
      <c r="A37" s="4"/>
      <c r="B37" s="120" t="str">
        <f ca="1">Summary!C24</f>
        <v>YoY % Growth</v>
      </c>
      <c r="C37" s="16"/>
      <c r="D37" s="205"/>
      <c r="E37" s="121">
        <f ca="1">Summary!U24</f>
        <v>0.07424668136009549</v>
      </c>
      <c r="F37" s="122">
        <f ca="1">Summary!V24</f>
        <v>0.5906784114554204</v>
      </c>
      <c r="G37" s="121" t="str">
        <f ca="1">Summary!W24</f>
        <v>NA</v>
      </c>
      <c r="H37" s="121" t="str">
        <f ca="1">Summary!X24</f>
        <v>NA</v>
      </c>
      <c r="I37" s="121" t="str">
        <f ca="1">Summary!Y24</f>
        <v>NA</v>
      </c>
      <c r="J37" s="121" t="str">
        <f ca="1">Summary!Z24</f>
        <v>NA</v>
      </c>
      <c r="K37" s="122" t="str">
        <f ca="1">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 ca="1">Model!J112</f>
        <v>3799</v>
      </c>
      <c r="E39" s="116">
        <f ca="1">Model!O112</f>
        <v>2821</v>
      </c>
      <c r="F39" s="117">
        <f ca="1">Model!T112</f>
        <v>5715</v>
      </c>
      <c r="G39" s="116">
        <f ca="1">Model!Y112</f>
        <v>1141.3935935217382</v>
      </c>
      <c r="H39" s="116">
        <f ca="1">Model!AD112</f>
        <v>-10401.279233065197</v>
      </c>
      <c r="I39" s="116">
        <f ca="1">Model!AE112</f>
        <v>-8989.91159481507</v>
      </c>
      <c r="J39" s="116">
        <f ca="1">Model!AF112</f>
        <v>-10168.654584551688</v>
      </c>
      <c r="K39" s="117">
        <f ca="1">Model!AG112</f>
        <v>-10675.999969221673</v>
      </c>
      <c r="L39" s="4"/>
      <c r="M39" s="119">
        <f ca="1">IFERROR((F39/D39)^(1/2)-1,"N/A")</f>
        <v>0.22651671338927004</v>
      </c>
      <c r="N39" s="4"/>
      <c r="O39" s="119" t="str">
        <f ca="1">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 ca="1">E39/D39-1</f>
        <v>-0.257436167412477</v>
      </c>
      <c r="F40" s="122">
        <f ca="1">F39/E39-1</f>
        <v>1.0258773484579935</v>
      </c>
      <c r="G40" s="121">
        <f ca="1">G39/F39-1</f>
        <v>-0.8633061564644625</v>
      </c>
      <c r="H40" s="121">
        <f ca="1">H39/G39-1</f>
        <v>-10.112789218460863</v>
      </c>
      <c r="I40" s="121">
        <f ca="1">I39/H39-1</f>
        <v>-0.13569173623985142</v>
      </c>
      <c r="J40" s="121">
        <f ca="1">J39/I39-1</f>
        <v>0.13111841838538862</v>
      </c>
      <c r="K40" s="122">
        <f ca="1">K39/J39-1</f>
        <v>0.04989306898483381</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 ca="1">E19</f>
        <v>2024</v>
      </c>
      <c r="F43" s="201">
        <f ca="1">F19</f>
        <v>2025</v>
      </c>
      <c r="G43" s="201" t="str">
        <f ca="1">G19</f>
        <v>2026e</v>
      </c>
      <c r="H43" s="201" t="str">
        <f ca="1">H19</f>
        <v>2027e</v>
      </c>
      <c r="I43" s="201" t="str">
        <f ca="1">I19</f>
        <v>2028e</v>
      </c>
      <c r="J43" s="201" t="str">
        <f ca="1">J19</f>
        <v>2029e</v>
      </c>
      <c r="K43" s="201" t="str">
        <f ca="1">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 ca="1">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 ca="1">Summary!C92</f>
        <v>Total Debt / EBITDA</v>
      </c>
      <c r="C45" s="4"/>
      <c r="D45" s="205">
        <f ca="1">Summary!T92</f>
        <v>2.111395487898398</v>
      </c>
      <c r="E45" s="156">
        <f ca="1">Summary!U92</f>
        <v>2.236460815248889</v>
      </c>
      <c r="F45" s="157">
        <f ca="1">Summary!V92</f>
        <v>1.9990283613245097</v>
      </c>
      <c r="G45" s="156" t="str">
        <f ca="1">Summary!W92</f>
        <v>NA</v>
      </c>
      <c r="H45" s="156" t="str">
        <f ca="1">Summary!X92</f>
        <v>NA</v>
      </c>
      <c r="I45" s="156" t="str">
        <f ca="1">Summary!Y92</f>
        <v>NA</v>
      </c>
      <c r="J45" s="156" t="str">
        <f ca="1">Summary!Z92</f>
        <v>NA</v>
      </c>
      <c r="K45" s="157" t="str">
        <f ca="1">Summary!AA92</f>
        <v>NA</v>
      </c>
      <c r="L45" s="4"/>
      <c r="M45" s="219">
        <f t="shared" ref="M45:M47" si="3" ca="1">AVERAGE(D45:F45)</f>
        <v>2.115628221490599</v>
      </c>
      <c r="N45" s="207"/>
      <c r="O45" s="219">
        <f ca="1">AVERAGE(G45:K45)</f>
      </c>
      <c r="P45" s="4"/>
      <c r="Q45" s="4"/>
      <c r="R45" s="16"/>
      <c r="S45" s="16"/>
      <c r="T45" s="16"/>
      <c r="U45" s="16"/>
      <c r="V45" s="16"/>
      <c r="W45" s="16"/>
      <c r="X45" s="16"/>
      <c r="Y45" s="16"/>
      <c r="Z45" s="16"/>
      <c r="AA45" s="16"/>
      <c r="AB45" s="16"/>
      <c r="AC45" s="16"/>
      <c r="AD45" s="16"/>
    </row>
    <row r="46" ht="13.5" customHeight="1" spans="1:30" x14ac:dyDescent="0.25">
      <c r="A46" s="4"/>
      <c r="B46" s="139" t="str">
        <f ca="1">Summary!C93</f>
        <v>Total Debt / Equity</v>
      </c>
      <c r="C46" s="4"/>
      <c r="D46" s="205">
        <f ca="1">Summary!T93</f>
        <v>4.25384193194292</v>
      </c>
      <c r="E46" s="156">
        <f ca="1">Summary!U93</f>
        <v>8.80578093306288</v>
      </c>
      <c r="F46" s="157">
        <f ca="1">Summary!V93</f>
        <v>18.24008350730689</v>
      </c>
      <c r="G46" s="156" t="str">
        <f ca="1">Summary!W93</f>
        <v>NA</v>
      </c>
      <c r="H46" s="156" t="str">
        <f ca="1">Summary!X93</f>
        <v>NA</v>
      </c>
      <c r="I46" s="156" t="str">
        <f ca="1">Summary!Y93</f>
        <v>NA</v>
      </c>
      <c r="J46" s="156" t="str">
        <f ca="1">Summary!Z93</f>
        <v>NA</v>
      </c>
      <c r="K46" s="157" t="str">
        <f ca="1">Summary!AA93</f>
        <v>NA</v>
      </c>
      <c r="L46" s="4"/>
      <c r="M46" s="220">
        <f ca="1">AVERAGE(D46:F46)</f>
        <v>10.433235457437563</v>
      </c>
      <c r="N46" s="207"/>
      <c r="O46" s="220">
        <f ca="1">AVERAGE(G46:K46)</f>
      </c>
      <c r="P46" s="4"/>
      <c r="Q46" s="4"/>
      <c r="R46" s="16"/>
      <c r="S46" s="16"/>
      <c r="T46" s="16"/>
      <c r="U46" s="16"/>
      <c r="V46" s="16"/>
      <c r="W46" s="16"/>
      <c r="X46" s="16"/>
      <c r="Y46" s="16"/>
      <c r="Z46" s="16"/>
      <c r="AA46" s="16"/>
      <c r="AB46" s="16"/>
      <c r="AC46" s="16"/>
      <c r="AD46" s="16"/>
    </row>
    <row r="47" ht="13.5" customHeight="1" spans="1:30" x14ac:dyDescent="0.25">
      <c r="A47" s="4"/>
      <c r="B47" s="139" t="str">
        <f ca="1">Summary!C94</f>
        <v>Total Debt / Total Assets</v>
      </c>
      <c r="C47" s="4"/>
      <c r="D47" s="205">
        <f ca="1">Summary!T94</f>
        <v>0.4492001854642402</v>
      </c>
      <c r="E47" s="156">
        <f ca="1">Summary!U94</f>
        <v>0.4399432494742976</v>
      </c>
      <c r="F47" s="157">
        <f ca="1">Summary!V94</f>
        <v>0.5608430512463892</v>
      </c>
      <c r="G47" s="156" t="str">
        <f ca="1">Summary!W94</f>
        <v>NA</v>
      </c>
      <c r="H47" s="156" t="str">
        <f ca="1">Summary!X94</f>
        <v>NA</v>
      </c>
      <c r="I47" s="156" t="str">
        <f ca="1">Summary!Y94</f>
        <v>NA</v>
      </c>
      <c r="J47" s="156" t="str">
        <f ca="1">Summary!Z94</f>
        <v>NA</v>
      </c>
      <c r="K47" s="157" t="str">
        <f ca="1">Summary!AA94</f>
        <v>NA</v>
      </c>
      <c r="L47" s="4"/>
      <c r="M47" s="220">
        <f ca="1">AVERAGE(D47:F47)</f>
        <v>0.483328828728309</v>
      </c>
      <c r="N47" s="207"/>
      <c r="O47" s="220">
        <f ca="1">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 ca="1">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 ca="1">Summary!C104</f>
        <v>Current Ratio</v>
      </c>
      <c r="C50" s="4"/>
      <c r="D50" s="205">
        <f ca="1">Summary!T104</f>
        <v>1.0628221408829461</v>
      </c>
      <c r="E50" s="156">
        <f ca="1">Summary!U104</f>
        <v>1.0502571134727459</v>
      </c>
      <c r="F50" s="157">
        <f ca="1">Summary!V104</f>
        <v>1.320361937429771</v>
      </c>
      <c r="G50" s="156" t="str">
        <f ca="1">Summary!W104</f>
        <v>NA</v>
      </c>
      <c r="H50" s="156" t="str">
        <f ca="1">Summary!X104</f>
        <v>NA</v>
      </c>
      <c r="I50" s="156" t="str">
        <f ca="1">Summary!Y104</f>
        <v>NA</v>
      </c>
      <c r="J50" s="156" t="str">
        <f ca="1">Summary!Z104</f>
        <v>NA</v>
      </c>
      <c r="K50" s="157" t="str">
        <f ca="1">Summary!AA104</f>
        <v>NA</v>
      </c>
      <c r="L50" s="4"/>
      <c r="M50" s="220">
        <f t="shared" ref="M50:M52" si="4" ca="1">AVERAGE(D50:F50)</f>
        <v>1.1444803972618212</v>
      </c>
      <c r="N50" s="207"/>
      <c r="O50" s="220">
        <f ca="1">AVERAGE(G50:K50)</f>
      </c>
      <c r="P50" s="4"/>
      <c r="Q50" s="4"/>
      <c r="R50" s="16"/>
      <c r="S50" s="16"/>
      <c r="T50" s="16"/>
      <c r="U50" s="16"/>
      <c r="V50" s="16"/>
      <c r="W50" s="16"/>
      <c r="X50" s="16"/>
      <c r="Y50" s="16"/>
      <c r="Z50" s="16"/>
      <c r="AA50" s="16"/>
      <c r="AB50" s="16"/>
      <c r="AC50" s="16"/>
      <c r="AD50" s="16"/>
    </row>
    <row r="51" ht="13.5" customHeight="1" spans="1:30" x14ac:dyDescent="0.25">
      <c r="A51" s="4"/>
      <c r="B51" s="139" t="str">
        <f ca="1">Summary!C105</f>
        <v>Quick Ratio</v>
      </c>
      <c r="C51" s="4"/>
      <c r="D51" s="205">
        <f ca="1">Summary!T105</f>
        <v>0.054455815343243445</v>
      </c>
      <c r="E51" s="156">
        <f ca="1">Summary!U105</f>
        <v>0.060061707233459036</v>
      </c>
      <c r="F51" s="157">
        <f ca="1">Summary!V105</f>
        <v>0.307291974688036</v>
      </c>
      <c r="G51" s="156" t="str">
        <f ca="1">Summary!W105</f>
        <v>NA</v>
      </c>
      <c r="H51" s="156" t="str">
        <f ca="1">Summary!X105</f>
        <v>NA</v>
      </c>
      <c r="I51" s="156" t="str">
        <f ca="1">Summary!Y105</f>
        <v>NA</v>
      </c>
      <c r="J51" s="156" t="str">
        <f ca="1">Summary!Z105</f>
        <v>NA</v>
      </c>
      <c r="K51" s="157" t="str">
        <f ca="1">Summary!AA105</f>
        <v>NA</v>
      </c>
      <c r="L51" s="4"/>
      <c r="M51" s="220">
        <f ca="1">AVERAGE(D51:F51)</f>
        <v>0.14060316575491283</v>
      </c>
      <c r="N51" s="207"/>
      <c r="O51" s="220">
        <f ca="1">AVERAGE(G51:K51)</f>
      </c>
      <c r="P51" s="4"/>
      <c r="Q51" s="4"/>
      <c r="R51" s="16"/>
      <c r="S51" s="16"/>
      <c r="T51" s="16"/>
      <c r="U51" s="16"/>
      <c r="V51" s="16"/>
      <c r="W51" s="16"/>
      <c r="X51" s="16"/>
      <c r="Y51" s="16"/>
      <c r="Z51" s="16"/>
      <c r="AA51" s="16"/>
      <c r="AB51" s="16"/>
      <c r="AC51" s="16"/>
      <c r="AD51" s="16"/>
    </row>
    <row r="52" ht="13.5" customHeight="1" spans="1:30" x14ac:dyDescent="0.25">
      <c r="A52" s="4"/>
      <c r="B52" s="139" t="str">
        <f ca="1">Summary!C106</f>
        <v>Cash Ratio</v>
      </c>
      <c r="C52" s="4"/>
      <c r="D52" s="205">
        <f ca="1">Summary!T106</f>
        <v>0.054455815343243445</v>
      </c>
      <c r="E52" s="156">
        <f ca="1">Summary!U106</f>
        <v>0.060061707233459036</v>
      </c>
      <c r="F52" s="157">
        <f ca="1">Summary!V106</f>
        <v>0.307291974688036</v>
      </c>
      <c r="G52" s="156" t="str">
        <f ca="1">Summary!W106</f>
        <v>NA</v>
      </c>
      <c r="H52" s="156" t="str">
        <f ca="1">Summary!X106</f>
        <v>NA</v>
      </c>
      <c r="I52" s="156" t="str">
        <f ca="1">Summary!Y106</f>
        <v>NA</v>
      </c>
      <c r="J52" s="156" t="str">
        <f ca="1">Summary!Z106</f>
        <v>NA</v>
      </c>
      <c r="K52" s="157" t="str">
        <f ca="1">Summary!AA106</f>
        <v>NA</v>
      </c>
      <c r="L52" s="4"/>
      <c r="M52" s="220">
        <f ca="1">AVERAGE(D52:F52)</f>
        <v>0.14060316575491283</v>
      </c>
      <c r="N52" s="207"/>
      <c r="O52" s="220">
        <f ca="1">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 ca="1">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 ca="1">Summary!C80</f>
        <v>Return on Assets (ROA)</v>
      </c>
      <c r="C55" s="4"/>
      <c r="D55" s="205">
        <f ca="1">Summary!T80</f>
        <v>0.06705691433870407</v>
      </c>
      <c r="E55" s="153">
        <f ca="1">Summary!U80</f>
        <v>0.10845937523751616</v>
      </c>
      <c r="F55" s="154">
        <f ca="1">Summary!V80</f>
        <v>0.12485289397667701</v>
      </c>
      <c r="G55" s="153">
        <f ca="1">Summary!W80</f>
        <v>0.1401536184869385</v>
      </c>
      <c r="H55" s="153">
        <f ca="1">Summary!X80</f>
        <v>-0.17958709641964574</v>
      </c>
      <c r="I55" s="153">
        <f ca="1">Summary!Y80</f>
        <v>-0.1745258789612365</v>
      </c>
      <c r="J55" s="153">
        <f ca="1">Summary!Z80</f>
        <v>-0.1815524218274444</v>
      </c>
      <c r="K55" s="154">
        <f ca="1">Summary!AA80</f>
        <v>-0.18436593266362394</v>
      </c>
      <c r="L55" s="4"/>
      <c r="M55" s="119">
        <f t="shared" ref="M55:M57" si="5" ca="1">AVERAGE(D55:F55)</f>
        <v>0.10012306118429908</v>
      </c>
      <c r="N55" s="207"/>
      <c r="O55" s="119">
        <f ca="1">AVERAGE(G55:K55)</f>
      </c>
      <c r="P55" s="4"/>
      <c r="Q55" s="4"/>
      <c r="R55" s="16"/>
      <c r="S55" s="16"/>
      <c r="T55" s="16"/>
      <c r="U55" s="16"/>
      <c r="V55" s="16"/>
      <c r="W55" s="16"/>
      <c r="X55" s="16"/>
      <c r="Y55" s="16"/>
      <c r="Z55" s="16"/>
      <c r="AA55" s="16"/>
      <c r="AB55" s="16"/>
      <c r="AC55" s="16"/>
      <c r="AD55" s="16"/>
    </row>
    <row r="56" ht="13.5" customHeight="1" spans="1:30" x14ac:dyDescent="0.25">
      <c r="A56" s="4"/>
      <c r="B56" s="139" t="str">
        <f ca="1">Summary!C81</f>
        <v>Return on Equity (ROE)</v>
      </c>
      <c r="C56" s="4"/>
      <c r="D56" s="205">
        <f ca="1">Summary!T81</f>
        <v>0.6350164654226125</v>
      </c>
      <c r="E56" s="153">
        <f ca="1">Summary!U81</f>
        <v>2.170892494929006</v>
      </c>
      <c r="F56" s="154">
        <f ca="1">Summary!V81</f>
        <v>4.060542797494781</v>
      </c>
      <c r="G56" s="153">
        <f ca="1">Summary!W81</f>
        <v>-0.7791079881726668</v>
      </c>
      <c r="H56" s="153">
        <f ca="1">Summary!X81</f>
        <v>0.3259011886783753</v>
      </c>
      <c r="I56" s="153">
        <f ca="1">Summary!Y81</f>
        <v>0.18706481492365018</v>
      </c>
      <c r="J56" s="153">
        <f ca="1">Summary!Z81</f>
        <v>0.1374871666560521</v>
      </c>
      <c r="K56" s="154">
        <f ca="1">Summary!AA81</f>
        <v>0.10789082447321689</v>
      </c>
      <c r="L56" s="4"/>
      <c r="M56" s="119">
        <f ca="1">AVERAGE(D56:F56)</f>
        <v>2.2888172526154666</v>
      </c>
      <c r="N56" s="207"/>
      <c r="O56" s="119">
        <f ca="1">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 ca="1">Summary!T82</f>
        <v>0.12086706711935231</v>
      </c>
      <c r="E57" s="153">
        <f ca="1">Summary!U82</f>
        <v>0.22138904690489736</v>
      </c>
      <c r="F57" s="154">
        <f ca="1">Summary!V82</f>
        <v>0.21104600694444445</v>
      </c>
      <c r="G57" s="153">
        <f ca="1">Summary!W82</f>
        <v>0.44393469683045955</v>
      </c>
      <c r="H57" s="153">
        <f ca="1">Summary!X82</f>
        <v>-1.393816386051088</v>
      </c>
      <c r="I57" s="153">
        <f ca="1">Summary!Y82</f>
        <v>-0.9239647434355482</v>
      </c>
      <c r="J57" s="153">
        <f ca="1">Summary!Z82</f>
        <v>-1.0601687945837222</v>
      </c>
      <c r="K57" s="154">
        <f ca="1">Summary!AA82</f>
        <v>-0.9903382326788945</v>
      </c>
      <c r="L57" s="4"/>
      <c r="M57" s="119">
        <f ca="1">AVERAGE(D57:F57)</f>
        <v>0.18443404032289804</v>
      </c>
      <c r="N57" s="207"/>
      <c r="O57" s="119">
        <f ca="1">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 ca="1">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 ca="1">Summary!T85</f>
        <v>624</v>
      </c>
      <c r="E60" s="116">
        <f ca="1">Summary!U85</f>
        <v>691</v>
      </c>
      <c r="F60" s="117">
        <f ca="1">Summary!V85</f>
        <v>849</v>
      </c>
      <c r="G60" s="116">
        <f ca="1">Summary!W85</f>
        <v>1031.976675</v>
      </c>
      <c r="H60" s="116">
        <f ca="1">Summary!X85</f>
        <v>1025.1456011582852</v>
      </c>
      <c r="I60" s="116">
        <f ca="1">Summary!Y85</f>
        <v>1901.211350001854</v>
      </c>
      <c r="J60" s="116">
        <f ca="1">Summary!Z85</f>
        <v>3001.7914731781666</v>
      </c>
      <c r="K60" s="117">
        <f ca="1">Summary!AA85</f>
        <v>4115.916589870751</v>
      </c>
      <c r="L60" s="4"/>
      <c r="M60" s="221">
        <f t="shared" ref="M60:M64" si="6" ca="1">AVERAGE(D60:F60)</f>
        <v>721.3333333333334</v>
      </c>
      <c r="N60" s="116"/>
      <c r="O60" s="221">
        <f ca="1">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 ca="1">Summary!T86</f>
        <v>1174</v>
      </c>
      <c r="E61" s="136">
        <f ca="1">Summary!U86</f>
        <v>1484</v>
      </c>
      <c r="F61" s="137">
        <f ca="1">Summary!V86</f>
        <v>1729</v>
      </c>
      <c r="G61" s="136">
        <f ca="1">Summary!W86</f>
        <v>1626.1257</v>
      </c>
      <c r="H61" s="136">
        <f ca="1">Summary!X86</f>
        <v>2115.30265349424</v>
      </c>
      <c r="I61" s="136">
        <f ca="1">Summary!Y86</f>
        <v>2146.8311554730876</v>
      </c>
      <c r="J61" s="136">
        <f ca="1">Summary!Z86</f>
        <v>2189.7677785825495</v>
      </c>
      <c r="K61" s="137">
        <f ca="1">Summary!AA86</f>
        <v>2345.2412908619103</v>
      </c>
      <c r="L61" s="4"/>
      <c r="M61" s="222">
        <f ca="1">AVERAGE(D61:F61)</f>
        <v>1462.3333333333333</v>
      </c>
      <c r="N61" s="136"/>
      <c r="O61" s="222">
        <f ca="1">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 ca="1">Summary!T87</f>
        <v>6.439102564102564</v>
      </c>
      <c r="E62" s="156">
        <f ca="1">Summary!U87</f>
        <v>9.137481910274964</v>
      </c>
      <c r="F62" s="157">
        <f ca="1">Summary!V87</f>
        <v>12.829210836277975</v>
      </c>
      <c r="G62" s="156" t="str">
        <f ca="1">Summary!W87</f>
        <v>N/A</v>
      </c>
      <c r="H62" s="156" t="str">
        <f ca="1">Summary!X87</f>
        <v>N/A</v>
      </c>
      <c r="I62" s="156" t="str">
        <f ca="1">Summary!Y87</f>
        <v>N/A</v>
      </c>
      <c r="J62" s="156" t="str">
        <f ca="1">Summary!Z87</f>
        <v>N/A</v>
      </c>
      <c r="K62" s="157" t="str">
        <f ca="1">Summary!AA87</f>
        <v>N/A</v>
      </c>
      <c r="L62" s="4"/>
      <c r="M62" s="220">
        <f ca="1">AVERAGE(D62:F62)</f>
        <v>9.468598436885168</v>
      </c>
      <c r="N62" s="156"/>
      <c r="O62" s="220">
        <f ca="1">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 ca="1">Summary!T88</f>
        <v>11.76536858974359</v>
      </c>
      <c r="E63" s="156">
        <f ca="1">Summary!U88</f>
        <v>11.236613603473227</v>
      </c>
      <c r="F63" s="157">
        <f ca="1">Summary!V88</f>
        <v>15.44389870435807</v>
      </c>
      <c r="G63" s="156" t="str">
        <f ca="1">Summary!W88</f>
        <v>N/A</v>
      </c>
      <c r="H63" s="156" t="str">
        <f ca="1">Summary!X88</f>
        <v>N/A</v>
      </c>
      <c r="I63" s="156" t="str">
        <f ca="1">Summary!Y88</f>
        <v>N/A</v>
      </c>
      <c r="J63" s="156" t="str">
        <f ca="1">Summary!Z88</f>
        <v>N/A</v>
      </c>
      <c r="K63" s="157" t="str">
        <f ca="1">Summary!AA88</f>
        <v>N/A</v>
      </c>
      <c r="L63" s="4"/>
      <c r="M63" s="220">
        <f ca="1">AVERAGE(D63:F63)</f>
        <v>12.815293632524963</v>
      </c>
      <c r="N63" s="156"/>
      <c r="O63" s="220">
        <f ca="1">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 ca="1">Summary!T89</f>
        <v>9.883958333333334</v>
      </c>
      <c r="E64" s="156">
        <f ca="1">Summary!U89</f>
        <v>9.089001447178003</v>
      </c>
      <c r="F64" s="157">
        <f ca="1">Summary!V89</f>
        <v>13.407385159010602</v>
      </c>
      <c r="G64" s="156" t="str">
        <f ca="1">Summary!W89</f>
        <v>N/A</v>
      </c>
      <c r="H64" s="156" t="str">
        <f ca="1">Summary!X89</f>
        <v>N/A</v>
      </c>
      <c r="I64" s="156" t="str">
        <f ca="1">Summary!Y89</f>
        <v>N/A</v>
      </c>
      <c r="J64" s="156" t="str">
        <f ca="1">Summary!Z89</f>
        <v>N/A</v>
      </c>
      <c r="K64" s="157" t="str">
        <f ca="1">Summary!AA89</f>
        <v>N/A</v>
      </c>
      <c r="L64" s="4"/>
      <c r="M64" s="220">
        <f ca="1">AVERAGE(D64:F64)</f>
        <v>10.79344831317398</v>
      </c>
      <c r="N64" s="156"/>
      <c r="O64" s="220">
        <f ca="1">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 ca="1">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 ca="1">Summary!C97</f>
        <v>Asset Turnover</v>
      </c>
      <c r="C67" s="16"/>
      <c r="D67" s="205">
        <f ca="1">Summary!T97</f>
        <v>2.066448359800626</v>
      </c>
      <c r="E67" s="160">
        <f ca="1">Summary!U97</f>
        <v>1.8278736287400876</v>
      </c>
      <c r="F67" s="161">
        <f ca="1">Summary!V97</f>
        <v>1.9171284904247352</v>
      </c>
      <c r="G67" s="160">
        <f ca="1">Summary!W97</f>
        <v>1.697854050342222</v>
      </c>
      <c r="H67" s="160">
        <f ca="1">Summary!X97</f>
        <v>2.150167950533794</v>
      </c>
      <c r="I67" s="160">
        <f ca="1">Summary!Y97</f>
        <v>2.147325034243628</v>
      </c>
      <c r="J67" s="160">
        <f ca="1">Summary!Z97</f>
        <v>2.1354694656920468</v>
      </c>
      <c r="K67" s="161">
        <f ca="1">Summary!AA97</f>
        <v>2.1186134670745362</v>
      </c>
      <c r="L67" s="4"/>
      <c r="M67" s="220">
        <f t="shared" ref="M67:M71" si="7" ca="1">AVERAGE(D67:F67)</f>
        <v>1.9371501596551497</v>
      </c>
      <c r="N67" s="160"/>
      <c r="O67" s="220">
        <f ca="1">AVERAGE(G67:K67)</f>
      </c>
      <c r="P67" s="4"/>
      <c r="Q67" s="4"/>
      <c r="R67" s="16"/>
      <c r="S67" s="16"/>
      <c r="T67" s="16"/>
      <c r="U67" s="16"/>
      <c r="V67" s="16"/>
      <c r="W67" s="16"/>
      <c r="X67" s="16"/>
      <c r="Y67" s="16"/>
      <c r="Z67" s="16"/>
      <c r="AA67" s="16"/>
      <c r="AB67" s="16"/>
      <c r="AC67" s="16"/>
      <c r="AD67" s="16"/>
    </row>
    <row r="68" ht="13.5" customHeight="1" spans="1:30" x14ac:dyDescent="0.25">
      <c r="A68" s="4"/>
      <c r="B68" s="139" t="str">
        <f ca="1">Summary!C98</f>
        <v>Days Sales Outstanding</v>
      </c>
      <c r="C68" s="4"/>
      <c r="D68" s="205">
        <f ca="1">Summary!T98</f>
        <v>1e-12</v>
      </c>
      <c r="E68" s="162">
        <f ca="1">Summary!U98</f>
        <v>1e-12</v>
      </c>
      <c r="F68" s="163">
        <f ca="1">Summary!V98</f>
        <v>1e-12</v>
      </c>
      <c r="G68" s="162">
        <f ca="1">Summary!W98</f>
        <v>1e-12</v>
      </c>
      <c r="H68" s="162">
        <f ca="1">Summary!X98</f>
        <v>1e-12</v>
      </c>
      <c r="I68" s="162">
        <f ca="1">Summary!Y98</f>
        <v>1e-12</v>
      </c>
      <c r="J68" s="162">
        <f ca="1">Summary!Z98</f>
        <v>1e-12</v>
      </c>
      <c r="K68" s="163">
        <f ca="1">Summary!AA98</f>
        <v>1e-12</v>
      </c>
      <c r="L68" s="4"/>
      <c r="M68" s="223">
        <f ca="1">AVERAGE(D68:F68)</f>
      </c>
      <c r="N68" s="162"/>
      <c r="O68" s="223">
        <f ca="1">AVERAGE(G68:K68)</f>
      </c>
      <c r="P68" s="4"/>
      <c r="Q68" s="4"/>
      <c r="R68" s="16"/>
      <c r="S68" s="16"/>
      <c r="T68" s="16"/>
      <c r="U68" s="16"/>
      <c r="V68" s="16"/>
      <c r="W68" s="16"/>
      <c r="X68" s="16"/>
      <c r="Y68" s="16"/>
      <c r="Z68" s="16"/>
      <c r="AA68" s="16"/>
      <c r="AB68" s="16"/>
      <c r="AC68" s="16"/>
      <c r="AD68" s="16"/>
    </row>
    <row r="69" ht="13.5" customHeight="1" spans="1:30" x14ac:dyDescent="0.25">
      <c r="A69" s="4"/>
      <c r="B69" s="139" t="str">
        <f ca="1">Summary!C99</f>
        <v>Days Inventory Outstanding</v>
      </c>
      <c r="C69" s="4"/>
      <c r="D69" s="205">
        <f ca="1">Summary!T99</f>
        <v>94.5511972893122</v>
      </c>
      <c r="E69" s="162">
        <f ca="1">Summary!U99</f>
        <v>95.46895640686921</v>
      </c>
      <c r="F69" s="163">
        <f ca="1">Summary!V99</f>
        <v>89.31899223514513</v>
      </c>
      <c r="G69" s="162">
        <f ca="1">Summary!W99</f>
        <v>92.07624734938022</v>
      </c>
      <c r="H69" s="162">
        <f ca="1">Summary!X99</f>
        <v>78.93300806770992</v>
      </c>
      <c r="I69" s="162">
        <f ca="1">Summary!Y99</f>
        <v>84</v>
      </c>
      <c r="J69" s="162">
        <f ca="1">Summary!Z99</f>
        <v>84</v>
      </c>
      <c r="K69" s="163">
        <f ca="1">Summary!AA99</f>
        <v>84</v>
      </c>
      <c r="L69" s="4"/>
      <c r="M69" s="223">
        <f ca="1">AVERAGE(D69:F69)</f>
        <v>93.11304864377551</v>
      </c>
      <c r="N69" s="162"/>
      <c r="O69" s="223">
        <f ca="1">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 ca="1">Summary!C100</f>
        <v>Days Payables Outstanding</v>
      </c>
      <c r="C70" s="4"/>
      <c r="D70" s="205">
        <f ca="1">Summary!T100</f>
        <v>69.28524204045371</v>
      </c>
      <c r="E70" s="162">
        <f ca="1">Summary!U100</f>
        <v>59.11360634081902</v>
      </c>
      <c r="F70" s="163">
        <f ca="1">Summary!V100</f>
        <v>56.38846769087213</v>
      </c>
      <c r="G70" s="162">
        <f ca="1">Summary!W100</f>
        <v>58.889473853616515</v>
      </c>
      <c r="H70" s="162">
        <f ca="1">Summary!X100</f>
        <v>48.236838263600504</v>
      </c>
      <c r="I70" s="162">
        <f ca="1">Summary!Y100</f>
        <v>54</v>
      </c>
      <c r="J70" s="162">
        <f ca="1">Summary!Z100</f>
        <v>54</v>
      </c>
      <c r="K70" s="163">
        <f ca="1">Summary!AA100</f>
        <v>54</v>
      </c>
      <c r="L70" s="4"/>
      <c r="M70" s="223">
        <f ca="1">AVERAGE(D70:F70)</f>
        <v>61.59577202404828</v>
      </c>
      <c r="N70" s="162"/>
      <c r="O70" s="223">
        <f ca="1">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 ca="1">Summary!C101</f>
        <v>Cash Conversion Cycle</v>
      </c>
      <c r="C71" s="4"/>
      <c r="D71" s="205">
        <f ca="1">Summary!T101</f>
        <v>25.26595524885849</v>
      </c>
      <c r="E71" s="162">
        <f ca="1">Summary!U101</f>
        <v>36.35535006605019</v>
      </c>
      <c r="F71" s="163">
        <f ca="1">Summary!V101</f>
        <v>32.930524544273</v>
      </c>
      <c r="G71" s="162">
        <f ca="1">Summary!W101</f>
        <v>33.18677349576371</v>
      </c>
      <c r="H71" s="162">
        <f ca="1">Summary!X101</f>
        <v>30.696169804109417</v>
      </c>
      <c r="I71" s="162">
        <f ca="1">Summary!Y101</f>
        <v>30</v>
      </c>
      <c r="J71" s="162">
        <f ca="1">Summary!Z101</f>
        <v>30</v>
      </c>
      <c r="K71" s="163">
        <f ca="1">Summary!AA101</f>
        <v>30</v>
      </c>
      <c r="L71" s="4"/>
      <c r="M71" s="224">
        <f ca="1">AVERAGE(D71:F71)</f>
        <v>31.517276619727227</v>
      </c>
      <c r="N71" s="162"/>
      <c r="O71" s="224">
        <f ca="1">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 ca="1">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 ca="1">TEXT(Valuation!E108,"0.0%")&amp;" - "&amp;TEXT(Valuation!E110,"0.0%")&amp;" WACC"&amp;" &amp; "&amp;TEXT(Valuation!G106,"0.0%")&amp;" - "&amp;TEXT(Valuation!I106,"0.0%")&amp;" PGR"</f>
        <v>8.4% - 9.4% WACC &amp; 1.5% - 2.5% PGR</v>
      </c>
      <c r="P5" s="16"/>
      <c r="Q5" s="16"/>
      <c r="R5" s="16"/>
      <c r="S5" s="16"/>
      <c r="T5" s="231">
        <f ca="1">Valuation!G108</f>
        <v>195.04954830416227</v>
      </c>
      <c r="U5" s="232">
        <f t="shared" ref="U5:U6" si="0" ca="1">V5-T5</f>
        <v>20.38591593197205</v>
      </c>
      <c r="V5" s="231">
        <f ca="1">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 ca="1">TEXT(Valuation!E100,"0.0%")&amp;" - "&amp;TEXT(Valuation!E102,"0.0%")&amp;" WACC"&amp;" &amp; "&amp;TEXT(Valuation!G98,"0.0x")&amp;" - "&amp;TEXT(Valuation!I98,"0.0x")&amp;" Exit Multiple"</f>
        <v>8.4% - 9.4% WACC &amp; 12.0x - 14.0x Exit Multiple</v>
      </c>
      <c r="P6" s="16"/>
      <c r="Q6" s="16"/>
      <c r="R6" s="16"/>
      <c r="S6" s="16"/>
      <c r="T6" s="59">
        <f ca="1">Valuation!G100</f>
        <v>250.7826183405888</v>
      </c>
      <c r="U6" s="143">
        <f ca="1">V6-T6</f>
        <v>27.264040885164633</v>
      </c>
      <c r="V6" s="59">
        <f ca="1">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 ca="1">Valuation!F184&amp;": "&amp;TEXT(Valuation!G185,"0.0x")&amp;" - "&amp;TEXT(Valuation!I185,"0.0x")</f>
        <v>NTM EV/EBITDA Spread to Comps: 12.0x - 14.0x</v>
      </c>
      <c r="P8" s="16"/>
      <c r="Q8" s="16"/>
      <c r="R8" s="16"/>
      <c r="S8" s="16"/>
      <c r="T8" s="59">
        <f ca="1">Valuation!G187</f>
        <v>209.23348011234188</v>
      </c>
      <c r="U8" s="143">
        <f t="shared" ref="U8:U11" si="1" ca="1">V8-T8</f>
        <v>100.49024724596924</v>
      </c>
      <c r="V8" s="59">
        <f ca="1">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 ca="1">Valuation!F176&amp;": "&amp;TEXT(Valuation!G177,"0.0x")&amp;" - "&amp;TEXT(Valuation!I177,"0.0x")</f>
        <v>NTM EV/EBITDA: 11.4x - 13.4x</v>
      </c>
      <c r="P9" s="16"/>
      <c r="Q9" s="16"/>
      <c r="R9" s="16"/>
      <c r="S9" s="16"/>
      <c r="T9" s="59">
        <f ca="1">Valuation!G179</f>
        <v>197.97413940238593</v>
      </c>
      <c r="U9" s="143">
        <f ca="1">V9-T9</f>
        <v>97.98817153264574</v>
      </c>
      <c r="V9" s="59">
        <f ca="1">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 ca="1">Valuation!F168&amp;": "&amp;TEXT(Valuation!G169,"0.0x")&amp;" - "&amp;TEXT(Valuation!I169,"0.0x")</f>
        <v>NTM P/E Spread to Comps: 18.3x - 20.3x</v>
      </c>
      <c r="P10" s="16"/>
      <c r="Q10" s="16"/>
      <c r="R10" s="16"/>
      <c r="S10" s="16"/>
      <c r="T10" s="59">
        <f ca="1">Valuation!G171</f>
        <v>241.42389782472316</v>
      </c>
      <c r="U10" s="143">
        <f ca="1">V10-T10</f>
        <v>85.92656726380312</v>
      </c>
      <c r="V10" s="59">
        <f ca="1">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 ca="1">Valuation!F160&amp;": "&amp;TEXT(Valuation!G161,"0.0x")&amp;" - "&amp;TEXT(Valuation!I161,"0.0x")</f>
        <v>NTM P/E: 17.8x - 19.8x</v>
      </c>
      <c r="P11" s="16"/>
      <c r="Q11" s="16"/>
      <c r="R11" s="16"/>
      <c r="S11" s="16"/>
      <c r="T11" s="59">
        <f ca="1">Valuation!G163</f>
        <v>234.48845213961636</v>
      </c>
      <c r="U11" s="143">
        <f ca="1">V11-T11</f>
        <v>84.3853571115572</v>
      </c>
      <c r="V11" s="59">
        <f ca="1">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 ca="1">Valuation!F260&amp;": "&amp;TEXT(Valuation!G261,"0.0x")&amp;" - "&amp;TEXT(Valuation!I261,"0.0x")</f>
        <v>2009-2018 Early Cycle EV/EBITDA Spread to Comps: 11.7x - 13.7x</v>
      </c>
      <c r="P13" s="16"/>
      <c r="Q13" s="16"/>
      <c r="R13" s="16"/>
      <c r="S13" s="16"/>
      <c r="T13" s="59">
        <f ca="1">Valuation!G263</f>
        <v>202.21364140726214</v>
      </c>
      <c r="U13" s="143">
        <f t="shared" ref="U13:U16" si="2" ca="1">V13-T13</f>
        <v>39.30033149926629</v>
      </c>
      <c r="V13" s="59">
        <f ca="1">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 ca="1">Valuation!F252&amp;": "&amp;TEXT(Valuation!G253,"0.0x")&amp;" - "&amp;TEXT(Valuation!I253,"0.0x")</f>
        <v>2009-2018 Early Cycle EV/EBITDA: 6.4x - 8.4x</v>
      </c>
      <c r="P14" s="16"/>
      <c r="Q14" s="16"/>
      <c r="R14" s="16"/>
      <c r="S14" s="16"/>
      <c r="T14" s="59">
        <f ca="1">Valuation!G255</f>
        <v>99.10310229774737</v>
      </c>
      <c r="U14" s="143">
        <f ca="1">V14-T14</f>
        <v>39.30033149926635</v>
      </c>
      <c r="V14" s="59">
        <f ca="1">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 ca="1">Valuation!F244&amp;": "&amp;TEXT(Valuation!G245,"0.0x")&amp;" - "&amp;TEXT(Valuation!I245,"0.0x")</f>
        <v>2009-2018 Early Cycle P/E Spread to Comps: 20.2x - 22.2x</v>
      </c>
      <c r="P15" s="16"/>
      <c r="Q15" s="16"/>
      <c r="R15" s="16"/>
      <c r="S15" s="16"/>
      <c r="T15" s="59">
        <f ca="1">Valuation!G247</f>
        <v>267.04260782546874</v>
      </c>
      <c r="U15" s="143">
        <f ca="1">V15-T15</f>
        <v>26.408300884071082</v>
      </c>
      <c r="V15" s="59">
        <f ca="1">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 ca="1">Valuation!F236&amp;": "&amp;TEXT(Valuation!G237,"0.0x")&amp;" - "&amp;TEXT(Valuation!I237,"0.0x")</f>
        <v>2009-2018 Early Cycle P/E: 15.5x - 17.5x</v>
      </c>
      <c r="P16" s="16"/>
      <c r="Q16" s="16"/>
      <c r="R16" s="16"/>
      <c r="S16" s="16"/>
      <c r="T16" s="59">
        <f ca="1">Valuation!G239</f>
        <v>205.30918954876387</v>
      </c>
      <c r="U16" s="143">
        <f ca="1">V16-T16</f>
        <v>26.40830088407111</v>
      </c>
      <c r="V16" s="59">
        <f ca="1">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 ca="1">Share_Price_Low</f>
        <v>146.72</v>
      </c>
      <c r="U18" s="234">
        <f ca="1">V18-T18</f>
        <v>68.5</v>
      </c>
      <c r="V18" s="235">
        <f ca="1">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 ca="1">MEDIAN(T5:T18)</f>
        <v>205.30918954876387</v>
      </c>
      <c r="U19" s="237">
        <f ca="1">MEDIAN(U5:U18)</f>
        <v>39.30033149926635</v>
      </c>
      <c r="V19" s="238">
        <f ca="1">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 ca="1">T19/Share_Price-1</f>
        <v>-0.11952487542343315</v>
      </c>
      <c r="U20" s="121"/>
      <c r="V20" s="121">
        <f ca="1">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 ca="1">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 ca="1">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 ca="1">SUM(Model!F158:AG158)</f>
        <v>-329924</v>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 ca="1">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 ca="1">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 ca="1">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 ca="1">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 ca="1">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 ca="1">'Revenue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 ca="1">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 ca="1">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 ca="1">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 ca="1">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 ca="1">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 ca="1">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 ca="1">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 ca="1">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 ca="1">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 ca="1">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 ca="1">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 ca="1">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 ca="1">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 ca="1">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 ca="1">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 ca="1">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 ca="1">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 ca="1">Model!F$25</f>
        <v>1Q23</v>
      </c>
      <c r="G28" s="201" t="str">
        <f ca="1">Model!G$25</f>
        <v>2Q23</v>
      </c>
      <c r="H28" s="201" t="str">
        <f ca="1">Model!H$25</f>
        <v>3Q23</v>
      </c>
      <c r="I28" s="201" t="str">
        <f ca="1">Model!I$25</f>
        <v>4Q23</v>
      </c>
      <c r="J28" s="201">
        <f ca="1">Model!J$25</f>
        <v>2023</v>
      </c>
      <c r="K28" s="201" t="str">
        <f ca="1">Model!K$25</f>
        <v>1Q24</v>
      </c>
      <c r="L28" s="201" t="str">
        <f ca="1">Model!L$25</f>
        <v>2Q24</v>
      </c>
      <c r="M28" s="201" t="str">
        <f ca="1">Model!M$25</f>
        <v>3Q24</v>
      </c>
      <c r="N28" s="201" t="str">
        <f ca="1">Model!N$25</f>
        <v>4Q24</v>
      </c>
      <c r="O28" s="201">
        <f ca="1">Model!O$25</f>
        <v>2024</v>
      </c>
      <c r="P28" s="201" t="str">
        <f ca="1">Model!P$25</f>
        <v>1Q25</v>
      </c>
      <c r="Q28" s="201" t="str">
        <f ca="1">Model!Q$25</f>
        <v>2Q25</v>
      </c>
      <c r="R28" s="201" t="str">
        <f ca="1">Model!R$25</f>
        <v>3Q25</v>
      </c>
      <c r="S28" s="201" t="str">
        <f ca="1">Model!S$25</f>
        <v>4Q25</v>
      </c>
      <c r="T28" s="201">
        <f ca="1">Model!T$25</f>
        <v>2025</v>
      </c>
      <c r="U28" s="201" t="str">
        <f ca="1">Model!U$25</f>
        <v>1Q26</v>
      </c>
      <c r="V28" s="201" t="str">
        <f ca="1">Model!V$25</f>
        <v>2Q26</v>
      </c>
      <c r="W28" s="201" t="str">
        <f ca="1">Model!W$25</f>
        <v>3Q26e</v>
      </c>
      <c r="X28" s="201" t="str">
        <f ca="1">Model!X$25</f>
        <v>4Q26e</v>
      </c>
      <c r="Y28" s="201" t="str">
        <f ca="1">Model!Y$25</f>
        <v>2026e</v>
      </c>
      <c r="Z28" s="201" t="str">
        <f ca="1">Model!Z$25</f>
        <v>1Q27e</v>
      </c>
      <c r="AA28" s="201" t="str">
        <f ca="1">Model!AA$25</f>
        <v>2Q27e</v>
      </c>
      <c r="AB28" s="201" t="str">
        <f ca="1">Model!AB$25</f>
        <v>3Q27e</v>
      </c>
      <c r="AC28" s="201" t="str">
        <f ca="1">Model!AC$25</f>
        <v>4Q27e</v>
      </c>
      <c r="AD28" s="201" t="str">
        <f ca="1">Model!AD$25</f>
        <v>2027e</v>
      </c>
      <c r="AE28" s="201" t="str">
        <f ca="1">Model!AE$25</f>
        <v>2028e</v>
      </c>
      <c r="AF28" s="201" t="str">
        <f ca="1">Model!AF$25</f>
        <v>2029e</v>
      </c>
      <c r="AG28" s="202" t="str">
        <f ca="1">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 ca="1">'Segment Analysis'!F7</f>
        <v>17360</v>
      </c>
      <c r="G30" s="284">
        <f ca="1">'Segment Analysis'!G7</f>
        <v>20888</v>
      </c>
      <c r="H30" s="284">
        <f ca="1">'Segment Analysis'!H7</f>
        <v>17415</v>
      </c>
      <c r="I30" s="284">
        <f ca="1">'Segment Analysis'!I7</f>
        <v>15646</v>
      </c>
      <c r="J30" s="285">
        <f ca="1">'Segment Analysis'!J7</f>
        <v>71309</v>
      </c>
      <c r="K30" s="284">
        <f ca="1">'Segment Analysis'!K7</f>
        <v>17741</v>
      </c>
      <c r="L30" s="284">
        <f ca="1">'Segment Analysis'!L7</f>
        <v>20992</v>
      </c>
      <c r="M30" s="284">
        <f ca="1">'Segment Analysis'!M7</f>
        <v>17388</v>
      </c>
      <c r="N30" s="284">
        <f ca="1">'Segment Analysis'!N7</f>
        <v>16027</v>
      </c>
      <c r="O30" s="285">
        <f ca="1">'Segment Analysis'!O7</f>
        <v>72148</v>
      </c>
      <c r="P30" s="284">
        <f ca="1">'Segment Analysis'!P7</f>
        <v>19675</v>
      </c>
      <c r="Q30" s="284">
        <f ca="1">'Segment Analysis'!Q7</f>
        <v>27302</v>
      </c>
      <c r="R30" s="284">
        <f ca="1">'Segment Analysis'!R7</f>
        <v>22309</v>
      </c>
      <c r="S30" s="284">
        <f ca="1">'Segment Analysis'!S7</f>
        <v>20311</v>
      </c>
      <c r="T30" s="285">
        <f ca="1">'Segment Analysis'!T7</f>
        <v>89597</v>
      </c>
      <c r="U30" s="284">
        <f ca="1">'Segment Analysis'!U7</f>
        <v>24422</v>
      </c>
      <c r="V30" s="284">
        <f ca="1">'Segment Analysis'!V7</f>
        <v>27570</v>
      </c>
      <c r="W30" s="284">
        <f ca="1">'Segment Analysis'!W7</f>
        <v>22918</v>
      </c>
      <c r="X30" s="286">
        <f ca="1">SUM(X32,X35,X38,X41,X44,X47,)</f>
        <v>21772.1</v>
      </c>
      <c r="Y30" s="287">
        <f ca="1">SUM(U30:X30)</f>
        <v>96682.1</v>
      </c>
      <c r="Z30" s="286">
        <f t="shared" ref="Z30:AC30" si="0" ca="1">SUM(Z32,Z35,Z38,Z41,Z44,Z47,)</f>
        <v>25691.077999999998</v>
      </c>
      <c r="AA30" s="286">
        <f ca="1">SUM(AA32,AA35,AA38,AA41,AA44,AA47,)</f>
        <v>29287.82892</v>
      </c>
      <c r="AB30" s="286">
        <f ca="1">SUM(AB32,AB35,AB38,AB41,AB44,AB47,)</f>
        <v>25773.2894496</v>
      </c>
      <c r="AC30" s="286">
        <f ca="1">SUM(AC32,AC35,AC38,AC41,AC44,AC47,)</f>
        <v>24484.62497712</v>
      </c>
      <c r="AD30" s="287">
        <f ca="1">SUM(Z30:AC30)</f>
        <v>105236.82134671998</v>
      </c>
      <c r="AE30" s="287">
        <f t="shared" ref="AE30:AG30" si="1" ca="1">SUM(AE32,AE35,AE38,AE41,AE44,AE47,)</f>
        <v>107341.55777365438</v>
      </c>
      <c r="AF30" s="287">
        <f ca="1">SUM(AF32,AF35,AF38,AF41,AF44,AF47,)</f>
        <v>109488.38892912747</v>
      </c>
      <c r="AG30" s="287">
        <f ca="1">SUM(AG32,AG35,AG38,AG41,AG44,AG47,)</f>
        <v>111678.15670771002</v>
      </c>
      <c r="AH30" s="16"/>
      <c r="AI30" s="288">
        <f ca="1">IFERROR((T30/J30)^(1/3)-1,"--")</f>
        <v>0.07907022065064795</v>
      </c>
      <c r="AJ30" s="289">
        <f ca="1">IFERROR((AG30/T30)^(1/5)-1,"--")</f>
        <v>0.04504490866789568</v>
      </c>
    </row>
    <row r="31" ht="12.75" customHeight="1" spans="1:36" x14ac:dyDescent="0.25">
      <c r="A31" s="290"/>
      <c r="B31" s="291"/>
      <c r="C31" s="292" t="str">
        <f ca="1">IF($C$25="Quarterly","% Growth QoQ","% Growth YoY")</f>
        <v>% Growth QoQ</v>
      </c>
      <c r="D31" s="291"/>
      <c r="E31" s="291"/>
      <c r="F31" s="293"/>
      <c r="G31" s="294">
        <f ca="1">IF($C$25="Annual",'Segment Analysis'!G172,'Segment Analysis'!G192)</f>
        <v>0.2032258064516128</v>
      </c>
      <c r="H31" s="294">
        <f ca="1">IF($C$25="Annual",'Segment Analysis'!H172,'Segment Analysis'!H192)</f>
        <v>-0.16626771351972425</v>
      </c>
      <c r="I31" s="294">
        <f ca="1">IF($C$25="Annual",'Segment Analysis'!I172,'Segment Analysis'!I192)</f>
        <v>-0.10157909847832325</v>
      </c>
      <c r="J31" s="295"/>
      <c r="K31" s="294">
        <f ca="1">IF($C$25="Annual",'Segment Analysis'!K172,'Segment Analysis'!K192)</f>
        <v>0.13390003834845965</v>
      </c>
      <c r="L31" s="294">
        <f ca="1">IF($C$25="Annual",'Segment Analysis'!L172,'Segment Analysis'!L192)</f>
        <v>0.18324784397722782</v>
      </c>
      <c r="M31" s="294">
        <f ca="1">IF($C$25="Annual",'Segment Analysis'!M172,'Segment Analysis'!M192)</f>
        <v>-0.17168445121951215</v>
      </c>
      <c r="N31" s="294">
        <f ca="1">IF($C$25="Annual",'Segment Analysis'!N172,'Segment Analysis'!N192)</f>
        <v>-0.07827237175063262</v>
      </c>
      <c r="O31" s="295">
        <f ca="1">IF($C$25="Annual",'Segment Analysis'!O172,'Segment Analysis'!O192)</f>
        <v>1e-12</v>
      </c>
      <c r="P31" s="294">
        <f ca="1">IF($C$25="Annual",'Segment Analysis'!P172,'Segment Analysis'!P192)</f>
        <v>0.22761589817183503</v>
      </c>
      <c r="Q31" s="294">
        <f ca="1">IF($C$25="Annual",'Segment Analysis'!Q172,'Segment Analysis'!Q192)</f>
        <v>0.3876493011435833</v>
      </c>
      <c r="R31" s="294">
        <f ca="1">IF($C$25="Annual",'Segment Analysis'!R172,'Segment Analysis'!R192)</f>
        <v>-0.18288037506409782</v>
      </c>
      <c r="S31" s="294">
        <f ca="1">IF($C$25="Annual",'Segment Analysis'!S172,'Segment Analysis'!S192)</f>
        <v>-0.08956026715675292</v>
      </c>
      <c r="T31" s="295">
        <f ca="1">IF($C$25="Annual",'Segment Analysis'!T172,'Segment Analysis'!T192)</f>
        <v>1e-12</v>
      </c>
      <c r="U31" s="294">
        <f ca="1">IF($C$25="Annual",'Segment Analysis'!U172,'Segment Analysis'!U192)</f>
        <v>0.20240263896410804</v>
      </c>
      <c r="V31" s="294">
        <f ca="1">IF($C$25="Annual",'Segment Analysis'!V172,'Segment Analysis'!V192)</f>
        <v>0.12890017197608716</v>
      </c>
      <c r="W31" s="294">
        <f ca="1">IF($C$25="Annual",'Segment Analysis'!W172,'Segment Analysis'!W192)</f>
        <v>-0.16873413130214</v>
      </c>
      <c r="X31" s="296">
        <f ca="1">IFERROR(X30/W30-1,"--")</f>
        <v>-0.050000000000000044</v>
      </c>
      <c r="Y31" s="297">
        <f ca="1">IFERROR(Y30/T30-1,"--")</f>
        <v>0.07907742446733712</v>
      </c>
      <c r="Z31" s="296">
        <f ca="1">IFERROR(Z30/X30-1,"--")</f>
        <v>0.17999999999999994</v>
      </c>
      <c r="AA31" s="296">
        <f t="shared" ref="AA31:AC31" si="2" ca="1">IFERROR(AA30/Z30-1,"--")</f>
        <v>0.14000000000000012</v>
      </c>
      <c r="AB31" s="296">
        <f ca="1">IFERROR(AB30/AA30-1,"--")</f>
        <v>-0.12</v>
      </c>
      <c r="AC31" s="296">
        <f ca="1">IFERROR(AC30/AB30-1,"--")</f>
        <v>-0.050000000000000044</v>
      </c>
      <c r="AD31" s="297">
        <f ca="1">IFERROR(AD30/Y30-1,"--")</f>
        <v>0.08848299061273979</v>
      </c>
      <c r="AE31" s="297">
        <f t="shared" ref="AE31:AG31" si="3" ca="1">IFERROR(AE30/AD30-1,"--")</f>
        <v>0.020000000000000018</v>
      </c>
      <c r="AF31" s="297">
        <f ca="1">IFERROR(AF30/AE30-1,"--")</f>
        <v>0.020000000000000018</v>
      </c>
      <c r="AG31" s="297">
        <f ca="1">IFERROR(AG30/AF30-1,"--")</f>
        <v>0.020000000000000018</v>
      </c>
      <c r="AH31" s="291"/>
      <c r="AI31" s="298"/>
      <c r="AJ31" s="299"/>
    </row>
    <row r="32" ht="12.75" customHeight="1" spans="1:36" x14ac:dyDescent="0.25">
      <c r="A32" s="16"/>
      <c r="B32" s="16"/>
      <c r="C32" s="16" t="str">
        <f ca="1">'Segment Analysis'!C8</f>
        <v>Home Improvement Retail Revenue</v>
      </c>
      <c r="D32" s="16"/>
      <c r="E32" s="16"/>
      <c r="F32" s="284">
        <f ca="1">'Segment Analysis'!F8</f>
        <v>17360</v>
      </c>
      <c r="G32" s="284">
        <f ca="1">'Segment Analysis'!G8</f>
        <v>20888</v>
      </c>
      <c r="H32" s="284">
        <f ca="1">'Segment Analysis'!H8</f>
        <v>17415</v>
      </c>
      <c r="I32" s="284">
        <f ca="1">'Segment Analysis'!I8</f>
        <v>15646</v>
      </c>
      <c r="J32" s="285">
        <f ca="1">'Segment Analysis'!J8</f>
        <v>71309</v>
      </c>
      <c r="K32" s="284">
        <f ca="1">'Segment Analysis'!K8</f>
        <v>17741</v>
      </c>
      <c r="L32" s="284">
        <f ca="1">'Segment Analysis'!L8</f>
        <v>20992</v>
      </c>
      <c r="M32" s="284">
        <f ca="1">'Segment Analysis'!M8</f>
        <v>17388</v>
      </c>
      <c r="N32" s="284">
        <f ca="1">'Segment Analysis'!N8</f>
        <v>16027</v>
      </c>
      <c r="O32" s="285">
        <f ca="1">'Segment Analysis'!O8</f>
        <v>72148</v>
      </c>
      <c r="P32" s="284">
        <f ca="1">'Segment Analysis'!P8</f>
        <v>19675</v>
      </c>
      <c r="Q32" s="284">
        <f ca="1">'Segment Analysis'!Q8</f>
        <v>27302</v>
      </c>
      <c r="R32" s="284">
        <f ca="1">'Segment Analysis'!R8</f>
        <v>22309</v>
      </c>
      <c r="S32" s="284">
        <f ca="1">'Segment Analysis'!S8</f>
        <v>20311</v>
      </c>
      <c r="T32" s="285">
        <f ca="1">'Segment Analysis'!T8</f>
        <v>89597</v>
      </c>
      <c r="U32" s="284">
        <f ca="1">'Segment Analysis'!U8</f>
        <v>24422</v>
      </c>
      <c r="V32" s="284">
        <f ca="1">'Segment Analysis'!V8</f>
        <v>27570</v>
      </c>
      <c r="W32" s="284">
        <f ca="1">'Segment Analysis'!W8</f>
        <v>22918</v>
      </c>
      <c r="X32" s="286">
        <f ca="1">IF(Segment1_Rev_Methodology="Segment",X53,IF(Segment1_Rev_Methodology="Activity-Based",X91,IF(Segment1_Rev_Methodology="Backlog",X165,"--")))</f>
        <v>21772.1</v>
      </c>
      <c r="Y32" s="287">
        <f ca="1">SUM(U32:X32)</f>
        <v>96682.1</v>
      </c>
      <c r="Z32" s="286">
        <f ca="1">IF(Segment1_Rev_Methodology="Segment",Z53,IF(Segment1_Rev_Methodology="Activity-Based",Z91,IF(Segment1_Rev_Methodology="Backlog",Z165,"--")))</f>
        <v>25691.077999999998</v>
      </c>
      <c r="AA32" s="286">
        <f ca="1">IF(Segment1_Rev_Methodology="Segment",AA53,IF(Segment1_Rev_Methodology="Activity-Based",AA91,IF(Segment1_Rev_Methodology="Backlog",AA165,"--")))</f>
        <v>29287.82892</v>
      </c>
      <c r="AB32" s="286">
        <f ca="1">IF(Segment1_Rev_Methodology="Segment",AB53,IF(Segment1_Rev_Methodology="Activity-Based",AB91,IF(Segment1_Rev_Methodology="Backlog",AB165,"--")))</f>
        <v>25773.2894496</v>
      </c>
      <c r="AC32" s="286">
        <f ca="1">IF(Segment1_Rev_Methodology="Segment",AC53,IF(Segment1_Rev_Methodology="Activity-Based",AC91,IF(Segment1_Rev_Methodology="Backlog",AC165,"--")))</f>
        <v>24484.62497712</v>
      </c>
      <c r="AD32" s="287">
        <f ca="1">SUM(Z32:AC32)</f>
        <v>105236.82134671998</v>
      </c>
      <c r="AE32" s="287">
        <f ca="1">IF(Segment1_Rev_Methodology="Segment",AE53,IF(Segment1_Rev_Methodology="Activity-Based",AE91,IF(Segment1_Rev_Methodology="Backlog",AE165,"--")))</f>
        <v>107341.55777365438</v>
      </c>
      <c r="AF32" s="287">
        <f ca="1">IF(Segment1_Rev_Methodology="Segment",AF53,IF(Segment1_Rev_Methodology="Activity-Based",AF91,IF(Segment1_Rev_Methodology="Backlog",AF165,"--")))</f>
        <v>109488.38892912747</v>
      </c>
      <c r="AG32" s="287">
        <f ca="1">IF(Segment1_Rev_Methodology="Segment",AG53,IF(Segment1_Rev_Methodology="Activity-Based",AG91,IF(Segment1_Rev_Methodology="Backlog",AG165,"--")))</f>
        <v>111678.15670771002</v>
      </c>
      <c r="AH32" s="16"/>
      <c r="AI32" s="288">
        <f ca="1">IFERROR((T32/J32)^(1/3)-1,"--")</f>
        <v>0.07907022065064795</v>
      </c>
      <c r="AJ32" s="289">
        <f ca="1">IFERROR((AG32/T32)^(1/5)-1,"--")</f>
        <v>0.04504490866789568</v>
      </c>
    </row>
    <row r="33" ht="12.75" customHeight="1" spans="1:36" x14ac:dyDescent="0.25">
      <c r="A33" s="290"/>
      <c r="B33" s="291"/>
      <c r="C33" s="292" t="str">
        <f ca="1">IF($C$25="Quarterly","% Growth QoQ","% Growth YoY")</f>
        <v>% Growth QoQ</v>
      </c>
      <c r="D33" s="291"/>
      <c r="E33" s="291"/>
      <c r="F33" s="293"/>
      <c r="G33" s="294">
        <f ca="1">IF($C$25="Annual",'Segment Analysis'!G173,'Segment Analysis'!G193)</f>
        <v>0.2032258064516128</v>
      </c>
      <c r="H33" s="294">
        <f ca="1">IF($C$25="Annual",'Segment Analysis'!H173,'Segment Analysis'!H193)</f>
        <v>-0.16626771351972425</v>
      </c>
      <c r="I33" s="294">
        <f ca="1">IF($C$25="Annual",'Segment Analysis'!I173,'Segment Analysis'!I193)</f>
        <v>-0.10157909847832325</v>
      </c>
      <c r="J33" s="295"/>
      <c r="K33" s="294">
        <f ca="1">IF($C$25="Annual",'Segment Analysis'!K173,'Segment Analysis'!K193)</f>
        <v>0.13390003834845965</v>
      </c>
      <c r="L33" s="294">
        <f ca="1">IF($C$25="Annual",'Segment Analysis'!L173,'Segment Analysis'!L193)</f>
        <v>0.18324784397722782</v>
      </c>
      <c r="M33" s="294">
        <f ca="1">IF($C$25="Annual",'Segment Analysis'!M173,'Segment Analysis'!M193)</f>
        <v>-0.17168445121951215</v>
      </c>
      <c r="N33" s="294">
        <f ca="1">IF($C$25="Annual",'Segment Analysis'!N173,'Segment Analysis'!N193)</f>
        <v>-0.07827237175063262</v>
      </c>
      <c r="O33" s="295">
        <f ca="1">IF($C$25="Annual",'Segment Analysis'!O173,'Segment Analysis'!O193)</f>
        <v>1e-12</v>
      </c>
      <c r="P33" s="294">
        <f ca="1">IF($C$25="Annual",'Segment Analysis'!P173,'Segment Analysis'!P193)</f>
        <v>0.22761589817183503</v>
      </c>
      <c r="Q33" s="294">
        <f ca="1">IF($C$25="Annual",'Segment Analysis'!Q173,'Segment Analysis'!Q193)</f>
        <v>0.3876493011435833</v>
      </c>
      <c r="R33" s="294">
        <f ca="1">IF($C$25="Annual",'Segment Analysis'!R173,'Segment Analysis'!R193)</f>
        <v>-0.18288037506409782</v>
      </c>
      <c r="S33" s="294">
        <f ca="1">IF($C$25="Annual",'Segment Analysis'!S173,'Segment Analysis'!S193)</f>
        <v>-0.08956026715675292</v>
      </c>
      <c r="T33" s="295">
        <f ca="1">IF($C$25="Annual",'Segment Analysis'!T173,'Segment Analysis'!T193)</f>
        <v>1e-12</v>
      </c>
      <c r="U33" s="294">
        <f ca="1">IF($C$25="Annual",'Segment Analysis'!U173,'Segment Analysis'!U193)</f>
        <v>0.20240263896410804</v>
      </c>
      <c r="V33" s="294">
        <f ca="1">IF($C$25="Annual",'Segment Analysis'!V173,'Segment Analysis'!V193)</f>
        <v>0.12890017197608716</v>
      </c>
      <c r="W33" s="294">
        <f ca="1">IF($C$25="Annual",'Segment Analysis'!W173,'Segment Analysis'!W193)</f>
        <v>-0.16873413130214</v>
      </c>
      <c r="X33" s="296">
        <f ca="1">IFERROR(X32/W32-1,"--")</f>
        <v>-0.050000000000000044</v>
      </c>
      <c r="Y33" s="297">
        <f ca="1">IFERROR(Y32/T32-1,"--")</f>
        <v>0.07907742446733712</v>
      </c>
      <c r="Z33" s="296">
        <f ca="1">IFERROR(Z32/X32-1,"--")</f>
        <v>0.17999999999999994</v>
      </c>
      <c r="AA33" s="296">
        <f t="shared" ref="AA33:AC33" si="4" ca="1">IFERROR(AA32/Z32-1,"--")</f>
        <v>0.14000000000000012</v>
      </c>
      <c r="AB33" s="296">
        <f ca="1">IFERROR(AB32/AA32-1,"--")</f>
        <v>-0.12</v>
      </c>
      <c r="AC33" s="296">
        <f ca="1">IFERROR(AC32/AB32-1,"--")</f>
        <v>-0.050000000000000044</v>
      </c>
      <c r="AD33" s="297">
        <f ca="1">IFERROR(AD32/Y32-1,"--")</f>
        <v>0.08848299061273979</v>
      </c>
      <c r="AE33" s="297">
        <f t="shared" ref="AE33:AG33" si="5" ca="1">IFERROR(AE32/AD32-1,"--")</f>
        <v>0.020000000000000018</v>
      </c>
      <c r="AF33" s="297">
        <f ca="1">IFERROR(AF32/AE32-1,"--")</f>
        <v>0.020000000000000018</v>
      </c>
      <c r="AG33" s="297">
        <f ca="1">IFERROR(AG32/AF32-1,"--")</f>
        <v>0.020000000000000018</v>
      </c>
      <c r="AH33" s="291"/>
      <c r="AI33" s="298"/>
      <c r="AJ33" s="299"/>
    </row>
    <row r="34" ht="12.75" customHeight="1" spans="1:36" x14ac:dyDescent="0.25">
      <c r="A34" s="290"/>
      <c r="B34" s="291"/>
      <c r="C34" s="120" t="s">
        <v>248</v>
      </c>
      <c r="D34" s="291"/>
      <c r="E34" s="291"/>
      <c r="F34" s="294">
        <f ca="1">'Segment Analysis'!F16</f>
        <v>1</v>
      </c>
      <c r="G34" s="294">
        <f ca="1">'Segment Analysis'!G16</f>
        <v>1</v>
      </c>
      <c r="H34" s="294">
        <f ca="1">'Segment Analysis'!H16</f>
        <v>1</v>
      </c>
      <c r="I34" s="294">
        <f ca="1">'Segment Analysis'!I16</f>
        <v>1</v>
      </c>
      <c r="J34" s="295">
        <f ca="1">'Segment Analysis'!J16</f>
        <v>1</v>
      </c>
      <c r="K34" s="294">
        <f ca="1">'Segment Analysis'!K16</f>
        <v>1</v>
      </c>
      <c r="L34" s="294">
        <f ca="1">'Segment Analysis'!L16</f>
        <v>1</v>
      </c>
      <c r="M34" s="294">
        <f ca="1">'Segment Analysis'!M16</f>
        <v>1</v>
      </c>
      <c r="N34" s="294">
        <f ca="1">'Segment Analysis'!N16</f>
        <v>1</v>
      </c>
      <c r="O34" s="295">
        <f ca="1">'Segment Analysis'!O16</f>
        <v>1</v>
      </c>
      <c r="P34" s="294">
        <f ca="1">'Segment Analysis'!P16</f>
        <v>1</v>
      </c>
      <c r="Q34" s="294">
        <f ca="1">'Segment Analysis'!Q16</f>
        <v>1</v>
      </c>
      <c r="R34" s="294">
        <f ca="1">'Segment Analysis'!R16</f>
        <v>1</v>
      </c>
      <c r="S34" s="294">
        <f ca="1">'Segment Analysis'!S16</f>
        <v>1</v>
      </c>
      <c r="T34" s="295">
        <f ca="1">'Segment Analysis'!T16</f>
        <v>1</v>
      </c>
      <c r="U34" s="294">
        <f ca="1">'Segment Analysis'!U16</f>
        <v>1</v>
      </c>
      <c r="V34" s="294">
        <f ca="1">'Segment Analysis'!V16</f>
        <v>1</v>
      </c>
      <c r="W34" s="294">
        <f ca="1">'Segment Analysis'!W16</f>
        <v>1</v>
      </c>
      <c r="X34" s="296">
        <f t="shared" ref="X34:AG34" si="6" ca="1">X32/X$30</f>
        <v>1</v>
      </c>
      <c r="Y34" s="297">
        <f ca="1">Y32/Y$30</f>
        <v>1</v>
      </c>
      <c r="Z34" s="296">
        <f ca="1">Z32/Z$30</f>
        <v>1</v>
      </c>
      <c r="AA34" s="296">
        <f ca="1">AA32/AA$30</f>
        <v>1</v>
      </c>
      <c r="AB34" s="296">
        <f ca="1">AB32/AB$30</f>
        <v>1</v>
      </c>
      <c r="AC34" s="296">
        <f ca="1">AC32/AC$30</f>
        <v>1</v>
      </c>
      <c r="AD34" s="297">
        <f ca="1">AD32/AD$30</f>
        <v>1</v>
      </c>
      <c r="AE34" s="297">
        <f ca="1">AE32/AE$30</f>
        <v>1</v>
      </c>
      <c r="AF34" s="297">
        <f ca="1">AF32/AF$30</f>
        <v>1</v>
      </c>
      <c r="AG34" s="297">
        <f ca="1">AG32/AG$30</f>
        <v>1</v>
      </c>
      <c r="AH34" s="291"/>
      <c r="AI34" s="300"/>
      <c r="AJ34" s="301"/>
    </row>
    <row r="35" ht="12.75" customHeight="1" spans="1:36" x14ac:dyDescent="0.25" outlineLevel="1" collapsed="1">
      <c r="A35" s="16"/>
      <c r="B35" s="16"/>
      <c r="C35" s="16" t="str">
        <f ca="1">'Segment Analysis'!C9</f>
        <v>Segment 2 Revenue</v>
      </c>
      <c r="D35" s="16"/>
      <c r="E35" s="16"/>
      <c r="F35" s="284">
        <f ca="1">'Segment Analysis'!F9</f>
        <v>1e-12</v>
      </c>
      <c r="G35" s="284">
        <f ca="1">'Segment Analysis'!G9</f>
        <v>1e-12</v>
      </c>
      <c r="H35" s="284">
        <f ca="1">'Segment Analysis'!H9</f>
        <v>1e-12</v>
      </c>
      <c r="I35" s="284">
        <f ca="1">'Segment Analysis'!I9</f>
        <v>1e-12</v>
      </c>
      <c r="J35" s="285">
        <f ca="1">'Segment Analysis'!J9</f>
        <v>1e-12</v>
      </c>
      <c r="K35" s="284">
        <f ca="1">'Segment Analysis'!K9</f>
        <v>1e-12</v>
      </c>
      <c r="L35" s="284">
        <f ca="1">'Segment Analysis'!L9</f>
        <v>1e-12</v>
      </c>
      <c r="M35" s="284">
        <f ca="1">'Segment Analysis'!M9</f>
        <v>1e-12</v>
      </c>
      <c r="N35" s="284">
        <f ca="1">'Segment Analysis'!N9</f>
        <v>1e-12</v>
      </c>
      <c r="O35" s="285">
        <f ca="1">'Segment Analysis'!O9</f>
        <v>1e-12</v>
      </c>
      <c r="P35" s="284">
        <f ca="1">'Segment Analysis'!P9</f>
        <v>1e-12</v>
      </c>
      <c r="Q35" s="284">
        <f ca="1">'Segment Analysis'!Q9</f>
        <v>1e-12</v>
      </c>
      <c r="R35" s="284">
        <f ca="1">'Segment Analysis'!R9</f>
        <v>1e-12</v>
      </c>
      <c r="S35" s="284">
        <f ca="1">'Segment Analysis'!S9</f>
        <v>1e-12</v>
      </c>
      <c r="T35" s="285">
        <f ca="1">'Segment Analysis'!T9</f>
        <v>1e-12</v>
      </c>
      <c r="U35" s="284">
        <f ca="1">'Segment Analysis'!U9</f>
        <v>1e-12</v>
      </c>
      <c r="V35" s="284">
        <f ca="1">'Segment Analysis'!V9</f>
        <v>1e-12</v>
      </c>
      <c r="W35" s="284">
        <f ca="1">'Segment Analysis'!W9</f>
        <v>1e-12</v>
      </c>
      <c r="X35" s="286">
        <f ca="1">IF(Segment2_Rev_Methodology="Segment",X59,IF(Segment2_Rev_Methodology="Activity-Based",X103,IF(Segment2_Rev_Methodology="Backlog",X177,"--")))</f>
        <v>0</v>
      </c>
      <c r="Y35" s="287">
        <f ca="1">SUM(U35:X35)</f>
        <v>1e-12</v>
      </c>
      <c r="Z35" s="286">
        <f ca="1">IF(Segment2_Rev_Methodology="Segment",Z59,IF(Segment2_Rev_Methodology="Activity-Based",Z103,IF(Segment2_Rev_Methodology="Backlog",Z177,"--")))</f>
        <v>0</v>
      </c>
      <c r="AA35" s="286">
        <f ca="1">IF(Segment2_Rev_Methodology="Segment",AA59,IF(Segment2_Rev_Methodology="Activity-Based",AA103,IF(Segment2_Rev_Methodology="Backlog",AA177,"--")))</f>
        <v>0</v>
      </c>
      <c r="AB35" s="286">
        <f ca="1">IF(Segment2_Rev_Methodology="Segment",AB59,IF(Segment2_Rev_Methodology="Activity-Based",AB103,IF(Segment2_Rev_Methodology="Backlog",AB177,"--")))</f>
        <v>0</v>
      </c>
      <c r="AC35" s="286">
        <f ca="1">IF(Segment2_Rev_Methodology="Segment",AC59,IF(Segment2_Rev_Methodology="Activity-Based",AC103,IF(Segment2_Rev_Methodology="Backlog",AC177,"--")))</f>
        <v>0</v>
      </c>
      <c r="AD35" s="287">
        <f ca="1">SUM(Z35:AC35)</f>
        <v>1e-12</v>
      </c>
      <c r="AE35" s="287">
        <f ca="1">IF(Segment2_Rev_Methodology="Segment",AE59,IF(Segment2_Rev_Methodology="Activity-Based",AE103,IF(Segment2_Rev_Methodology="Backlog",AE177,"--")))</f>
        <v>0</v>
      </c>
      <c r="AF35" s="287">
        <f ca="1">IF(Segment2_Rev_Methodology="Segment",AF59,IF(Segment2_Rev_Methodology="Activity-Based",AF103,IF(Segment2_Rev_Methodology="Backlog",AF177,"--")))</f>
        <v>0</v>
      </c>
      <c r="AG35" s="287">
        <f ca="1">IF(Segment2_Rev_Methodology="Segment",AG59,IF(Segment2_Rev_Methodology="Activity-Based",AG103,IF(Segment2_Rev_Methodology="Backlog",AG177,"--")))</f>
        <v>0</v>
      </c>
      <c r="AH35" s="16"/>
      <c r="AI35" s="288" t="str">
        <f ca="1">IFERROR((T35/J35)^(1/3)-1,"--")</f>
        <v>--</v>
      </c>
      <c r="AJ35" s="289" t="str">
        <f ca="1">IFERROR((AG35/T35)^(1/5)-1,"--")</f>
        <v>--</v>
      </c>
    </row>
    <row r="36" ht="12.75" customHeight="1" spans="1:36" x14ac:dyDescent="0.25" outlineLevel="1" collapsed="1">
      <c r="A36" s="290"/>
      <c r="B36" s="291"/>
      <c r="C36" s="120" t="s">
        <v>249</v>
      </c>
      <c r="D36" s="291"/>
      <c r="E36" s="291"/>
      <c r="F36" s="293"/>
      <c r="G36" s="294" t="str">
        <f ca="1">IF($C$25="Annual",'Segment Analysis'!G174,'Segment Analysis'!G194)</f>
        <v>N/A</v>
      </c>
      <c r="H36" s="294" t="str">
        <f ca="1">IF($C$25="Annual",'Segment Analysis'!H174,'Segment Analysis'!H194)</f>
        <v>N/A</v>
      </c>
      <c r="I36" s="294" t="str">
        <f ca="1">IF($C$25="Annual",'Segment Analysis'!I174,'Segment Analysis'!I194)</f>
        <v>N/A</v>
      </c>
      <c r="J36" s="295"/>
      <c r="K36" s="294" t="str">
        <f ca="1">IF($C$25="Annual",'Segment Analysis'!K174,'Segment Analysis'!K194)</f>
        <v>N/A</v>
      </c>
      <c r="L36" s="294" t="str">
        <f ca="1">IF($C$25="Annual",'Segment Analysis'!L174,'Segment Analysis'!L194)</f>
        <v>N/A</v>
      </c>
      <c r="M36" s="294" t="str">
        <f ca="1">IF($C$25="Annual",'Segment Analysis'!M174,'Segment Analysis'!M194)</f>
        <v>N/A</v>
      </c>
      <c r="N36" s="294" t="str">
        <f ca="1">IF($C$25="Annual",'Segment Analysis'!N174,'Segment Analysis'!N194)</f>
        <v>N/A</v>
      </c>
      <c r="O36" s="295" t="str">
        <f ca="1">'Segment Analysis'!O174</f>
        <v>N/A</v>
      </c>
      <c r="P36" s="294" t="str">
        <f ca="1">IF($C$25="Annual",'Segment Analysis'!P174,'Segment Analysis'!P194)</f>
        <v>N/A</v>
      </c>
      <c r="Q36" s="294" t="str">
        <f ca="1">IF($C$25="Annual",'Segment Analysis'!Q174,'Segment Analysis'!Q194)</f>
        <v>N/A</v>
      </c>
      <c r="R36" s="294" t="str">
        <f ca="1">IF($C$25="Annual",'Segment Analysis'!R174,'Segment Analysis'!R194)</f>
        <v>N/A</v>
      </c>
      <c r="S36" s="294" t="str">
        <f ca="1">IF($C$25="Annual",'Segment Analysis'!S174,'Segment Analysis'!S194)</f>
        <v>N/A</v>
      </c>
      <c r="T36" s="295" t="str">
        <f ca="1">'Segment Analysis'!T174</f>
        <v>N/A</v>
      </c>
      <c r="U36" s="294" t="str">
        <f ca="1">IF($C$25="Annual",'Segment Analysis'!U174,'Segment Analysis'!U194)</f>
        <v>N/A</v>
      </c>
      <c r="V36" s="294" t="str">
        <f ca="1">IF($C$25="Annual",'Segment Analysis'!V174,'Segment Analysis'!V194)</f>
        <v>N/A</v>
      </c>
      <c r="W36" s="294" t="str">
        <f ca="1">IF($C$25="Annual",'Segment Analysis'!W174,'Segment Analysis'!W194)</f>
        <v>N/A</v>
      </c>
      <c r="X36" s="296" t="str">
        <f ca="1">IFERROR(X35/W35-1,"--")</f>
        <v>--</v>
      </c>
      <c r="Y36" s="297" t="str">
        <f ca="1">IFERROR(Y35/T35-1,"--")</f>
        <v>--</v>
      </c>
      <c r="Z36" s="296" t="str">
        <f ca="1">IFERROR(Z35/X35-1,"--")</f>
        <v>--</v>
      </c>
      <c r="AA36" s="296" t="str">
        <f t="shared" ref="AA36:AC36" si="7" ca="1">IFERROR(AA35/Z35-1,"--")</f>
        <v>--</v>
      </c>
      <c r="AB36" s="296" t="str">
        <f ca="1">IFERROR(AB35/AA35-1,"--")</f>
        <v>--</v>
      </c>
      <c r="AC36" s="296" t="str">
        <f ca="1">IFERROR(AC35/AB35-1,"--")</f>
        <v>--</v>
      </c>
      <c r="AD36" s="297" t="str">
        <f ca="1">IFERROR(AD35/Y35-1,"--")</f>
        <v>--</v>
      </c>
      <c r="AE36" s="297" t="str">
        <f t="shared" ref="AE36:AG36" si="8" ca="1">IFERROR(AE35/AD35-1,"--")</f>
        <v>--</v>
      </c>
      <c r="AF36" s="297" t="str">
        <f ca="1">IFERROR(AF35/AE35-1,"--")</f>
        <v>--</v>
      </c>
      <c r="AG36" s="297" t="str">
        <f ca="1">IFERROR(AG35/AF35-1,"--")</f>
        <v>--</v>
      </c>
      <c r="AH36" s="291"/>
      <c r="AI36" s="298"/>
      <c r="AJ36" s="299"/>
    </row>
    <row r="37" ht="12.75" customHeight="1" spans="1:36" x14ac:dyDescent="0.25" outlineLevel="1" collapsed="1">
      <c r="A37" s="290"/>
      <c r="B37" s="291"/>
      <c r="C37" s="120" t="s">
        <v>248</v>
      </c>
      <c r="D37" s="291"/>
      <c r="E37" s="291"/>
      <c r="F37" s="294">
        <f ca="1">'Segment Analysis'!F17</f>
        <v>1e-12</v>
      </c>
      <c r="G37" s="294">
        <f ca="1">'Segment Analysis'!G17</f>
        <v>1e-12</v>
      </c>
      <c r="H37" s="294">
        <f ca="1">'Segment Analysis'!H17</f>
        <v>1e-12</v>
      </c>
      <c r="I37" s="294">
        <f ca="1">'Segment Analysis'!I17</f>
        <v>1e-12</v>
      </c>
      <c r="J37" s="295">
        <f ca="1">'Segment Analysis'!J17</f>
        <v>1e-12</v>
      </c>
      <c r="K37" s="294">
        <f ca="1">'Segment Analysis'!K17</f>
        <v>1e-12</v>
      </c>
      <c r="L37" s="294">
        <f ca="1">'Segment Analysis'!L17</f>
        <v>1e-12</v>
      </c>
      <c r="M37" s="294">
        <f ca="1">'Segment Analysis'!M17</f>
        <v>1e-12</v>
      </c>
      <c r="N37" s="294">
        <f ca="1">'Segment Analysis'!N17</f>
        <v>1e-12</v>
      </c>
      <c r="O37" s="295">
        <f ca="1">'Segment Analysis'!O17</f>
        <v>1e-12</v>
      </c>
      <c r="P37" s="294">
        <f ca="1">'Segment Analysis'!P17</f>
        <v>1e-12</v>
      </c>
      <c r="Q37" s="294">
        <f ca="1">'Segment Analysis'!Q17</f>
        <v>1e-12</v>
      </c>
      <c r="R37" s="294">
        <f ca="1">'Segment Analysis'!R17</f>
        <v>1e-12</v>
      </c>
      <c r="S37" s="294">
        <f ca="1">'Segment Analysis'!S17</f>
        <v>1e-12</v>
      </c>
      <c r="T37" s="295">
        <f ca="1">'Segment Analysis'!T17</f>
        <v>1e-12</v>
      </c>
      <c r="U37" s="294">
        <f ca="1">'Segment Analysis'!U17</f>
        <v>1e-12</v>
      </c>
      <c r="V37" s="294">
        <f ca="1">'Segment Analysis'!V17</f>
        <v>1e-12</v>
      </c>
      <c r="W37" s="294">
        <f ca="1">'Segment Analysis'!W17</f>
        <v>1e-12</v>
      </c>
      <c r="X37" s="296">
        <f t="shared" ref="X37:AG37" si="9" ca="1">X35/X$30</f>
        <v>1e-12</v>
      </c>
      <c r="Y37" s="297">
        <f ca="1">Y35/Y$30</f>
        <v>1e-12</v>
      </c>
      <c r="Z37" s="296">
        <f ca="1">Z35/Z$30</f>
        <v>1e-12</v>
      </c>
      <c r="AA37" s="296">
        <f ca="1">AA35/AA$30</f>
        <v>1e-12</v>
      </c>
      <c r="AB37" s="296">
        <f ca="1">AB35/AB$30</f>
        <v>1e-12</v>
      </c>
      <c r="AC37" s="296">
        <f ca="1">AC35/AC$30</f>
        <v>1e-12</v>
      </c>
      <c r="AD37" s="297">
        <f ca="1">AD35/AD$30</f>
        <v>1e-12</v>
      </c>
      <c r="AE37" s="297">
        <f ca="1">AE35/AE$30</f>
        <v>1e-12</v>
      </c>
      <c r="AF37" s="297">
        <f ca="1">AF35/AF$30</f>
        <v>1e-12</v>
      </c>
      <c r="AG37" s="297">
        <f ca="1">AG35/AG$30</f>
        <v>1e-12</v>
      </c>
      <c r="AH37" s="291"/>
      <c r="AI37" s="298"/>
      <c r="AJ37" s="299"/>
    </row>
    <row r="38" ht="12.75" customHeight="1" spans="1:36" x14ac:dyDescent="0.25" outlineLevel="1" collapsed="1">
      <c r="A38" s="16"/>
      <c r="B38" s="16"/>
      <c r="C38" s="16" t="str">
        <f ca="1">'Segment Analysis'!C10</f>
        <v>Segment 3 Revenue</v>
      </c>
      <c r="D38" s="16"/>
      <c r="E38" s="16"/>
      <c r="F38" s="284">
        <f ca="1">'Segment Analysis'!F10</f>
        <v>1e-12</v>
      </c>
      <c r="G38" s="284">
        <f ca="1">'Segment Analysis'!G10</f>
        <v>1e-12</v>
      </c>
      <c r="H38" s="284">
        <f ca="1">'Segment Analysis'!H10</f>
        <v>1e-12</v>
      </c>
      <c r="I38" s="284">
        <f ca="1">'Segment Analysis'!I10</f>
        <v>1e-12</v>
      </c>
      <c r="J38" s="285">
        <f ca="1">'Segment Analysis'!J10</f>
        <v>1e-12</v>
      </c>
      <c r="K38" s="284">
        <f ca="1">'Segment Analysis'!K10</f>
        <v>1e-12</v>
      </c>
      <c r="L38" s="284">
        <f ca="1">'Segment Analysis'!L10</f>
        <v>1e-12</v>
      </c>
      <c r="M38" s="284">
        <f ca="1">'Segment Analysis'!M10</f>
        <v>1e-12</v>
      </c>
      <c r="N38" s="284">
        <f ca="1">'Segment Analysis'!N10</f>
        <v>1e-12</v>
      </c>
      <c r="O38" s="285">
        <f ca="1">'Segment Analysis'!O10</f>
        <v>1e-12</v>
      </c>
      <c r="P38" s="284">
        <f ca="1">'Segment Analysis'!P10</f>
        <v>1e-12</v>
      </c>
      <c r="Q38" s="284">
        <f ca="1">'Segment Analysis'!Q10</f>
        <v>1e-12</v>
      </c>
      <c r="R38" s="284">
        <f ca="1">'Segment Analysis'!R10</f>
        <v>1e-12</v>
      </c>
      <c r="S38" s="284">
        <f ca="1">'Segment Analysis'!S10</f>
        <v>1e-12</v>
      </c>
      <c r="T38" s="285">
        <f ca="1">'Segment Analysis'!T10</f>
        <v>1e-12</v>
      </c>
      <c r="U38" s="284">
        <f ca="1">'Segment Analysis'!U10</f>
        <v>1e-12</v>
      </c>
      <c r="V38" s="284">
        <f ca="1">'Segment Analysis'!V10</f>
        <v>1e-12</v>
      </c>
      <c r="W38" s="284">
        <f ca="1">'Segment Analysis'!W10</f>
        <v>1e-12</v>
      </c>
      <c r="X38" s="286">
        <f ca="1">IF(Segment3_Rev_Methodology="Segment",X65,IF(Segment3_Rev_Methodology="Activity-Based",X115,IF(Segment3_Rev_Methodology="Backlog",X189,"--")))</f>
        <v>0</v>
      </c>
      <c r="Y38" s="287">
        <f ca="1">SUM(U38:X38)</f>
        <v>1e-12</v>
      </c>
      <c r="Z38" s="286">
        <f ca="1">IF(Segment3_Rev_Methodology="Segment",Z65,IF(Segment3_Rev_Methodology="Activity-Based",Z115,IF(Segment3_Rev_Methodology="Backlog",Z189,"--")))</f>
        <v>0</v>
      </c>
      <c r="AA38" s="286">
        <f ca="1">IF(Segment3_Rev_Methodology="Segment",AA65,IF(Segment3_Rev_Methodology="Activity-Based",AA115,IF(Segment3_Rev_Methodology="Backlog",AA189,"--")))</f>
        <v>0</v>
      </c>
      <c r="AB38" s="286">
        <f ca="1">IF(Segment3_Rev_Methodology="Segment",AB65,IF(Segment3_Rev_Methodology="Activity-Based",AB115,IF(Segment3_Rev_Methodology="Backlog",AB189,"--")))</f>
        <v>0</v>
      </c>
      <c r="AC38" s="286">
        <f ca="1">IF(Segment3_Rev_Methodology="Segment",AC65,IF(Segment3_Rev_Methodology="Activity-Based",AC115,IF(Segment3_Rev_Methodology="Backlog",AC189,"--")))</f>
        <v>0</v>
      </c>
      <c r="AD38" s="287">
        <f ca="1">SUM(Z38:AC38)</f>
        <v>1e-12</v>
      </c>
      <c r="AE38" s="287">
        <f ca="1">IF(Segment3_Rev_Methodology="Segment",AE65,IF(Segment3_Rev_Methodology="Activity-Based",AE115,IF(Segment3_Rev_Methodology="Backlog",AE189,"--")))</f>
        <v>0</v>
      </c>
      <c r="AF38" s="287">
        <f ca="1">IF(Segment3_Rev_Methodology="Segment",AF65,IF(Segment3_Rev_Methodology="Activity-Based",AF115,IF(Segment3_Rev_Methodology="Backlog",AF189,"--")))</f>
        <v>0</v>
      </c>
      <c r="AG38" s="287">
        <f ca="1">IF(Segment3_Rev_Methodology="Segment",AG65,IF(Segment3_Rev_Methodology="Activity-Based",AG115,IF(Segment3_Rev_Methodology="Backlog",AG189,"--")))</f>
        <v>0</v>
      </c>
      <c r="AH38" s="16"/>
      <c r="AI38" s="288" t="str">
        <f ca="1">IFERROR((T38/J38)^(1/3)-1,"--")</f>
        <v>--</v>
      </c>
      <c r="AJ38" s="289" t="str">
        <f ca="1">IFERROR((AG38/T38)^(1/5)-1,"--")</f>
        <v>--</v>
      </c>
    </row>
    <row r="39" ht="12.75" customHeight="1" spans="1:36" x14ac:dyDescent="0.25" outlineLevel="1" collapsed="1">
      <c r="A39" s="290"/>
      <c r="B39" s="291"/>
      <c r="C39" s="120" t="s">
        <v>249</v>
      </c>
      <c r="D39" s="291"/>
      <c r="E39" s="291"/>
      <c r="F39" s="293"/>
      <c r="G39" s="294" t="str">
        <f ca="1">IF($C$25="Annual",'Segment Analysis'!G175,'Segment Analysis'!G195)</f>
        <v>N/A</v>
      </c>
      <c r="H39" s="294" t="str">
        <f ca="1">IF($C$25="Annual",'Segment Analysis'!H175,'Segment Analysis'!H195)</f>
        <v>N/A</v>
      </c>
      <c r="I39" s="294" t="str">
        <f ca="1">IF($C$25="Annual",'Segment Analysis'!I175,'Segment Analysis'!I195)</f>
        <v>N/A</v>
      </c>
      <c r="J39" s="295"/>
      <c r="K39" s="294" t="str">
        <f ca="1">IF($C$25="Annual",'Segment Analysis'!K175,'Segment Analysis'!K195)</f>
        <v>N/A</v>
      </c>
      <c r="L39" s="294" t="str">
        <f ca="1">IF($C$25="Annual",'Segment Analysis'!L175,'Segment Analysis'!L195)</f>
        <v>N/A</v>
      </c>
      <c r="M39" s="294" t="str">
        <f ca="1">IF($C$25="Annual",'Segment Analysis'!M175,'Segment Analysis'!M195)</f>
        <v>N/A</v>
      </c>
      <c r="N39" s="294" t="str">
        <f ca="1">IF($C$25="Annual",'Segment Analysis'!N175,'Segment Analysis'!N195)</f>
        <v>N/A</v>
      </c>
      <c r="O39" s="295">
        <f ca="1">IF($C$25="Annual",'Segment Analysis'!O175,'Segment Analysis'!O195)</f>
        <v>1e-12</v>
      </c>
      <c r="P39" s="294" t="str">
        <f ca="1">IF($C$25="Annual",'Segment Analysis'!P175,'Segment Analysis'!P195)</f>
        <v>N/A</v>
      </c>
      <c r="Q39" s="294" t="str">
        <f ca="1">IF($C$25="Annual",'Segment Analysis'!Q175,'Segment Analysis'!Q195)</f>
        <v>N/A</v>
      </c>
      <c r="R39" s="294" t="str">
        <f ca="1">IF($C$25="Annual",'Segment Analysis'!R175,'Segment Analysis'!R195)</f>
        <v>N/A</v>
      </c>
      <c r="S39" s="294" t="str">
        <f ca="1">IF($C$25="Annual",'Segment Analysis'!S175,'Segment Analysis'!S195)</f>
        <v>N/A</v>
      </c>
      <c r="T39" s="295">
        <f ca="1">IF($C$25="Annual",'Segment Analysis'!T175,'Segment Analysis'!T195)</f>
        <v>1e-12</v>
      </c>
      <c r="U39" s="294" t="str">
        <f ca="1">IF($C$25="Annual",'Segment Analysis'!U175,'Segment Analysis'!U195)</f>
        <v>N/A</v>
      </c>
      <c r="V39" s="294" t="str">
        <f ca="1">IF($C$25="Annual",'Segment Analysis'!V175,'Segment Analysis'!V195)</f>
        <v>N/A</v>
      </c>
      <c r="W39" s="294" t="str">
        <f ca="1">IF($C$25="Annual",'Segment Analysis'!W175,'Segment Analysis'!W195)</f>
        <v>N/A</v>
      </c>
      <c r="X39" s="296" t="str">
        <f ca="1">IFERROR(X38/W38-1,"--")</f>
        <v>--</v>
      </c>
      <c r="Y39" s="297" t="str">
        <f ca="1">IFERROR(Y38/T38-1,"--")</f>
        <v>--</v>
      </c>
      <c r="Z39" s="296" t="str">
        <f ca="1">IFERROR(Z38/X38-1,"--")</f>
        <v>--</v>
      </c>
      <c r="AA39" s="296" t="str">
        <f t="shared" ref="AA39:AC39" si="10" ca="1">IFERROR(AA38/Z38-1,"--")</f>
        <v>--</v>
      </c>
      <c r="AB39" s="296" t="str">
        <f ca="1">IFERROR(AB38/AA38-1,"--")</f>
        <v>--</v>
      </c>
      <c r="AC39" s="296" t="str">
        <f ca="1">IFERROR(AC38/AB38-1,"--")</f>
        <v>--</v>
      </c>
      <c r="AD39" s="297" t="str">
        <f ca="1">IFERROR(AD38/Y38-1,"--")</f>
        <v>--</v>
      </c>
      <c r="AE39" s="297" t="str">
        <f t="shared" ref="AE39:AG39" si="11" ca="1">IFERROR(AE38/AD38-1,"--")</f>
        <v>--</v>
      </c>
      <c r="AF39" s="297" t="str">
        <f ca="1">IFERROR(AF38/AE38-1,"--")</f>
        <v>--</v>
      </c>
      <c r="AG39" s="297" t="str">
        <f ca="1">IFERROR(AG38/AF38-1,"--")</f>
        <v>--</v>
      </c>
      <c r="AH39" s="291"/>
      <c r="AI39" s="298"/>
      <c r="AJ39" s="299"/>
    </row>
    <row r="40" ht="12.75" customHeight="1" spans="1:36" x14ac:dyDescent="0.25" outlineLevel="1" collapsed="1">
      <c r="A40" s="290"/>
      <c r="B40" s="291"/>
      <c r="C40" s="120" t="s">
        <v>248</v>
      </c>
      <c r="D40" s="291"/>
      <c r="E40" s="291"/>
      <c r="F40" s="294">
        <f ca="1">'Segment Analysis'!F18</f>
        <v>1e-12</v>
      </c>
      <c r="G40" s="294">
        <f ca="1">'Segment Analysis'!G18</f>
        <v>1e-12</v>
      </c>
      <c r="H40" s="294">
        <f ca="1">'Segment Analysis'!H18</f>
        <v>1e-12</v>
      </c>
      <c r="I40" s="294">
        <f ca="1">'Segment Analysis'!I18</f>
        <v>1e-12</v>
      </c>
      <c r="J40" s="295">
        <f ca="1">'Segment Analysis'!J18</f>
        <v>1e-12</v>
      </c>
      <c r="K40" s="294">
        <f ca="1">'Segment Analysis'!K18</f>
        <v>1e-12</v>
      </c>
      <c r="L40" s="294">
        <f ca="1">'Segment Analysis'!L18</f>
        <v>1e-12</v>
      </c>
      <c r="M40" s="294">
        <f ca="1">'Segment Analysis'!M18</f>
        <v>1e-12</v>
      </c>
      <c r="N40" s="294">
        <f ca="1">'Segment Analysis'!N18</f>
        <v>1e-12</v>
      </c>
      <c r="O40" s="295">
        <f ca="1">'Segment Analysis'!O18</f>
        <v>1e-12</v>
      </c>
      <c r="P40" s="294">
        <f ca="1">'Segment Analysis'!P18</f>
        <v>1e-12</v>
      </c>
      <c r="Q40" s="294">
        <f ca="1">'Segment Analysis'!Q18</f>
        <v>1e-12</v>
      </c>
      <c r="R40" s="294">
        <f ca="1">'Segment Analysis'!R18</f>
        <v>1e-12</v>
      </c>
      <c r="S40" s="294">
        <f ca="1">'Segment Analysis'!S18</f>
        <v>1e-12</v>
      </c>
      <c r="T40" s="295">
        <f ca="1">'Segment Analysis'!T18</f>
        <v>1e-12</v>
      </c>
      <c r="U40" s="294">
        <f ca="1">'Segment Analysis'!U18</f>
        <v>1e-12</v>
      </c>
      <c r="V40" s="294">
        <f ca="1">'Segment Analysis'!V18</f>
        <v>1e-12</v>
      </c>
      <c r="W40" s="294">
        <f ca="1">'Segment Analysis'!W18</f>
        <v>1e-12</v>
      </c>
      <c r="X40" s="296">
        <f t="shared" ref="X40:AG40" si="12" ca="1">X38/X$30</f>
        <v>1e-12</v>
      </c>
      <c r="Y40" s="297">
        <f ca="1">Y38/Y$30</f>
        <v>1e-12</v>
      </c>
      <c r="Z40" s="296">
        <f ca="1">Z38/Z$30</f>
        <v>1e-12</v>
      </c>
      <c r="AA40" s="296">
        <f ca="1">AA38/AA$30</f>
        <v>1e-12</v>
      </c>
      <c r="AB40" s="296">
        <f ca="1">AB38/AB$30</f>
        <v>1e-12</v>
      </c>
      <c r="AC40" s="296">
        <f ca="1">AC38/AC$30</f>
        <v>1e-12</v>
      </c>
      <c r="AD40" s="297">
        <f ca="1">AD38/AD$30</f>
        <v>1e-12</v>
      </c>
      <c r="AE40" s="297">
        <f ca="1">AE38/AE$30</f>
        <v>1e-12</v>
      </c>
      <c r="AF40" s="297">
        <f ca="1">AF38/AF$30</f>
        <v>1e-12</v>
      </c>
      <c r="AG40" s="297">
        <f ca="1">AG38/AG$30</f>
        <v>1e-12</v>
      </c>
      <c r="AH40" s="291"/>
      <c r="AI40" s="298"/>
      <c r="AJ40" s="299"/>
    </row>
    <row r="41" ht="12.75" customHeight="1" spans="1:36" x14ac:dyDescent="0.25" outlineLevel="1" collapsed="1">
      <c r="A41" s="16"/>
      <c r="B41" s="16"/>
      <c r="C41" s="16" t="str">
        <f ca="1">'Segment Analysis'!C11</f>
        <v>Segment 4 Revenue</v>
      </c>
      <c r="D41" s="16"/>
      <c r="E41" s="16"/>
      <c r="F41" s="284">
        <f ca="1">'Segment Analysis'!F11</f>
        <v>1e-12</v>
      </c>
      <c r="G41" s="284">
        <f ca="1">'Segment Analysis'!G11</f>
        <v>1e-12</v>
      </c>
      <c r="H41" s="284">
        <f ca="1">'Segment Analysis'!H11</f>
        <v>1e-12</v>
      </c>
      <c r="I41" s="284">
        <f ca="1">'Segment Analysis'!I11</f>
        <v>1e-12</v>
      </c>
      <c r="J41" s="285">
        <f ca="1">'Segment Analysis'!J11</f>
        <v>1e-12</v>
      </c>
      <c r="K41" s="284">
        <f ca="1">'Segment Analysis'!K11</f>
        <v>1e-12</v>
      </c>
      <c r="L41" s="284">
        <f ca="1">'Segment Analysis'!L11</f>
        <v>1e-12</v>
      </c>
      <c r="M41" s="284">
        <f ca="1">'Segment Analysis'!M11</f>
        <v>1e-12</v>
      </c>
      <c r="N41" s="284">
        <f ca="1">'Segment Analysis'!N11</f>
        <v>1e-12</v>
      </c>
      <c r="O41" s="285">
        <f ca="1">'Segment Analysis'!O11</f>
        <v>1e-12</v>
      </c>
      <c r="P41" s="284">
        <f ca="1">'Segment Analysis'!P11</f>
        <v>1e-12</v>
      </c>
      <c r="Q41" s="284">
        <f ca="1">'Segment Analysis'!Q11</f>
        <v>1e-12</v>
      </c>
      <c r="R41" s="284">
        <f ca="1">'Segment Analysis'!R11</f>
        <v>1e-12</v>
      </c>
      <c r="S41" s="284">
        <f ca="1">'Segment Analysis'!S11</f>
        <v>1e-12</v>
      </c>
      <c r="T41" s="285">
        <f ca="1">'Segment Analysis'!T11</f>
        <v>1e-12</v>
      </c>
      <c r="U41" s="284">
        <f ca="1">'Segment Analysis'!U11</f>
        <v>1e-12</v>
      </c>
      <c r="V41" s="284">
        <f ca="1">'Segment Analysis'!V11</f>
        <v>1e-12</v>
      </c>
      <c r="W41" s="284">
        <f ca="1">'Segment Analysis'!W11</f>
        <v>1e-12</v>
      </c>
      <c r="X41" s="286">
        <f ca="1">IF(Segment4_Rev_Methodology="Segment",X71,IF(Segment4_Rev_Methodology="Activity-Based",X127,IF(Segment4_Rev_Methodology="Backlog",X201,"--")))</f>
        <v>0</v>
      </c>
      <c r="Y41" s="287">
        <f ca="1">SUM(U41:X41)</f>
        <v>1e-12</v>
      </c>
      <c r="Z41" s="286">
        <f ca="1">IF(Segment4_Rev_Methodology="Segment",Z71,IF(Segment4_Rev_Methodology="Activity-Based",Z127,IF(Segment4_Rev_Methodology="Backlog",Z201,"--")))</f>
        <v>0</v>
      </c>
      <c r="AA41" s="286">
        <f ca="1">IF(Segment4_Rev_Methodology="Segment",AA71,IF(Segment4_Rev_Methodology="Activity-Based",AA127,IF(Segment4_Rev_Methodology="Backlog",AA201,"--")))</f>
        <v>0</v>
      </c>
      <c r="AB41" s="286">
        <f ca="1">IF(Segment4_Rev_Methodology="Segment",AB71,IF(Segment4_Rev_Methodology="Activity-Based",AB127,IF(Segment4_Rev_Methodology="Backlog",AB201,"--")))</f>
        <v>0</v>
      </c>
      <c r="AC41" s="286">
        <f ca="1">IF(Segment4_Rev_Methodology="Segment",AC71,IF(Segment4_Rev_Methodology="Activity-Based",AC127,IF(Segment4_Rev_Methodology="Backlog",AC201,"--")))</f>
        <v>0</v>
      </c>
      <c r="AD41" s="287">
        <f ca="1">SUM(Z41:AC41)</f>
        <v>1e-12</v>
      </c>
      <c r="AE41" s="287">
        <f ca="1">IF(Segment4_Rev_Methodology="Segment",AE71,IF(Segment4_Rev_Methodology="Activity-Based",AE127,IF(Segment4_Rev_Methodology="Backlog",AE201,"--")))</f>
        <v>0</v>
      </c>
      <c r="AF41" s="287">
        <f ca="1">IF(Segment4_Rev_Methodology="Segment",AF71,IF(Segment4_Rev_Methodology="Activity-Based",AF127,IF(Segment4_Rev_Methodology="Backlog",AF201,"--")))</f>
        <v>0</v>
      </c>
      <c r="AG41" s="287">
        <f ca="1">IF(Segment4_Rev_Methodology="Segment",AG71,IF(Segment4_Rev_Methodology="Activity-Based",AG127,IF(Segment4_Rev_Methodology="Backlog",AG201,"--")))</f>
        <v>0</v>
      </c>
      <c r="AH41" s="16"/>
      <c r="AI41" s="288" t="str">
        <f ca="1">IFERROR((T41/J41)^(1/3)-1,"--")</f>
        <v>--</v>
      </c>
      <c r="AJ41" s="289" t="str">
        <f ca="1">IFERROR((AG41/T41)^(1/5)-1,"--")</f>
        <v>--</v>
      </c>
    </row>
    <row r="42" ht="12.75" customHeight="1" spans="1:36" x14ac:dyDescent="0.25" outlineLevel="1" collapsed="1">
      <c r="A42" s="290"/>
      <c r="B42" s="291"/>
      <c r="C42" s="120" t="s">
        <v>249</v>
      </c>
      <c r="D42" s="291"/>
      <c r="E42" s="291"/>
      <c r="F42" s="293"/>
      <c r="G42" s="294" t="str">
        <f ca="1">IF($C$25="Annual",'Segment Analysis'!G176,'Segment Analysis'!G196)</f>
        <v>N/A</v>
      </c>
      <c r="H42" s="294" t="str">
        <f ca="1">IF($C$25="Annual",'Segment Analysis'!H176,'Segment Analysis'!H196)</f>
        <v>N/A</v>
      </c>
      <c r="I42" s="294" t="str">
        <f ca="1">IF($C$25="Annual",'Segment Analysis'!I176,'Segment Analysis'!I196)</f>
        <v>N/A</v>
      </c>
      <c r="J42" s="295"/>
      <c r="K42" s="294" t="str">
        <f ca="1">IF($C$25="Annual",'Segment Analysis'!K176,'Segment Analysis'!K196)</f>
        <v>N/A</v>
      </c>
      <c r="L42" s="294" t="str">
        <f ca="1">IF($C$25="Annual",'Segment Analysis'!L176,'Segment Analysis'!L196)</f>
        <v>N/A</v>
      </c>
      <c r="M42" s="294" t="str">
        <f ca="1">IF($C$25="Annual",'Segment Analysis'!M176,'Segment Analysis'!M196)</f>
        <v>N/A</v>
      </c>
      <c r="N42" s="294" t="str">
        <f ca="1">IF($C$25="Annual",'Segment Analysis'!N176,'Segment Analysis'!N196)</f>
        <v>N/A</v>
      </c>
      <c r="O42" s="295">
        <f ca="1">IF($C$25="Annual",'Segment Analysis'!O176,'Segment Analysis'!O196)</f>
        <v>1e-12</v>
      </c>
      <c r="P42" s="294" t="str">
        <f ca="1">IF($C$25="Annual",'Segment Analysis'!P176,'Segment Analysis'!P196)</f>
        <v>N/A</v>
      </c>
      <c r="Q42" s="294" t="str">
        <f ca="1">IF($C$25="Annual",'Segment Analysis'!Q176,'Segment Analysis'!Q196)</f>
        <v>N/A</v>
      </c>
      <c r="R42" s="294" t="str">
        <f ca="1">IF($C$25="Annual",'Segment Analysis'!R176,'Segment Analysis'!R196)</f>
        <v>N/A</v>
      </c>
      <c r="S42" s="294" t="str">
        <f ca="1">IF($C$25="Annual",'Segment Analysis'!S176,'Segment Analysis'!S196)</f>
        <v>N/A</v>
      </c>
      <c r="T42" s="295">
        <f ca="1">IF($C$25="Annual",'Segment Analysis'!T176,'Segment Analysis'!T196)</f>
        <v>1e-12</v>
      </c>
      <c r="U42" s="294" t="str">
        <f ca="1">IF($C$25="Annual",'Segment Analysis'!U176,'Segment Analysis'!U196)</f>
        <v>N/A</v>
      </c>
      <c r="V42" s="294" t="str">
        <f ca="1">IF($C$25="Annual",'Segment Analysis'!V176,'Segment Analysis'!V196)</f>
        <v>N/A</v>
      </c>
      <c r="W42" s="294" t="str">
        <f ca="1">IF($C$25="Annual",'Segment Analysis'!W176,'Segment Analysis'!W196)</f>
        <v>N/A</v>
      </c>
      <c r="X42" s="296" t="str">
        <f ca="1">IFERROR(X41/W41-1,"--")</f>
        <v>--</v>
      </c>
      <c r="Y42" s="297" t="str">
        <f ca="1">IFERROR(Y41/T41-1,"--")</f>
        <v>--</v>
      </c>
      <c r="Z42" s="296" t="str">
        <f ca="1">IFERROR(Z41/X41-1,"--")</f>
        <v>--</v>
      </c>
      <c r="AA42" s="296" t="str">
        <f t="shared" ref="AA42:AC42" si="13" ca="1">IFERROR(AA41/Z41-1,"--")</f>
        <v>--</v>
      </c>
      <c r="AB42" s="296" t="str">
        <f ca="1">IFERROR(AB41/AA41-1,"--")</f>
        <v>--</v>
      </c>
      <c r="AC42" s="296" t="str">
        <f ca="1">IFERROR(AC41/AB41-1,"--")</f>
        <v>--</v>
      </c>
      <c r="AD42" s="297" t="str">
        <f ca="1">IFERROR(AD41/Y41-1,"--")</f>
        <v>--</v>
      </c>
      <c r="AE42" s="297" t="str">
        <f t="shared" ref="AE42:AG42" si="14" ca="1">IFERROR(AE41/AD41-1,"--")</f>
        <v>--</v>
      </c>
      <c r="AF42" s="297" t="str">
        <f ca="1">IFERROR(AF41/AE41-1,"--")</f>
        <v>--</v>
      </c>
      <c r="AG42" s="297" t="str">
        <f ca="1">IFERROR(AG41/AF41-1,"--")</f>
        <v>--</v>
      </c>
      <c r="AH42" s="291"/>
      <c r="AI42" s="298"/>
      <c r="AJ42" s="299"/>
    </row>
    <row r="43" ht="12.75" customHeight="1" spans="1:36" x14ac:dyDescent="0.25" outlineLevel="1" collapsed="1">
      <c r="A43" s="290"/>
      <c r="B43" s="291"/>
      <c r="C43" s="120" t="s">
        <v>248</v>
      </c>
      <c r="D43" s="291"/>
      <c r="E43" s="291"/>
      <c r="F43" s="294">
        <f ca="1">'Segment Analysis'!F19</f>
        <v>1e-12</v>
      </c>
      <c r="G43" s="294">
        <f ca="1">'Segment Analysis'!G19</f>
        <v>1e-12</v>
      </c>
      <c r="H43" s="294">
        <f ca="1">'Segment Analysis'!H19</f>
        <v>1e-12</v>
      </c>
      <c r="I43" s="294">
        <f ca="1">'Segment Analysis'!I19</f>
        <v>1e-12</v>
      </c>
      <c r="J43" s="295">
        <f ca="1">'Segment Analysis'!J19</f>
        <v>1e-12</v>
      </c>
      <c r="K43" s="294">
        <f ca="1">'Segment Analysis'!K19</f>
        <v>1e-12</v>
      </c>
      <c r="L43" s="294">
        <f ca="1">'Segment Analysis'!L19</f>
        <v>1e-12</v>
      </c>
      <c r="M43" s="294">
        <f ca="1">'Segment Analysis'!M19</f>
        <v>1e-12</v>
      </c>
      <c r="N43" s="294">
        <f ca="1">'Segment Analysis'!N19</f>
        <v>1e-12</v>
      </c>
      <c r="O43" s="295">
        <f ca="1">'Segment Analysis'!O19</f>
        <v>1e-12</v>
      </c>
      <c r="P43" s="294">
        <f ca="1">'Segment Analysis'!P19</f>
        <v>1e-12</v>
      </c>
      <c r="Q43" s="294">
        <f ca="1">'Segment Analysis'!Q19</f>
        <v>1e-12</v>
      </c>
      <c r="R43" s="294">
        <f ca="1">'Segment Analysis'!R19</f>
        <v>1e-12</v>
      </c>
      <c r="S43" s="294">
        <f ca="1">'Segment Analysis'!S19</f>
        <v>1e-12</v>
      </c>
      <c r="T43" s="295">
        <f ca="1">'Segment Analysis'!T19</f>
        <v>1e-12</v>
      </c>
      <c r="U43" s="294">
        <f ca="1">'Segment Analysis'!U19</f>
        <v>1e-12</v>
      </c>
      <c r="V43" s="294">
        <f ca="1">'Segment Analysis'!V19</f>
        <v>1e-12</v>
      </c>
      <c r="W43" s="294">
        <f ca="1">'Segment Analysis'!W19</f>
        <v>1e-12</v>
      </c>
      <c r="X43" s="296">
        <f t="shared" ref="X43:AG43" si="15" ca="1">X41/X$30</f>
        <v>1e-12</v>
      </c>
      <c r="Y43" s="297">
        <f ca="1">Y41/Y$30</f>
        <v>1e-12</v>
      </c>
      <c r="Z43" s="296">
        <f ca="1">Z41/Z$30</f>
        <v>1e-12</v>
      </c>
      <c r="AA43" s="296">
        <f ca="1">AA41/AA$30</f>
        <v>1e-12</v>
      </c>
      <c r="AB43" s="296">
        <f ca="1">AB41/AB$30</f>
        <v>1e-12</v>
      </c>
      <c r="AC43" s="296">
        <f ca="1">AC41/AC$30</f>
        <v>1e-12</v>
      </c>
      <c r="AD43" s="297">
        <f ca="1">AD41/AD$30</f>
        <v>1e-12</v>
      </c>
      <c r="AE43" s="297">
        <f ca="1">AE41/AE$30</f>
        <v>1e-12</v>
      </c>
      <c r="AF43" s="297">
        <f ca="1">AF41/AF$30</f>
        <v>1e-12</v>
      </c>
      <c r="AG43" s="297">
        <f ca="1">AG41/AG$30</f>
        <v>1e-12</v>
      </c>
      <c r="AH43" s="291"/>
      <c r="AI43" s="298"/>
      <c r="AJ43" s="299"/>
    </row>
    <row r="44" ht="12.75" customHeight="1" spans="1:36" x14ac:dyDescent="0.25" outlineLevel="1" collapsed="1">
      <c r="A44" s="16"/>
      <c r="B44" s="16"/>
      <c r="C44" s="16" t="str">
        <f ca="1">'Segment Analysis'!C12</f>
        <v>Segment 5 Revenue</v>
      </c>
      <c r="D44" s="16"/>
      <c r="E44" s="16"/>
      <c r="F44" s="284">
        <f ca="1">'Segment Analysis'!F12</f>
        <v>1e-12</v>
      </c>
      <c r="G44" s="284">
        <f ca="1">'Segment Analysis'!G12</f>
        <v>1e-12</v>
      </c>
      <c r="H44" s="284">
        <f ca="1">'Segment Analysis'!H12</f>
        <v>1e-12</v>
      </c>
      <c r="I44" s="284">
        <f ca="1">'Segment Analysis'!I12</f>
        <v>1e-12</v>
      </c>
      <c r="J44" s="285">
        <f ca="1">'Segment Analysis'!J12</f>
        <v>1e-12</v>
      </c>
      <c r="K44" s="284">
        <f ca="1">'Segment Analysis'!K12</f>
        <v>1e-12</v>
      </c>
      <c r="L44" s="284">
        <f ca="1">'Segment Analysis'!L12</f>
        <v>1e-12</v>
      </c>
      <c r="M44" s="284">
        <f ca="1">'Segment Analysis'!M12</f>
        <v>1e-12</v>
      </c>
      <c r="N44" s="284">
        <f ca="1">'Segment Analysis'!N12</f>
        <v>1e-12</v>
      </c>
      <c r="O44" s="285">
        <f ca="1">'Segment Analysis'!O12</f>
        <v>1e-12</v>
      </c>
      <c r="P44" s="284">
        <f ca="1">'Segment Analysis'!P12</f>
        <v>1e-12</v>
      </c>
      <c r="Q44" s="284">
        <f ca="1">'Segment Analysis'!Q12</f>
        <v>1e-12</v>
      </c>
      <c r="R44" s="284">
        <f ca="1">'Segment Analysis'!R12</f>
        <v>1e-12</v>
      </c>
      <c r="S44" s="284">
        <f ca="1">'Segment Analysis'!S12</f>
        <v>1e-12</v>
      </c>
      <c r="T44" s="285">
        <f ca="1">'Segment Analysis'!T12</f>
        <v>1e-12</v>
      </c>
      <c r="U44" s="284">
        <f ca="1">'Segment Analysis'!U12</f>
        <v>1e-12</v>
      </c>
      <c r="V44" s="284">
        <f ca="1">'Segment Analysis'!V12</f>
        <v>1e-12</v>
      </c>
      <c r="W44" s="284">
        <f ca="1">'Segment Analysis'!W12</f>
        <v>1e-12</v>
      </c>
      <c r="X44" s="286">
        <f ca="1">IF(Segment5_Rev_Methodology="Segment",X77,IF(Segment5_Rev_Methodology="Activity-Based",X139,IF(Segment5_Rev_Methodology="Backlog",X213,"--")))</f>
        <v>0</v>
      </c>
      <c r="Y44" s="287">
        <f ca="1">SUM(U44:X44)</f>
        <v>1e-12</v>
      </c>
      <c r="Z44" s="286">
        <f ca="1">IF(Segment5_Rev_Methodology="Segment",Z77,IF(Segment5_Rev_Methodology="Activity-Based",Z139,IF(Segment5_Rev_Methodology="Backlog",Z213,"--")))</f>
        <v>0</v>
      </c>
      <c r="AA44" s="286">
        <f ca="1">IF(Segment5_Rev_Methodology="Segment",AA77,IF(Segment5_Rev_Methodology="Activity-Based",AA139,IF(Segment5_Rev_Methodology="Backlog",AA213,"--")))</f>
        <v>0</v>
      </c>
      <c r="AB44" s="286">
        <f ca="1">IF(Segment5_Rev_Methodology="Segment",AB77,IF(Segment5_Rev_Methodology="Activity-Based",AB139,IF(Segment5_Rev_Methodology="Backlog",AB213,"--")))</f>
        <v>0</v>
      </c>
      <c r="AC44" s="286">
        <f ca="1">IF(Segment5_Rev_Methodology="Segment",AC77,IF(Segment5_Rev_Methodology="Activity-Based",AC139,IF(Segment5_Rev_Methodology="Backlog",AC213,"--")))</f>
        <v>0</v>
      </c>
      <c r="AD44" s="287">
        <f ca="1">SUM(Z44:AC44)</f>
        <v>1e-12</v>
      </c>
      <c r="AE44" s="287">
        <f ca="1">IF(Segment5_Rev_Methodology="Segment",AE77,IF(Segment5_Rev_Methodology="Activity-Based",AE139,IF(Segment5_Rev_Methodology="Backlog",AE213,"--")))</f>
        <v>0</v>
      </c>
      <c r="AF44" s="287">
        <f ca="1">IF(Segment5_Rev_Methodology="Segment",AF77,IF(Segment5_Rev_Methodology="Activity-Based",AF139,IF(Segment5_Rev_Methodology="Backlog",AF213,"--")))</f>
        <v>0</v>
      </c>
      <c r="AG44" s="287">
        <f ca="1">IF(Segment5_Rev_Methodology="Segment",AG77,IF(Segment5_Rev_Methodology="Activity-Based",AG139,IF(Segment5_Rev_Methodology="Backlog",AG213,"--")))</f>
        <v>0</v>
      </c>
      <c r="AH44" s="16"/>
      <c r="AI44" s="288" t="str">
        <f ca="1">IFERROR((T44/J44)^(1/3)-1,"--")</f>
        <v>--</v>
      </c>
      <c r="AJ44" s="289" t="str">
        <f ca="1">IFERROR((AG44/T44)^(1/5)-1,"--")</f>
        <v>--</v>
      </c>
    </row>
    <row r="45" ht="12.75" customHeight="1" spans="1:36" x14ac:dyDescent="0.25" outlineLevel="1" collapsed="1">
      <c r="A45" s="290"/>
      <c r="B45" s="291"/>
      <c r="C45" s="120" t="s">
        <v>249</v>
      </c>
      <c r="D45" s="291"/>
      <c r="E45" s="291"/>
      <c r="F45" s="293"/>
      <c r="G45" s="294" t="str">
        <f ca="1">IF($C$25="Annual",'Segment Analysis'!G177,'Segment Analysis'!G197)</f>
        <v>N/A</v>
      </c>
      <c r="H45" s="294" t="str">
        <f ca="1">IF($C$25="Annual",'Segment Analysis'!H177,'Segment Analysis'!H197)</f>
        <v>N/A</v>
      </c>
      <c r="I45" s="294" t="str">
        <f ca="1">IF($C$25="Annual",'Segment Analysis'!I177,'Segment Analysis'!I197)</f>
        <v>N/A</v>
      </c>
      <c r="J45" s="295"/>
      <c r="K45" s="294" t="str">
        <f ca="1">IF($C$25="Annual",'Segment Analysis'!K177,'Segment Analysis'!K197)</f>
        <v>N/A</v>
      </c>
      <c r="L45" s="294" t="str">
        <f ca="1">IF($C$25="Annual",'Segment Analysis'!L177,'Segment Analysis'!L197)</f>
        <v>N/A</v>
      </c>
      <c r="M45" s="294" t="str">
        <f ca="1">IF($C$25="Annual",'Segment Analysis'!M177,'Segment Analysis'!M197)</f>
        <v>N/A</v>
      </c>
      <c r="N45" s="294" t="str">
        <f ca="1">IF($C$25="Annual",'Segment Analysis'!N177,'Segment Analysis'!N197)</f>
        <v>N/A</v>
      </c>
      <c r="O45" s="295">
        <f ca="1">IF($C$25="Annual",'Segment Analysis'!O177,'Segment Analysis'!O197)</f>
        <v>1e-12</v>
      </c>
      <c r="P45" s="294" t="str">
        <f ca="1">IF($C$25="Annual",'Segment Analysis'!P177,'Segment Analysis'!P197)</f>
        <v>N/A</v>
      </c>
      <c r="Q45" s="294" t="str">
        <f ca="1">IF($C$25="Annual",'Segment Analysis'!Q177,'Segment Analysis'!Q197)</f>
        <v>N/A</v>
      </c>
      <c r="R45" s="294" t="str">
        <f ca="1">IF($C$25="Annual",'Segment Analysis'!R177,'Segment Analysis'!R197)</f>
        <v>N/A</v>
      </c>
      <c r="S45" s="294" t="str">
        <f ca="1">IF($C$25="Annual",'Segment Analysis'!S177,'Segment Analysis'!S197)</f>
        <v>N/A</v>
      </c>
      <c r="T45" s="295">
        <f ca="1">IF($C$25="Annual",'Segment Analysis'!T177,'Segment Analysis'!T197)</f>
        <v>1e-12</v>
      </c>
      <c r="U45" s="294" t="str">
        <f ca="1">IF($C$25="Annual",'Segment Analysis'!U177,'Segment Analysis'!U197)</f>
        <v>N/A</v>
      </c>
      <c r="V45" s="294" t="str">
        <f ca="1">IF($C$25="Annual",'Segment Analysis'!V177,'Segment Analysis'!V197)</f>
        <v>N/A</v>
      </c>
      <c r="W45" s="294" t="str">
        <f ca="1">IF($C$25="Annual",'Segment Analysis'!W177,'Segment Analysis'!W197)</f>
        <v>N/A</v>
      </c>
      <c r="X45" s="296" t="str">
        <f ca="1">IFERROR(X44/W44-1,"--")</f>
        <v>--</v>
      </c>
      <c r="Y45" s="297" t="str">
        <f ca="1">IFERROR(Y44/T44-1,"--")</f>
        <v>--</v>
      </c>
      <c r="Z45" s="296" t="str">
        <f ca="1">IFERROR(Z44/X44-1,"--")</f>
        <v>--</v>
      </c>
      <c r="AA45" s="296" t="str">
        <f t="shared" ref="AA45:AC45" si="16" ca="1">IFERROR(AA44/Z44-1,"--")</f>
        <v>--</v>
      </c>
      <c r="AB45" s="296" t="str">
        <f ca="1">IFERROR(AB44/AA44-1,"--")</f>
        <v>--</v>
      </c>
      <c r="AC45" s="296" t="str">
        <f ca="1">IFERROR(AC44/AB44-1,"--")</f>
        <v>--</v>
      </c>
      <c r="AD45" s="297" t="str">
        <f ca="1">IFERROR(AD44/Y44-1,"--")</f>
        <v>--</v>
      </c>
      <c r="AE45" s="297" t="str">
        <f t="shared" ref="AE45:AG45" si="17" ca="1">IFERROR(AE44/AD44-1,"--")</f>
        <v>--</v>
      </c>
      <c r="AF45" s="297" t="str">
        <f ca="1">IFERROR(AF44/AE44-1,"--")</f>
        <v>--</v>
      </c>
      <c r="AG45" s="297" t="str">
        <f ca="1">IFERROR(AG44/AF44-1,"--")</f>
        <v>--</v>
      </c>
      <c r="AH45" s="291"/>
      <c r="AI45" s="298"/>
      <c r="AJ45" s="299"/>
    </row>
    <row r="46" ht="12.75" customHeight="1" spans="1:36" x14ac:dyDescent="0.25" outlineLevel="1" collapsed="1">
      <c r="A46" s="290"/>
      <c r="B46" s="291"/>
      <c r="C46" s="120" t="s">
        <v>248</v>
      </c>
      <c r="D46" s="291"/>
      <c r="E46" s="291"/>
      <c r="F46" s="294">
        <f ca="1">'Segment Analysis'!F20</f>
        <v>1e-12</v>
      </c>
      <c r="G46" s="294">
        <f ca="1">'Segment Analysis'!G20</f>
        <v>1e-12</v>
      </c>
      <c r="H46" s="294">
        <f ca="1">'Segment Analysis'!H20</f>
        <v>1e-12</v>
      </c>
      <c r="I46" s="294">
        <f ca="1">'Segment Analysis'!I20</f>
        <v>1e-12</v>
      </c>
      <c r="J46" s="295">
        <f ca="1">'Segment Analysis'!J20</f>
        <v>1e-12</v>
      </c>
      <c r="K46" s="294">
        <f ca="1">'Segment Analysis'!K20</f>
        <v>1e-12</v>
      </c>
      <c r="L46" s="294">
        <f ca="1">'Segment Analysis'!L20</f>
        <v>1e-12</v>
      </c>
      <c r="M46" s="294">
        <f ca="1">'Segment Analysis'!M20</f>
        <v>1e-12</v>
      </c>
      <c r="N46" s="294">
        <f ca="1">'Segment Analysis'!N20</f>
        <v>1e-12</v>
      </c>
      <c r="O46" s="295">
        <f ca="1">'Segment Analysis'!O20</f>
        <v>1e-12</v>
      </c>
      <c r="P46" s="294">
        <f ca="1">'Segment Analysis'!P20</f>
        <v>1e-12</v>
      </c>
      <c r="Q46" s="294">
        <f ca="1">'Segment Analysis'!Q20</f>
        <v>1e-12</v>
      </c>
      <c r="R46" s="294">
        <f ca="1">'Segment Analysis'!R20</f>
        <v>1e-12</v>
      </c>
      <c r="S46" s="294">
        <f ca="1">'Segment Analysis'!S20</f>
        <v>1e-12</v>
      </c>
      <c r="T46" s="295">
        <f ca="1">'Segment Analysis'!T20</f>
        <v>1e-12</v>
      </c>
      <c r="U46" s="294">
        <f ca="1">'Segment Analysis'!U20</f>
        <v>1e-12</v>
      </c>
      <c r="V46" s="294">
        <f ca="1">'Segment Analysis'!V20</f>
        <v>1e-12</v>
      </c>
      <c r="W46" s="294">
        <f ca="1">'Segment Analysis'!W20</f>
        <v>1e-12</v>
      </c>
      <c r="X46" s="296">
        <f t="shared" ref="X46:AG46" si="18" ca="1">X44/X$30</f>
        <v>1e-12</v>
      </c>
      <c r="Y46" s="297">
        <f ca="1">Y44/Y$30</f>
        <v>1e-12</v>
      </c>
      <c r="Z46" s="296">
        <f ca="1">Z44/Z$30</f>
        <v>1e-12</v>
      </c>
      <c r="AA46" s="296">
        <f ca="1">AA44/AA$30</f>
        <v>1e-12</v>
      </c>
      <c r="AB46" s="296">
        <f ca="1">AB44/AB$30</f>
        <v>1e-12</v>
      </c>
      <c r="AC46" s="296">
        <f ca="1">AC44/AC$30</f>
        <v>1e-12</v>
      </c>
      <c r="AD46" s="297">
        <f ca="1">AD44/AD$30</f>
        <v>1e-12</v>
      </c>
      <c r="AE46" s="297">
        <f ca="1">AE44/AE$30</f>
        <v>1e-12</v>
      </c>
      <c r="AF46" s="297">
        <f ca="1">AF44/AF$30</f>
        <v>1e-12</v>
      </c>
      <c r="AG46" s="297">
        <f ca="1">AG44/AG$30</f>
        <v>1e-12</v>
      </c>
      <c r="AH46" s="291"/>
      <c r="AI46" s="298"/>
      <c r="AJ46" s="299"/>
    </row>
    <row r="47" ht="12.75" customHeight="1" spans="1:36" x14ac:dyDescent="0.25" outlineLevel="1" collapsed="1">
      <c r="A47" s="16"/>
      <c r="B47" s="16"/>
      <c r="C47" s="16" t="str">
        <f ca="1">'Segment Analysis'!C13</f>
        <v>Segment 6 Revenue</v>
      </c>
      <c r="D47" s="16"/>
      <c r="E47" s="16"/>
      <c r="F47" s="284">
        <f ca="1">'Segment Analysis'!F13</f>
        <v>1e-12</v>
      </c>
      <c r="G47" s="284">
        <f ca="1">'Segment Analysis'!G13</f>
        <v>1e-12</v>
      </c>
      <c r="H47" s="284">
        <f ca="1">'Segment Analysis'!H13</f>
        <v>1e-12</v>
      </c>
      <c r="I47" s="284">
        <f ca="1">'Segment Analysis'!I13</f>
        <v>1e-12</v>
      </c>
      <c r="J47" s="285">
        <f ca="1">'Segment Analysis'!J13</f>
        <v>1e-12</v>
      </c>
      <c r="K47" s="284">
        <f ca="1">'Segment Analysis'!K13</f>
        <v>1e-12</v>
      </c>
      <c r="L47" s="284">
        <f ca="1">'Segment Analysis'!L13</f>
        <v>1e-12</v>
      </c>
      <c r="M47" s="284">
        <f ca="1">'Segment Analysis'!M13</f>
        <v>1e-12</v>
      </c>
      <c r="N47" s="284">
        <f ca="1">'Segment Analysis'!N13</f>
        <v>1e-12</v>
      </c>
      <c r="O47" s="285">
        <f ca="1">'Segment Analysis'!O13</f>
        <v>1e-12</v>
      </c>
      <c r="P47" s="284">
        <f ca="1">'Segment Analysis'!P13</f>
        <v>1e-12</v>
      </c>
      <c r="Q47" s="284">
        <f ca="1">'Segment Analysis'!Q13</f>
        <v>1e-12</v>
      </c>
      <c r="R47" s="284">
        <f ca="1">'Segment Analysis'!R13</f>
        <v>1e-12</v>
      </c>
      <c r="S47" s="284">
        <f ca="1">'Segment Analysis'!S13</f>
        <v>1e-12</v>
      </c>
      <c r="T47" s="285">
        <f ca="1">'Segment Analysis'!T13</f>
        <v>1e-12</v>
      </c>
      <c r="U47" s="284">
        <f ca="1">'Segment Analysis'!U13</f>
        <v>1e-12</v>
      </c>
      <c r="V47" s="284">
        <f ca="1">'Segment Analysis'!V13</f>
        <v>1e-12</v>
      </c>
      <c r="W47" s="284">
        <f ca="1">'Segment Analysis'!W13</f>
        <v>1e-12</v>
      </c>
      <c r="X47" s="286">
        <f ca="1">IF(Segment6_Rev_Methodology="Segment",X83,IF(Segment6_Rev_Methodology="Activity-Based",X151,IF(Segment6_Rev_Methodology="Backlog",X225,"--")))</f>
        <v>0</v>
      </c>
      <c r="Y47" s="287">
        <f ca="1">SUM(U47:X47)</f>
        <v>1e-12</v>
      </c>
      <c r="Z47" s="286">
        <f ca="1">IF(Segment6_Rev_Methodology="Segment",Z83,IF(Segment6_Rev_Methodology="Activity-Based",Z151,IF(Segment6_Rev_Methodology="Backlog",Z225,"--")))</f>
        <v>0</v>
      </c>
      <c r="AA47" s="286">
        <f ca="1">IF(Segment6_Rev_Methodology="Segment",AA83,IF(Segment6_Rev_Methodology="Activity-Based",AA151,IF(Segment6_Rev_Methodology="Backlog",AA225,"--")))</f>
        <v>0</v>
      </c>
      <c r="AB47" s="286">
        <f ca="1">IF(Segment6_Rev_Methodology="Segment",AB83,IF(Segment6_Rev_Methodology="Activity-Based",AB151,IF(Segment6_Rev_Methodology="Backlog",AB225,"--")))</f>
        <v>0</v>
      </c>
      <c r="AC47" s="286">
        <f ca="1">IF(Segment6_Rev_Methodology="Segment",AC83,IF(Segment6_Rev_Methodology="Activity-Based",AC151,IF(Segment6_Rev_Methodology="Backlog",AC225,"--")))</f>
        <v>0</v>
      </c>
      <c r="AD47" s="287">
        <f ca="1">SUM(Z47:AC47)</f>
        <v>1e-12</v>
      </c>
      <c r="AE47" s="287">
        <f ca="1">IF(Segment6_Rev_Methodology="Segment",AE83,IF(Segment6_Rev_Methodology="Activity-Based",AE151,IF(Segment6_Rev_Methodology="Backlog",AE225,"--")))</f>
        <v>0</v>
      </c>
      <c r="AF47" s="287">
        <f ca="1">IF(Segment6_Rev_Methodology="Segment",AF83,IF(Segment6_Rev_Methodology="Activity-Based",AF151,IF(Segment6_Rev_Methodology="Backlog",AF225,"--")))</f>
        <v>0</v>
      </c>
      <c r="AG47" s="287">
        <f ca="1">IF(Segment6_Rev_Methodology="Segment",AG83,IF(Segment6_Rev_Methodology="Activity-Based",AG151,IF(Segment6_Rev_Methodology="Backlog",AG225,"--")))</f>
        <v>0</v>
      </c>
      <c r="AH47" s="16"/>
      <c r="AI47" s="288" t="str">
        <f ca="1">IFERROR((T47/J47)^(1/3)-1,"--")</f>
        <v>--</v>
      </c>
      <c r="AJ47" s="289" t="str">
        <f ca="1">IFERROR((AG47/T47)^(1/5)-1,"--")</f>
        <v>--</v>
      </c>
    </row>
    <row r="48" ht="12.75" customHeight="1" spans="1:36" x14ac:dyDescent="0.25" outlineLevel="1" collapsed="1">
      <c r="A48" s="302"/>
      <c r="B48" s="303"/>
      <c r="C48" s="120" t="s">
        <v>249</v>
      </c>
      <c r="D48" s="303"/>
      <c r="E48" s="303"/>
      <c r="F48" s="304"/>
      <c r="G48" s="294" t="str">
        <f ca="1">IF($C$25="Annual",'Segment Analysis'!G198,'Segment Analysis'!G198)</f>
        <v>N/A</v>
      </c>
      <c r="H48" s="294" t="str">
        <f ca="1">IF($C$25="Annual",'Segment Analysis'!H198,'Segment Analysis'!H198)</f>
        <v>N/A</v>
      </c>
      <c r="I48" s="294" t="str">
        <f ca="1">IF($C$25="Annual",'Segment Analysis'!I198,'Segment Analysis'!I198)</f>
        <v>N/A</v>
      </c>
      <c r="J48" s="295"/>
      <c r="K48" s="294" t="str">
        <f ca="1">IF($C$25="Annual",'Segment Analysis'!K198,'Segment Analysis'!K198)</f>
        <v>N/A</v>
      </c>
      <c r="L48" s="294" t="str">
        <f ca="1">IF($C$25="Annual",'Segment Analysis'!L198,'Segment Analysis'!L198)</f>
        <v>N/A</v>
      </c>
      <c r="M48" s="294" t="str">
        <f ca="1">IF($C$25="Annual",'Segment Analysis'!M198,'Segment Analysis'!M198)</f>
        <v>N/A</v>
      </c>
      <c r="N48" s="294" t="str">
        <f ca="1">IF($C$25="Annual",'Segment Analysis'!N198,'Segment Analysis'!N198)</f>
        <v>N/A</v>
      </c>
      <c r="O48" s="295">
        <f ca="1">IF($C$25="Annual",'Segment Analysis'!O198,'Segment Analysis'!O198)</f>
        <v>1e-12</v>
      </c>
      <c r="P48" s="294" t="str">
        <f ca="1">IF($C$25="Annual",'Segment Analysis'!P198,'Segment Analysis'!P198)</f>
        <v>N/A</v>
      </c>
      <c r="Q48" s="294" t="str">
        <f ca="1">IF($C$25="Annual",'Segment Analysis'!Q198,'Segment Analysis'!Q198)</f>
        <v>N/A</v>
      </c>
      <c r="R48" s="294" t="str">
        <f ca="1">IF($C$25="Annual",'Segment Analysis'!R198,'Segment Analysis'!R198)</f>
        <v>N/A</v>
      </c>
      <c r="S48" s="294" t="str">
        <f ca="1">IF($C$25="Annual",'Segment Analysis'!S198,'Segment Analysis'!S198)</f>
        <v>N/A</v>
      </c>
      <c r="T48" s="295">
        <f ca="1">IF($C$25="Annual",'Segment Analysis'!T198,'Segment Analysis'!T198)</f>
        <v>1e-12</v>
      </c>
      <c r="U48" s="294" t="str">
        <f ca="1">IF($C$25="Annual",'Segment Analysis'!U198,'Segment Analysis'!U198)</f>
        <v>N/A</v>
      </c>
      <c r="V48" s="294" t="str">
        <f ca="1">IF($C$25="Annual",'Segment Analysis'!V198,'Segment Analysis'!V198)</f>
        <v>N/A</v>
      </c>
      <c r="W48" s="294" t="str">
        <f ca="1">IF($C$25="Annual",'Segment Analysis'!W198,'Segment Analysis'!W198)</f>
        <v>N/A</v>
      </c>
      <c r="X48" s="305" t="str">
        <f ca="1">IFERROR(X47/W47-1,"--")</f>
        <v>--</v>
      </c>
      <c r="Y48" s="306" t="str">
        <f ca="1">IFERROR(Y47/T47-1,"--")</f>
        <v>--</v>
      </c>
      <c r="Z48" s="305" t="str">
        <f ca="1">IFERROR(Z47/X47-1,"--")</f>
        <v>--</v>
      </c>
      <c r="AA48" s="305" t="str">
        <f t="shared" ref="AA48:AC48" si="19" ca="1">IFERROR(AA47/Z47-1,"--")</f>
        <v>--</v>
      </c>
      <c r="AB48" s="305" t="str">
        <f ca="1">IFERROR(AB47/AA47-1,"--")</f>
        <v>--</v>
      </c>
      <c r="AC48" s="305" t="str">
        <f ca="1">IFERROR(AC47/AB47-1,"--")</f>
        <v>--</v>
      </c>
      <c r="AD48" s="306" t="str">
        <f ca="1">IFERROR(AD47/Y47-1,"--")</f>
        <v>--</v>
      </c>
      <c r="AE48" s="306" t="str">
        <f t="shared" ref="AE48:AG48" si="20" ca="1">IFERROR(AE47/AD47-1,"--")</f>
        <v>--</v>
      </c>
      <c r="AF48" s="306" t="str">
        <f ca="1">IFERROR(AF47/AE47-1,"--")</f>
        <v>--</v>
      </c>
      <c r="AG48" s="306" t="str">
        <f ca="1">IFERROR(AG47/AF47-1,"--")</f>
        <v>--</v>
      </c>
      <c r="AH48" s="303"/>
      <c r="AI48" s="307"/>
      <c r="AJ48" s="308"/>
    </row>
    <row r="49" ht="12.75" customHeight="1" spans="1:36" x14ac:dyDescent="0.25" outlineLevel="1" collapsed="1">
      <c r="A49" s="302"/>
      <c r="B49" s="303"/>
      <c r="C49" s="120" t="s">
        <v>248</v>
      </c>
      <c r="D49" s="303"/>
      <c r="E49" s="303"/>
      <c r="F49" s="309">
        <f ca="1">'Segment Analysis'!F21</f>
        <v>1e-12</v>
      </c>
      <c r="G49" s="309">
        <f ca="1">'Segment Analysis'!G21</f>
        <v>1e-12</v>
      </c>
      <c r="H49" s="309">
        <f ca="1">'Segment Analysis'!H21</f>
        <v>1e-12</v>
      </c>
      <c r="I49" s="309">
        <f ca="1">'Segment Analysis'!I21</f>
        <v>1e-12</v>
      </c>
      <c r="J49" s="310">
        <f ca="1">'Segment Analysis'!J21</f>
        <v>1e-12</v>
      </c>
      <c r="K49" s="309">
        <f ca="1">'Segment Analysis'!K21</f>
        <v>1e-12</v>
      </c>
      <c r="L49" s="309">
        <f ca="1">'Segment Analysis'!L21</f>
        <v>1e-12</v>
      </c>
      <c r="M49" s="309">
        <f ca="1">'Segment Analysis'!M21</f>
        <v>1e-12</v>
      </c>
      <c r="N49" s="309">
        <f ca="1">'Segment Analysis'!N21</f>
        <v>1e-12</v>
      </c>
      <c r="O49" s="310">
        <f ca="1">'Segment Analysis'!O21</f>
        <v>1e-12</v>
      </c>
      <c r="P49" s="309">
        <f ca="1">'Segment Analysis'!P21</f>
        <v>1e-12</v>
      </c>
      <c r="Q49" s="309">
        <f ca="1">'Segment Analysis'!Q21</f>
        <v>1e-12</v>
      </c>
      <c r="R49" s="309">
        <f ca="1">'Segment Analysis'!R21</f>
        <v>1e-12</v>
      </c>
      <c r="S49" s="309">
        <f ca="1">'Segment Analysis'!S21</f>
        <v>1e-12</v>
      </c>
      <c r="T49" s="310">
        <f ca="1">'Segment Analysis'!T21</f>
        <v>1e-12</v>
      </c>
      <c r="U49" s="309">
        <f ca="1">'Segment Analysis'!U21</f>
        <v>1e-12</v>
      </c>
      <c r="V49" s="309">
        <f ca="1">'Segment Analysis'!V21</f>
        <v>1e-12</v>
      </c>
      <c r="W49" s="309">
        <f ca="1">'Segment Analysis'!W21</f>
        <v>1e-12</v>
      </c>
      <c r="X49" s="305">
        <f t="shared" ref="X49:AG49" si="21" ca="1">X47/X$30</f>
        <v>1e-12</v>
      </c>
      <c r="Y49" s="306">
        <f ca="1">Y47/Y$30</f>
        <v>1e-12</v>
      </c>
      <c r="Z49" s="305">
        <f ca="1">Z47/Z$30</f>
        <v>1e-12</v>
      </c>
      <c r="AA49" s="305">
        <f ca="1">AA47/AA$30</f>
        <v>1e-12</v>
      </c>
      <c r="AB49" s="305">
        <f ca="1">AB47/AB$30</f>
        <v>1e-12</v>
      </c>
      <c r="AC49" s="305">
        <f ca="1">AC47/AC$30</f>
        <v>1e-12</v>
      </c>
      <c r="AD49" s="306">
        <f ca="1">AD47/AD$30</f>
        <v>1e-12</v>
      </c>
      <c r="AE49" s="306">
        <f ca="1">AE47/AE$30</f>
        <v>1e-12</v>
      </c>
      <c r="AF49" s="306">
        <f ca="1">AF47/AF$30</f>
        <v>1e-12</v>
      </c>
      <c r="AG49" s="306">
        <f ca="1">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 ca="1">F$28</f>
        <v>1Q23</v>
      </c>
      <c r="G51" s="313" t="str">
        <f ca="1">G$28</f>
        <v>2Q23</v>
      </c>
      <c r="H51" s="313" t="str">
        <f ca="1">H$28</f>
        <v>3Q23</v>
      </c>
      <c r="I51" s="313" t="str">
        <f ca="1">I$28</f>
        <v>4Q23</v>
      </c>
      <c r="J51" s="313">
        <f ca="1">J$28</f>
        <v>2023</v>
      </c>
      <c r="K51" s="313" t="str">
        <f ca="1">K$28</f>
        <v>1Q24</v>
      </c>
      <c r="L51" s="313" t="str">
        <f ca="1">L$28</f>
        <v>2Q24</v>
      </c>
      <c r="M51" s="313" t="str">
        <f ca="1">M$28</f>
        <v>3Q24</v>
      </c>
      <c r="N51" s="313" t="str">
        <f ca="1">N$28</f>
        <v>4Q24</v>
      </c>
      <c r="O51" s="313">
        <f ca="1">O$28</f>
        <v>2024</v>
      </c>
      <c r="P51" s="313" t="str">
        <f ca="1">P$28</f>
        <v>1Q25</v>
      </c>
      <c r="Q51" s="313" t="str">
        <f ca="1">Q$28</f>
        <v>2Q25</v>
      </c>
      <c r="R51" s="313" t="str">
        <f ca="1">R$28</f>
        <v>3Q25</v>
      </c>
      <c r="S51" s="313" t="str">
        <f ca="1">S$28</f>
        <v>4Q25</v>
      </c>
      <c r="T51" s="313">
        <f ca="1">T$28</f>
        <v>2025</v>
      </c>
      <c r="U51" s="313" t="str">
        <f ca="1">U$28</f>
        <v>1Q26</v>
      </c>
      <c r="V51" s="313" t="str">
        <f ca="1">V$28</f>
        <v>2Q26</v>
      </c>
      <c r="W51" s="313" t="str">
        <f ca="1">W$28</f>
        <v>3Q26e</v>
      </c>
      <c r="X51" s="313" t="str">
        <f ca="1">X$28</f>
        <v>4Q26e</v>
      </c>
      <c r="Y51" s="313" t="str">
        <f ca="1">Y$28</f>
        <v>2026e</v>
      </c>
      <c r="Z51" s="313" t="str">
        <f ca="1">Z$28</f>
        <v>1Q27e</v>
      </c>
      <c r="AA51" s="313" t="str">
        <f ca="1">AA$28</f>
        <v>2Q27e</v>
      </c>
      <c r="AB51" s="313" t="str">
        <f ca="1">AB$28</f>
        <v>3Q27e</v>
      </c>
      <c r="AC51" s="313" t="str">
        <f ca="1">AC$28</f>
        <v>4Q27e</v>
      </c>
      <c r="AD51" s="313" t="str">
        <f ca="1">AD$28</f>
        <v>2027e</v>
      </c>
      <c r="AE51" s="313" t="str">
        <f ca="1">AE$28</f>
        <v>2028e</v>
      </c>
      <c r="AF51" s="313" t="str">
        <f ca="1">AF$28</f>
        <v>2029e</v>
      </c>
      <c r="AG51" s="314" t="str">
        <f ca="1">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 ca="1">C32</f>
        <v>Home Improvement Retail Revenue</v>
      </c>
      <c r="D53" s="16"/>
      <c r="E53" s="16"/>
      <c r="F53" s="317">
        <f t="shared" ref="F53:W53" si="23" ca="1">F32</f>
        <v>17360</v>
      </c>
      <c r="G53" s="317">
        <f ca="1">G32</f>
        <v>20888</v>
      </c>
      <c r="H53" s="317">
        <f ca="1">H32</f>
        <v>17415</v>
      </c>
      <c r="I53" s="317">
        <f ca="1">I32</f>
        <v>15646</v>
      </c>
      <c r="J53" s="287">
        <f ca="1">J32</f>
        <v>71309</v>
      </c>
      <c r="K53" s="317">
        <f ca="1">K32</f>
        <v>17741</v>
      </c>
      <c r="L53" s="317">
        <f ca="1">L32</f>
        <v>20992</v>
      </c>
      <c r="M53" s="317">
        <f ca="1">M32</f>
        <v>17388</v>
      </c>
      <c r="N53" s="317">
        <f ca="1">N32</f>
        <v>16027</v>
      </c>
      <c r="O53" s="287">
        <f ca="1">O32</f>
        <v>72148</v>
      </c>
      <c r="P53" s="317">
        <f ca="1">P32</f>
        <v>19675</v>
      </c>
      <c r="Q53" s="317">
        <f ca="1">Q32</f>
        <v>27302</v>
      </c>
      <c r="R53" s="317">
        <f ca="1">R32</f>
        <v>22309</v>
      </c>
      <c r="S53" s="317">
        <f ca="1">S32</f>
        <v>20311</v>
      </c>
      <c r="T53" s="287">
        <f ca="1">T32</f>
        <v>89597</v>
      </c>
      <c r="U53" s="317">
        <f ca="1">U32</f>
        <v>24422</v>
      </c>
      <c r="V53" s="317">
        <f ca="1">V32</f>
        <v>27570</v>
      </c>
      <c r="W53" s="317">
        <f ca="1">W32</f>
        <v>22918</v>
      </c>
      <c r="X53" s="286">
        <f ca="1">IF($C$25="Quarterly",W53*(1+X54),S53*(1+X54))</f>
        <v>21772.1</v>
      </c>
      <c r="Y53" s="287">
        <f ca="1">SUM(U53:X53)</f>
        <v>96682.1</v>
      </c>
      <c r="Z53" s="286">
        <f ca="1">IF($C$25="Quarterly",X53*(1+Z54),U53*(1+Z54))</f>
        <v>25691.077999999998</v>
      </c>
      <c r="AA53" s="286">
        <f t="shared" ref="AA53:AC53" si="24" ca="1">IF($C$25="Quarterly",Z53*(1+AA54),V53*(1+AA54))</f>
        <v>29287.82892</v>
      </c>
      <c r="AB53" s="286">
        <f ca="1">IF($C$25="Quarterly",AA53*(1+AB54),W53*(1+AB54))</f>
        <v>25773.2894496</v>
      </c>
      <c r="AC53" s="286">
        <f ca="1">IF($C$25="Quarterly",AB53*(1+AC54),X53*(1+AC54))</f>
        <v>24484.62497712</v>
      </c>
      <c r="AD53" s="287">
        <f ca="1">SUM(Z53:AC53)</f>
        <v>105236.82134671998</v>
      </c>
      <c r="AE53" s="287">
        <f t="shared" ref="AE53:AG53" si="25" ca="1">AD53*(1+AE54)</f>
        <v>107341.55777365438</v>
      </c>
      <c r="AF53" s="287">
        <f ca="1">AE53*(1+AF54)</f>
        <v>109488.38892912747</v>
      </c>
      <c r="AG53" s="287">
        <f ca="1">AF53*(1+AG54)</f>
        <v>111678.15670771002</v>
      </c>
      <c r="AH53" s="16"/>
      <c r="AI53" s="16"/>
      <c r="AJ53" s="16"/>
    </row>
    <row r="54" ht="12.75" customHeight="1" spans="1:36" x14ac:dyDescent="0.25">
      <c r="A54" s="303"/>
      <c r="B54" s="303"/>
      <c r="C54" s="120" t="str">
        <f ca="1">IF($C$25="Quarterly","% Growth QoQ","% Growth YoY")</f>
        <v>% Growth QoQ</v>
      </c>
      <c r="D54" s="303"/>
      <c r="E54" s="303"/>
      <c r="F54" s="318"/>
      <c r="G54" s="318">
        <f t="shared" ref="G54:W54" si="26" ca="1">G33</f>
        <v>0.2032258064516128</v>
      </c>
      <c r="H54" s="318">
        <f ca="1">H33</f>
        <v>-0.16626771351972425</v>
      </c>
      <c r="I54" s="318">
        <f ca="1">I33</f>
        <v>-0.10157909847832325</v>
      </c>
      <c r="J54" s="306">
        <f ca="1">J33</f>
        <v>1e-12</v>
      </c>
      <c r="K54" s="318">
        <f ca="1">K33</f>
        <v>0.13390003834845965</v>
      </c>
      <c r="L54" s="318">
        <f ca="1">L33</f>
        <v>0.18324784397722782</v>
      </c>
      <c r="M54" s="318">
        <f ca="1">M33</f>
        <v>-0.17168445121951215</v>
      </c>
      <c r="N54" s="318">
        <f ca="1">N33</f>
        <v>-0.07827237175063262</v>
      </c>
      <c r="O54" s="306">
        <f ca="1">O33</f>
        <v>1e-12</v>
      </c>
      <c r="P54" s="318">
        <f ca="1">P33</f>
        <v>0.22761589817183503</v>
      </c>
      <c r="Q54" s="318">
        <f ca="1">Q33</f>
        <v>0.3876493011435833</v>
      </c>
      <c r="R54" s="318">
        <f ca="1">R33</f>
        <v>-0.18288037506409782</v>
      </c>
      <c r="S54" s="318">
        <f ca="1">S33</f>
        <v>-0.08956026715675292</v>
      </c>
      <c r="T54" s="306">
        <f ca="1">T33</f>
        <v>1e-12</v>
      </c>
      <c r="U54" s="318">
        <f ca="1">U33</f>
        <v>0.20240263896410804</v>
      </c>
      <c r="V54" s="318">
        <f ca="1">V33</f>
        <v>0.12890017197608716</v>
      </c>
      <c r="W54" s="318">
        <f ca="1">W33</f>
        <v>-0.16873413130214</v>
      </c>
      <c r="X54" s="305">
        <f ca="1">IF(Case_Scenario="Bull",X55,IF(Case_Scenario="Base",X56,IF(Case_Scenario="bear",X57,"N/A")))</f>
        <v>-0.05</v>
      </c>
      <c r="Y54" s="306"/>
      <c r="Z54" s="305">
        <f ca="1">IF(Case_Scenario="Bull",Z55,IF(Case_Scenario="Base",Z56,IF(Case_Scenario="bear",Z57,"N/A")))</f>
        <v>0.18</v>
      </c>
      <c r="AA54" s="305">
        <f ca="1">IF(Case_Scenario="Bull",AA55,IF(Case_Scenario="Base",AA56,IF(Case_Scenario="bear",AA57,"N/A")))</f>
        <v>0.14</v>
      </c>
      <c r="AB54" s="305">
        <f ca="1">IF(Case_Scenario="Bull",AB55,IF(Case_Scenario="Base",AB56,IF(Case_Scenario="bear",AB57,"N/A")))</f>
        <v>-0.12</v>
      </c>
      <c r="AC54" s="305">
        <f ca="1">IF(Case_Scenario="Bull",AC55,IF(Case_Scenario="Base",AC56,IF(Case_Scenario="bear",AC57,"N/A")))</f>
        <v>-0.05</v>
      </c>
      <c r="AD54" s="306"/>
      <c r="AE54" s="306">
        <f ca="1">IF(Case_Scenario="Bull",AE55,IF(Case_Scenario="Base",AE56,IF(Case_Scenario="bear",AE57,"N/A")))</f>
        <v>0.02</v>
      </c>
      <c r="AF54" s="306">
        <f ca="1">IF(Case_Scenario="Bull",AF55,IF(Case_Scenario="Base",AF56,IF(Case_Scenario="bear",AF57,"N/A")))</f>
        <v>0.02</v>
      </c>
      <c r="AG54" s="306">
        <f ca="1">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 ca="1">C35</f>
        <v>Segment 2 Revenue</v>
      </c>
      <c r="D59" s="16"/>
      <c r="E59" s="16"/>
      <c r="F59" s="317">
        <f t="shared" ref="F59:W59" si="27" ca="1">F35</f>
        <v>1e-12</v>
      </c>
      <c r="G59" s="317">
        <f ca="1">G35</f>
        <v>1e-12</v>
      </c>
      <c r="H59" s="317">
        <f ca="1">H35</f>
        <v>1e-12</v>
      </c>
      <c r="I59" s="317">
        <f ca="1">I35</f>
        <v>1e-12</v>
      </c>
      <c r="J59" s="287">
        <f ca="1">J35</f>
        <v>1e-12</v>
      </c>
      <c r="K59" s="317">
        <f ca="1">K35</f>
        <v>1e-12</v>
      </c>
      <c r="L59" s="317">
        <f ca="1">L35</f>
        <v>1e-12</v>
      </c>
      <c r="M59" s="317">
        <f ca="1">M35</f>
        <v>1e-12</v>
      </c>
      <c r="N59" s="317">
        <f ca="1">N35</f>
        <v>1e-12</v>
      </c>
      <c r="O59" s="287">
        <f ca="1">O35</f>
        <v>1e-12</v>
      </c>
      <c r="P59" s="317">
        <f ca="1">P35</f>
        <v>1e-12</v>
      </c>
      <c r="Q59" s="317">
        <f ca="1">Q35</f>
        <v>1e-12</v>
      </c>
      <c r="R59" s="317">
        <f ca="1">R35</f>
        <v>1e-12</v>
      </c>
      <c r="S59" s="317">
        <f ca="1">S35</f>
        <v>1e-12</v>
      </c>
      <c r="T59" s="287">
        <f ca="1">T35</f>
        <v>1e-12</v>
      </c>
      <c r="U59" s="317">
        <f ca="1">U35</f>
        <v>1e-12</v>
      </c>
      <c r="V59" s="317">
        <f ca="1">V35</f>
        <v>1e-12</v>
      </c>
      <c r="W59" s="317">
        <f ca="1">W35</f>
        <v>1e-12</v>
      </c>
      <c r="X59" s="286">
        <f ca="1">IF($C$25="Quarterly",W59*(1+X60),S59*(1+X60))</f>
        <v>1e-12</v>
      </c>
      <c r="Y59" s="287">
        <f ca="1">SUM(U59:X59)</f>
        <v>1e-12</v>
      </c>
      <c r="Z59" s="286">
        <f ca="1">IF($C$25="Quarterly",X59*(1+Z60),U59*(1+Z60))</f>
        <v>1e-12</v>
      </c>
      <c r="AA59" s="286">
        <f t="shared" ref="AA59:AC59" si="28" ca="1">IF($C$25="Quarterly",Z59*(1+AA60),V59*(1+AA60))</f>
        <v>1e-12</v>
      </c>
      <c r="AB59" s="286">
        <f ca="1">IF($C$25="Quarterly",AA59*(1+AB60),W59*(1+AB60))</f>
        <v>1e-12</v>
      </c>
      <c r="AC59" s="286">
        <f ca="1">IF($C$25="Quarterly",AB59*(1+AC60),X59*(1+AC60))</f>
        <v>1e-12</v>
      </c>
      <c r="AD59" s="287">
        <f ca="1">SUM(Z59:AC59)</f>
        <v>1e-12</v>
      </c>
      <c r="AE59" s="287">
        <f t="shared" ref="AE59:AG59" si="29" ca="1">AD59*(1+AE60)</f>
        <v>1e-12</v>
      </c>
      <c r="AF59" s="287">
        <f ca="1">AE59*(1+AF60)</f>
        <v>1e-12</v>
      </c>
      <c r="AG59" s="287">
        <f ca="1">AF59*(1+AG60)</f>
        <v>1e-12</v>
      </c>
      <c r="AH59" s="16"/>
      <c r="AI59" s="16"/>
      <c r="AJ59" s="16"/>
    </row>
    <row r="60" ht="12.75" customHeight="1" spans="1:36" x14ac:dyDescent="0.25">
      <c r="A60" s="16"/>
      <c r="B60" s="16"/>
      <c r="C60" s="120" t="str">
        <f ca="1">IF($C$25="Quarterly","% Growth QoQ","% Growth YoY")</f>
        <v>% Growth QoQ</v>
      </c>
      <c r="D60" s="16"/>
      <c r="E60" s="16"/>
      <c r="F60" s="319"/>
      <c r="G60" s="318" t="str">
        <f t="shared" ref="G60:W60" si="30" ca="1">G36</f>
        <v>N/A</v>
      </c>
      <c r="H60" s="318" t="str">
        <f ca="1">H36</f>
        <v>N/A</v>
      </c>
      <c r="I60" s="318" t="str">
        <f ca="1">I36</f>
        <v>N/A</v>
      </c>
      <c r="J60" s="306">
        <f ca="1">J36</f>
        <v>1e-12</v>
      </c>
      <c r="K60" s="318" t="str">
        <f ca="1">K36</f>
        <v>N/A</v>
      </c>
      <c r="L60" s="318" t="str">
        <f ca="1">L36</f>
        <v>N/A</v>
      </c>
      <c r="M60" s="318" t="str">
        <f ca="1">M36</f>
        <v>N/A</v>
      </c>
      <c r="N60" s="318" t="str">
        <f ca="1">N36</f>
        <v>N/A</v>
      </c>
      <c r="O60" s="306" t="str">
        <f ca="1">O36</f>
        <v>N/A</v>
      </c>
      <c r="P60" s="318" t="str">
        <f ca="1">P36</f>
        <v>N/A</v>
      </c>
      <c r="Q60" s="318" t="str">
        <f ca="1">Q36</f>
        <v>N/A</v>
      </c>
      <c r="R60" s="318" t="str">
        <f ca="1">R36</f>
        <v>N/A</v>
      </c>
      <c r="S60" s="318" t="str">
        <f ca="1">S36</f>
        <v>N/A</v>
      </c>
      <c r="T60" s="306" t="str">
        <f ca="1">T36</f>
        <v>N/A</v>
      </c>
      <c r="U60" s="318" t="str">
        <f ca="1">U36</f>
        <v>N/A</v>
      </c>
      <c r="V60" s="318" t="str">
        <f ca="1">V36</f>
        <v>N/A</v>
      </c>
      <c r="W60" s="318" t="str">
        <f ca="1">W36</f>
        <v>N/A</v>
      </c>
      <c r="X60" s="305">
        <f ca="1">IF(Case_Scenario="Bull",X61,IF(Case_Scenario="Base",X62,IF(Case_Scenario="bear",X63,"N/A")))</f>
        <v>0.05</v>
      </c>
      <c r="Y60" s="306"/>
      <c r="Z60" s="305">
        <f ca="1">IF(Case_Scenario="Bull",Z61,IF(Case_Scenario="Base",Z62,IF(Case_Scenario="bear",Z63,"N/A")))</f>
        <v>0.05</v>
      </c>
      <c r="AA60" s="305">
        <f ca="1">IF(Case_Scenario="Bull",AA61,IF(Case_Scenario="Base",AA62,IF(Case_Scenario="bear",AA63,"N/A")))</f>
        <v>0.05</v>
      </c>
      <c r="AB60" s="305">
        <f ca="1">IF(Case_Scenario="Bull",AB61,IF(Case_Scenario="Base",AB62,IF(Case_Scenario="bear",AB63,"N/A")))</f>
        <v>0.05</v>
      </c>
      <c r="AC60" s="305">
        <f ca="1">IF(Case_Scenario="Bull",AC61,IF(Case_Scenario="Base",AC62,IF(Case_Scenario="bear",AC63,"N/A")))</f>
        <v>0.05</v>
      </c>
      <c r="AD60" s="306"/>
      <c r="AE60" s="306">
        <f ca="1">IF(Case_Scenario="Bull",AE61,IF(Case_Scenario="Base",AE62,IF(Case_Scenario="bear",AE63,"N/A")))</f>
        <v>0.05</v>
      </c>
      <c r="AF60" s="306">
        <f ca="1">IF(Case_Scenario="Bull",AF61,IF(Case_Scenario="Base",AF62,IF(Case_Scenario="bear",AF63,"N/A")))</f>
        <v>0.05</v>
      </c>
      <c r="AG60" s="306">
        <f ca="1">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 ca="1">C38</f>
        <v>Segment 3 Revenue</v>
      </c>
      <c r="D65" s="16"/>
      <c r="E65" s="16"/>
      <c r="F65" s="317">
        <f t="shared" ref="F65:W65" si="31" ca="1">F38</f>
        <v>1e-12</v>
      </c>
      <c r="G65" s="317">
        <f ca="1">G38</f>
        <v>1e-12</v>
      </c>
      <c r="H65" s="317">
        <f ca="1">H38</f>
        <v>1e-12</v>
      </c>
      <c r="I65" s="317">
        <f ca="1">I38</f>
        <v>1e-12</v>
      </c>
      <c r="J65" s="287">
        <f ca="1">J38</f>
        <v>1e-12</v>
      </c>
      <c r="K65" s="317">
        <f ca="1">K38</f>
        <v>1e-12</v>
      </c>
      <c r="L65" s="317">
        <f ca="1">L38</f>
        <v>1e-12</v>
      </c>
      <c r="M65" s="317">
        <f ca="1">M38</f>
        <v>1e-12</v>
      </c>
      <c r="N65" s="317">
        <f ca="1">N38</f>
        <v>1e-12</v>
      </c>
      <c r="O65" s="287">
        <f ca="1">O38</f>
        <v>1e-12</v>
      </c>
      <c r="P65" s="317">
        <f ca="1">P38</f>
        <v>1e-12</v>
      </c>
      <c r="Q65" s="317">
        <f ca="1">Q38</f>
        <v>1e-12</v>
      </c>
      <c r="R65" s="317">
        <f ca="1">R38</f>
        <v>1e-12</v>
      </c>
      <c r="S65" s="317">
        <f ca="1">S38</f>
        <v>1e-12</v>
      </c>
      <c r="T65" s="287">
        <f ca="1">T38</f>
        <v>1e-12</v>
      </c>
      <c r="U65" s="317">
        <f ca="1">U38</f>
        <v>1e-12</v>
      </c>
      <c r="V65" s="317">
        <f ca="1">V38</f>
        <v>1e-12</v>
      </c>
      <c r="W65" s="317">
        <f ca="1">W38</f>
        <v>1e-12</v>
      </c>
      <c r="X65" s="286">
        <f ca="1">IF($C$25="Quarterly",W65*(1+X66),S65*(1+X66))</f>
        <v>1e-12</v>
      </c>
      <c r="Y65" s="287">
        <f ca="1">SUM(U65:X65)</f>
        <v>1e-12</v>
      </c>
      <c r="Z65" s="286">
        <f ca="1">IF($C$25="Quarterly",X65*(1+Z66),U65*(1+Z66))</f>
        <v>1e-12</v>
      </c>
      <c r="AA65" s="286">
        <f t="shared" ref="AA65:AC65" si="32" ca="1">IF($C$25="Quarterly",Z65*(1+AA66),V65*(1+AA66))</f>
        <v>1e-12</v>
      </c>
      <c r="AB65" s="286">
        <f ca="1">IF($C$25="Quarterly",AA65*(1+AB66),W65*(1+AB66))</f>
        <v>1e-12</v>
      </c>
      <c r="AC65" s="286">
        <f ca="1">IF($C$25="Quarterly",AB65*(1+AC66),X65*(1+AC66))</f>
        <v>1e-12</v>
      </c>
      <c r="AD65" s="287">
        <f ca="1">SUM(Z65:AC65)</f>
        <v>1e-12</v>
      </c>
      <c r="AE65" s="287">
        <f t="shared" ref="AE65:AG65" si="33" ca="1">AD65*(1+AE66)</f>
        <v>1e-12</v>
      </c>
      <c r="AF65" s="287">
        <f ca="1">AE65*(1+AF66)</f>
        <v>1e-12</v>
      </c>
      <c r="AG65" s="287">
        <f ca="1">AF65*(1+AG66)</f>
        <v>1e-12</v>
      </c>
      <c r="AH65" s="16"/>
      <c r="AI65" s="16"/>
      <c r="AJ65" s="16"/>
    </row>
    <row r="66" ht="12.75" customHeight="1" spans="1:36" x14ac:dyDescent="0.25">
      <c r="A66" s="16"/>
      <c r="B66" s="16"/>
      <c r="C66" s="120" t="str">
        <f ca="1">IF($C$25="Quarterly","% Growth QoQ","% Growth YoY")</f>
        <v>% Growth QoQ</v>
      </c>
      <c r="D66" s="16"/>
      <c r="E66" s="16"/>
      <c r="F66" s="319"/>
      <c r="G66" s="318" t="str">
        <f t="shared" ref="G66:W66" si="34" ca="1">G39</f>
        <v>N/A</v>
      </c>
      <c r="H66" s="318" t="str">
        <f ca="1">H39</f>
        <v>N/A</v>
      </c>
      <c r="I66" s="318" t="str">
        <f ca="1">I39</f>
        <v>N/A</v>
      </c>
      <c r="J66" s="306">
        <f ca="1">J39</f>
        <v>1e-12</v>
      </c>
      <c r="K66" s="318" t="str">
        <f ca="1">K39</f>
        <v>N/A</v>
      </c>
      <c r="L66" s="318" t="str">
        <f ca="1">L39</f>
        <v>N/A</v>
      </c>
      <c r="M66" s="318" t="str">
        <f ca="1">M39</f>
        <v>N/A</v>
      </c>
      <c r="N66" s="318" t="str">
        <f ca="1">N39</f>
        <v>N/A</v>
      </c>
      <c r="O66" s="306">
        <f ca="1">O39</f>
        <v>1e-12</v>
      </c>
      <c r="P66" s="318" t="str">
        <f ca="1">P39</f>
        <v>N/A</v>
      </c>
      <c r="Q66" s="318" t="str">
        <f ca="1">Q39</f>
        <v>N/A</v>
      </c>
      <c r="R66" s="318" t="str">
        <f ca="1">R39</f>
        <v>N/A</v>
      </c>
      <c r="S66" s="318" t="str">
        <f ca="1">S39</f>
        <v>N/A</v>
      </c>
      <c r="T66" s="306">
        <f ca="1">T39</f>
        <v>1e-12</v>
      </c>
      <c r="U66" s="318" t="str">
        <f ca="1">U39</f>
        <v>N/A</v>
      </c>
      <c r="V66" s="318" t="str">
        <f ca="1">V39</f>
        <v>N/A</v>
      </c>
      <c r="W66" s="318" t="str">
        <f ca="1">W39</f>
        <v>N/A</v>
      </c>
      <c r="X66" s="305">
        <f ca="1">IF(Case_Scenario="Bull",X67,IF(Case_Scenario="Base",X68,IF(Case_Scenario="bear",X69,"N/A")))</f>
        <v>0.05</v>
      </c>
      <c r="Y66" s="306"/>
      <c r="Z66" s="305">
        <f ca="1">IF(Case_Scenario="Bull",Z67,IF(Case_Scenario="Base",Z68,IF(Case_Scenario="bear",Z69,"N/A")))</f>
        <v>0.05</v>
      </c>
      <c r="AA66" s="305">
        <f ca="1">IF(Case_Scenario="Bull",AA67,IF(Case_Scenario="Base",AA68,IF(Case_Scenario="bear",AA69,"N/A")))</f>
        <v>0.05</v>
      </c>
      <c r="AB66" s="305">
        <f ca="1">IF(Case_Scenario="Bull",AB67,IF(Case_Scenario="Base",AB68,IF(Case_Scenario="bear",AB69,"N/A")))</f>
        <v>0.05</v>
      </c>
      <c r="AC66" s="305">
        <f ca="1">IF(Case_Scenario="Bull",AC67,IF(Case_Scenario="Base",AC68,IF(Case_Scenario="bear",AC69,"N/A")))</f>
        <v>0.05</v>
      </c>
      <c r="AD66" s="306"/>
      <c r="AE66" s="306">
        <f ca="1">IF(Case_Scenario="Bull",AE67,IF(Case_Scenario="Base",AE68,IF(Case_Scenario="bear",AE69,"N/A")))</f>
        <v>0.05</v>
      </c>
      <c r="AF66" s="306">
        <f ca="1">IF(Case_Scenario="Bull",AF67,IF(Case_Scenario="Base",AF68,IF(Case_Scenario="bear",AF69,"N/A")))</f>
        <v>0.05</v>
      </c>
      <c r="AG66" s="306">
        <f ca="1">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 ca="1">C41</f>
        <v>Segment 4 Revenue</v>
      </c>
      <c r="D71" s="16"/>
      <c r="E71" s="16"/>
      <c r="F71" s="317">
        <f t="shared" ref="F71:W71" si="35" ca="1">F41</f>
        <v>1e-12</v>
      </c>
      <c r="G71" s="317">
        <f ca="1">G41</f>
        <v>1e-12</v>
      </c>
      <c r="H71" s="317">
        <f ca="1">H41</f>
        <v>1e-12</v>
      </c>
      <c r="I71" s="317">
        <f ca="1">I41</f>
        <v>1e-12</v>
      </c>
      <c r="J71" s="287">
        <f ca="1">J41</f>
        <v>1e-12</v>
      </c>
      <c r="K71" s="317">
        <f ca="1">K41</f>
        <v>1e-12</v>
      </c>
      <c r="L71" s="317">
        <f ca="1">L41</f>
        <v>1e-12</v>
      </c>
      <c r="M71" s="317">
        <f ca="1">M41</f>
        <v>1e-12</v>
      </c>
      <c r="N71" s="317">
        <f ca="1">N41</f>
        <v>1e-12</v>
      </c>
      <c r="O71" s="287">
        <f ca="1">O41</f>
        <v>1e-12</v>
      </c>
      <c r="P71" s="317">
        <f ca="1">P41</f>
        <v>1e-12</v>
      </c>
      <c r="Q71" s="317">
        <f ca="1">Q41</f>
        <v>1e-12</v>
      </c>
      <c r="R71" s="317">
        <f ca="1">R41</f>
        <v>1e-12</v>
      </c>
      <c r="S71" s="317">
        <f ca="1">S41</f>
        <v>1e-12</v>
      </c>
      <c r="T71" s="287">
        <f ca="1">T41</f>
        <v>1e-12</v>
      </c>
      <c r="U71" s="317">
        <f ca="1">U41</f>
        <v>1e-12</v>
      </c>
      <c r="V71" s="317">
        <f ca="1">V41</f>
        <v>1e-12</v>
      </c>
      <c r="W71" s="317">
        <f ca="1">W41</f>
        <v>1e-12</v>
      </c>
      <c r="X71" s="286">
        <f ca="1">IF($C$25="Quarterly",W71*(1+X72),S71*(1+X72))</f>
        <v>1e-12</v>
      </c>
      <c r="Y71" s="287">
        <f ca="1">SUM(U71:X71)</f>
        <v>1e-12</v>
      </c>
      <c r="Z71" s="286">
        <f ca="1">IF($C$25="Quarterly",X71*(1+Z72),U71*(1+Z72))</f>
        <v>1e-12</v>
      </c>
      <c r="AA71" s="286">
        <f t="shared" ref="AA71:AC71" si="36" ca="1">IF($C$25="Quarterly",Z71*(1+AA72),V71*(1+AA72))</f>
        <v>1e-12</v>
      </c>
      <c r="AB71" s="286">
        <f ca="1">IF($C$25="Quarterly",AA71*(1+AB72),W71*(1+AB72))</f>
        <v>1e-12</v>
      </c>
      <c r="AC71" s="286">
        <f ca="1">IF($C$25="Quarterly",AB71*(1+AC72),X71*(1+AC72))</f>
        <v>1e-12</v>
      </c>
      <c r="AD71" s="287">
        <f ca="1">SUM(Z71:AC71)</f>
        <v>1e-12</v>
      </c>
      <c r="AE71" s="287">
        <f t="shared" ref="AE71:AG71" si="37" ca="1">AD71*(1+AE72)</f>
        <v>1e-12</v>
      </c>
      <c r="AF71" s="287">
        <f ca="1">AE71*(1+AF72)</f>
        <v>1e-12</v>
      </c>
      <c r="AG71" s="287">
        <f ca="1">AF71*(1+AG72)</f>
        <v>1e-12</v>
      </c>
      <c r="AH71" s="16"/>
      <c r="AI71" s="16"/>
      <c r="AJ71" s="16"/>
    </row>
    <row r="72" ht="12.75" customHeight="1" spans="1:36" x14ac:dyDescent="0.25">
      <c r="A72" s="16"/>
      <c r="B72" s="16"/>
      <c r="C72" s="120" t="str">
        <f ca="1">IF($C$25="Quarterly","% Growth QoQ","% Growth YoY")</f>
        <v>% Growth QoQ</v>
      </c>
      <c r="D72" s="16"/>
      <c r="E72" s="16"/>
      <c r="F72" s="319"/>
      <c r="G72" s="318" t="str">
        <f t="shared" ref="G72:W72" si="38" ca="1">G42</f>
        <v>N/A</v>
      </c>
      <c r="H72" s="318" t="str">
        <f ca="1">H42</f>
        <v>N/A</v>
      </c>
      <c r="I72" s="318" t="str">
        <f ca="1">I42</f>
        <v>N/A</v>
      </c>
      <c r="J72" s="306">
        <f ca="1">J42</f>
        <v>1e-12</v>
      </c>
      <c r="K72" s="318" t="str">
        <f ca="1">K42</f>
        <v>N/A</v>
      </c>
      <c r="L72" s="318" t="str">
        <f ca="1">L42</f>
        <v>N/A</v>
      </c>
      <c r="M72" s="318" t="str">
        <f ca="1">M42</f>
        <v>N/A</v>
      </c>
      <c r="N72" s="318" t="str">
        <f ca="1">N42</f>
        <v>N/A</v>
      </c>
      <c r="O72" s="306">
        <f ca="1">O42</f>
        <v>1e-12</v>
      </c>
      <c r="P72" s="318" t="str">
        <f ca="1">P42</f>
        <v>N/A</v>
      </c>
      <c r="Q72" s="318" t="str">
        <f ca="1">Q42</f>
        <v>N/A</v>
      </c>
      <c r="R72" s="318" t="str">
        <f ca="1">R42</f>
        <v>N/A</v>
      </c>
      <c r="S72" s="318" t="str">
        <f ca="1">S42</f>
        <v>N/A</v>
      </c>
      <c r="T72" s="306">
        <f ca="1">T42</f>
        <v>1e-12</v>
      </c>
      <c r="U72" s="318" t="str">
        <f ca="1">U42</f>
        <v>N/A</v>
      </c>
      <c r="V72" s="318" t="str">
        <f ca="1">V42</f>
        <v>N/A</v>
      </c>
      <c r="W72" s="318" t="str">
        <f ca="1">W42</f>
        <v>N/A</v>
      </c>
      <c r="X72" s="305">
        <f ca="1">IF(Case_Scenario="Bull",X73,IF(Case_Scenario="Base",X74,IF(Case_Scenario="bear",X75,"N/A")))</f>
        <v>0.05</v>
      </c>
      <c r="Y72" s="306"/>
      <c r="Z72" s="305">
        <f ca="1">IF(Case_Scenario="Bull",Z73,IF(Case_Scenario="Base",Z74,IF(Case_Scenario="bear",Z75,"N/A")))</f>
        <v>0.05</v>
      </c>
      <c r="AA72" s="305">
        <f ca="1">IF(Case_Scenario="Bull",AA73,IF(Case_Scenario="Base",AA74,IF(Case_Scenario="bear",AA75,"N/A")))</f>
        <v>0.05</v>
      </c>
      <c r="AB72" s="305">
        <f ca="1">IF(Case_Scenario="Bull",AB73,IF(Case_Scenario="Base",AB74,IF(Case_Scenario="bear",AB75,"N/A")))</f>
        <v>0.05</v>
      </c>
      <c r="AC72" s="305">
        <f ca="1">IF(Case_Scenario="Bull",AC73,IF(Case_Scenario="Base",AC74,IF(Case_Scenario="bear",AC75,"N/A")))</f>
        <v>0.05</v>
      </c>
      <c r="AD72" s="306"/>
      <c r="AE72" s="306">
        <f ca="1">IF(Case_Scenario="Bull",AE73,IF(Case_Scenario="Base",AE74,IF(Case_Scenario="bear",AE75,"N/A")))</f>
        <v>0.05</v>
      </c>
      <c r="AF72" s="306">
        <f ca="1">IF(Case_Scenario="Bull",AF73,IF(Case_Scenario="Base",AF74,IF(Case_Scenario="bear",AF75,"N/A")))</f>
        <v>0.05</v>
      </c>
      <c r="AG72" s="306">
        <f ca="1">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 ca="1">C44</f>
        <v>Segment 5 Revenue</v>
      </c>
      <c r="D77" s="16"/>
      <c r="E77" s="16"/>
      <c r="F77" s="317">
        <f t="shared" ref="F77:W77" si="39" ca="1">F44</f>
        <v>1e-12</v>
      </c>
      <c r="G77" s="317">
        <f ca="1">G44</f>
        <v>1e-12</v>
      </c>
      <c r="H77" s="317">
        <f ca="1">H44</f>
        <v>1e-12</v>
      </c>
      <c r="I77" s="317">
        <f ca="1">I44</f>
        <v>1e-12</v>
      </c>
      <c r="J77" s="287">
        <f ca="1">J44</f>
        <v>1e-12</v>
      </c>
      <c r="K77" s="317">
        <f ca="1">K44</f>
        <v>1e-12</v>
      </c>
      <c r="L77" s="317">
        <f ca="1">L44</f>
        <v>1e-12</v>
      </c>
      <c r="M77" s="317">
        <f ca="1">M44</f>
        <v>1e-12</v>
      </c>
      <c r="N77" s="317">
        <f ca="1">N44</f>
        <v>1e-12</v>
      </c>
      <c r="O77" s="287">
        <f ca="1">O44</f>
        <v>1e-12</v>
      </c>
      <c r="P77" s="317">
        <f ca="1">P44</f>
        <v>1e-12</v>
      </c>
      <c r="Q77" s="317">
        <f ca="1">Q44</f>
        <v>1e-12</v>
      </c>
      <c r="R77" s="317">
        <f ca="1">R44</f>
        <v>1e-12</v>
      </c>
      <c r="S77" s="317">
        <f ca="1">S44</f>
        <v>1e-12</v>
      </c>
      <c r="T77" s="287">
        <f ca="1">T44</f>
        <v>1e-12</v>
      </c>
      <c r="U77" s="317">
        <f ca="1">U44</f>
        <v>1e-12</v>
      </c>
      <c r="V77" s="317">
        <f ca="1">V44</f>
        <v>1e-12</v>
      </c>
      <c r="W77" s="317">
        <f ca="1">W44</f>
        <v>1e-12</v>
      </c>
      <c r="X77" s="286">
        <f ca="1">IF($C$25="Quarterly",W77*(1+X78),S77*(1+X78))</f>
        <v>1e-12</v>
      </c>
      <c r="Y77" s="287">
        <f ca="1">SUM(U77:X77)</f>
        <v>1e-12</v>
      </c>
      <c r="Z77" s="286">
        <f ca="1">IF($C$25="Quarterly",X77*(1+Z78),U77*(1+Z78))</f>
        <v>1e-12</v>
      </c>
      <c r="AA77" s="286">
        <f t="shared" ref="AA77:AC77" si="40" ca="1">IF($C$25="Quarterly",Z77*(1+AA78),V77*(1+AA78))</f>
        <v>1e-12</v>
      </c>
      <c r="AB77" s="286">
        <f ca="1">IF($C$25="Quarterly",AA77*(1+AB78),W77*(1+AB78))</f>
        <v>1e-12</v>
      </c>
      <c r="AC77" s="286">
        <f ca="1">IF($C$25="Quarterly",AB77*(1+AC78),X77*(1+AC78))</f>
        <v>1e-12</v>
      </c>
      <c r="AD77" s="287">
        <f ca="1">SUM(Z77:AC77)</f>
        <v>1e-12</v>
      </c>
      <c r="AE77" s="287">
        <f t="shared" ref="AE77:AG77" si="41" ca="1">AD77*(1+AE78)</f>
        <v>1e-12</v>
      </c>
      <c r="AF77" s="287">
        <f ca="1">AE77*(1+AF78)</f>
        <v>1e-12</v>
      </c>
      <c r="AG77" s="287">
        <f ca="1">AF77*(1+AG78)</f>
        <v>1e-12</v>
      </c>
      <c r="AH77" s="16"/>
      <c r="AI77" s="16"/>
      <c r="AJ77" s="16"/>
    </row>
    <row r="78" ht="12.75" customHeight="1" spans="1:36" x14ac:dyDescent="0.25">
      <c r="A78" s="16"/>
      <c r="B78" s="16"/>
      <c r="C78" s="120" t="str">
        <f ca="1">IF($C$25="Quarterly","% Growth QoQ","% Growth YoY")</f>
        <v>% Growth QoQ</v>
      </c>
      <c r="D78" s="16"/>
      <c r="E78" s="16"/>
      <c r="F78" s="319"/>
      <c r="G78" s="318" t="str">
        <f t="shared" ref="G78:W78" si="42" ca="1">G45</f>
        <v>N/A</v>
      </c>
      <c r="H78" s="318" t="str">
        <f ca="1">H45</f>
        <v>N/A</v>
      </c>
      <c r="I78" s="318" t="str">
        <f ca="1">I45</f>
        <v>N/A</v>
      </c>
      <c r="J78" s="306">
        <f ca="1">J45</f>
        <v>1e-12</v>
      </c>
      <c r="K78" s="318" t="str">
        <f ca="1">K45</f>
        <v>N/A</v>
      </c>
      <c r="L78" s="318" t="str">
        <f ca="1">L45</f>
        <v>N/A</v>
      </c>
      <c r="M78" s="318" t="str">
        <f ca="1">M45</f>
        <v>N/A</v>
      </c>
      <c r="N78" s="318" t="str">
        <f ca="1">N45</f>
        <v>N/A</v>
      </c>
      <c r="O78" s="306">
        <f ca="1">O45</f>
        <v>1e-12</v>
      </c>
      <c r="P78" s="318" t="str">
        <f ca="1">P45</f>
        <v>N/A</v>
      </c>
      <c r="Q78" s="318" t="str">
        <f ca="1">Q45</f>
        <v>N/A</v>
      </c>
      <c r="R78" s="318" t="str">
        <f ca="1">R45</f>
        <v>N/A</v>
      </c>
      <c r="S78" s="318" t="str">
        <f ca="1">S45</f>
        <v>N/A</v>
      </c>
      <c r="T78" s="306">
        <f ca="1">T45</f>
        <v>1e-12</v>
      </c>
      <c r="U78" s="318" t="str">
        <f ca="1">U45</f>
        <v>N/A</v>
      </c>
      <c r="V78" s="318" t="str">
        <f ca="1">V45</f>
        <v>N/A</v>
      </c>
      <c r="W78" s="318" t="str">
        <f ca="1">W45</f>
        <v>N/A</v>
      </c>
      <c r="X78" s="305">
        <f ca="1">IF(Case_Scenario="Bull",X79,IF(Case_Scenario="Base",X80,IF(Case_Scenario="bear",X81,"N/A")))</f>
        <v>0.05</v>
      </c>
      <c r="Y78" s="306"/>
      <c r="Z78" s="305">
        <f ca="1">IF(Case_Scenario="Bull",Z79,IF(Case_Scenario="Base",Z80,IF(Case_Scenario="bear",Z81,"N/A")))</f>
        <v>0.05</v>
      </c>
      <c r="AA78" s="305">
        <f ca="1">IF(Case_Scenario="Bull",AA79,IF(Case_Scenario="Base",AA80,IF(Case_Scenario="bear",AA81,"N/A")))</f>
        <v>0.05</v>
      </c>
      <c r="AB78" s="305">
        <f ca="1">IF(Case_Scenario="Bull",AB79,IF(Case_Scenario="Base",AB80,IF(Case_Scenario="bear",AB81,"N/A")))</f>
        <v>0.05</v>
      </c>
      <c r="AC78" s="305">
        <f ca="1">IF(Case_Scenario="Bull",AC79,IF(Case_Scenario="Base",AC80,IF(Case_Scenario="bear",AC81,"N/A")))</f>
        <v>0.05</v>
      </c>
      <c r="AD78" s="306"/>
      <c r="AE78" s="306">
        <f ca="1">IF(Case_Scenario="Bull",AE79,IF(Case_Scenario="Base",AE80,IF(Case_Scenario="bear",AE81,"N/A")))</f>
        <v>0.05</v>
      </c>
      <c r="AF78" s="306">
        <f ca="1">IF(Case_Scenario="Bull",AF79,IF(Case_Scenario="Base",AF80,IF(Case_Scenario="bear",AF81,"N/A")))</f>
        <v>0.05</v>
      </c>
      <c r="AG78" s="306">
        <f ca="1">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 ca="1">C47</f>
        <v>Segment 6 Revenue</v>
      </c>
      <c r="D83" s="16"/>
      <c r="E83" s="16"/>
      <c r="F83" s="317">
        <f t="shared" ref="F83:W83" si="43" ca="1">F47</f>
        <v>1e-12</v>
      </c>
      <c r="G83" s="317">
        <f ca="1">G47</f>
        <v>1e-12</v>
      </c>
      <c r="H83" s="317">
        <f ca="1">H47</f>
        <v>1e-12</v>
      </c>
      <c r="I83" s="317">
        <f ca="1">I47</f>
        <v>1e-12</v>
      </c>
      <c r="J83" s="287">
        <f ca="1">J47</f>
        <v>1e-12</v>
      </c>
      <c r="K83" s="317">
        <f ca="1">K47</f>
        <v>1e-12</v>
      </c>
      <c r="L83" s="317">
        <f ca="1">L47</f>
        <v>1e-12</v>
      </c>
      <c r="M83" s="317">
        <f ca="1">M47</f>
        <v>1e-12</v>
      </c>
      <c r="N83" s="317">
        <f ca="1">N47</f>
        <v>1e-12</v>
      </c>
      <c r="O83" s="287">
        <f ca="1">O47</f>
        <v>1e-12</v>
      </c>
      <c r="P83" s="317">
        <f ca="1">P47</f>
        <v>1e-12</v>
      </c>
      <c r="Q83" s="317">
        <f ca="1">Q47</f>
        <v>1e-12</v>
      </c>
      <c r="R83" s="317">
        <f ca="1">R47</f>
        <v>1e-12</v>
      </c>
      <c r="S83" s="317">
        <f ca="1">S47</f>
        <v>1e-12</v>
      </c>
      <c r="T83" s="287">
        <f ca="1">T47</f>
        <v>1e-12</v>
      </c>
      <c r="U83" s="317">
        <f ca="1">U47</f>
        <v>1e-12</v>
      </c>
      <c r="V83" s="317">
        <f ca="1">V47</f>
        <v>1e-12</v>
      </c>
      <c r="W83" s="317">
        <f ca="1">W47</f>
        <v>1e-12</v>
      </c>
      <c r="X83" s="286">
        <f ca="1">IF($C$25="Quarterly",W83*(1+X84),S83*(1+X84))</f>
        <v>1e-12</v>
      </c>
      <c r="Y83" s="287">
        <f ca="1">SUM(U83:X83)</f>
        <v>1e-12</v>
      </c>
      <c r="Z83" s="286">
        <f ca="1">IF($C$25="Quarterly",X83*(1+Z84),U83*(1+Z84))</f>
        <v>1e-12</v>
      </c>
      <c r="AA83" s="286">
        <f t="shared" ref="AA83:AC83" si="44" ca="1">IF($C$25="Quarterly",Z83*(1+AA84),V83*(1+AA84))</f>
        <v>1e-12</v>
      </c>
      <c r="AB83" s="286">
        <f ca="1">IF($C$25="Quarterly",AA83*(1+AB84),W83*(1+AB84))</f>
        <v>1e-12</v>
      </c>
      <c r="AC83" s="286">
        <f ca="1">IF($C$25="Quarterly",AB83*(1+AC84),X83*(1+AC84))</f>
        <v>1e-12</v>
      </c>
      <c r="AD83" s="287">
        <f ca="1">SUM(Z83:AC83)</f>
        <v>1e-12</v>
      </c>
      <c r="AE83" s="287">
        <f t="shared" ref="AE83:AG83" si="45" ca="1">AD83*(1+AE84)</f>
        <v>1e-12</v>
      </c>
      <c r="AF83" s="287">
        <f ca="1">AE83*(1+AF84)</f>
        <v>1e-12</v>
      </c>
      <c r="AG83" s="287">
        <f ca="1">AF83*(1+AG84)</f>
        <v>1e-12</v>
      </c>
      <c r="AH83" s="16"/>
      <c r="AI83" s="16"/>
      <c r="AJ83" s="16"/>
    </row>
    <row r="84" ht="12.75" customHeight="1" spans="1:36" x14ac:dyDescent="0.25">
      <c r="A84" s="16"/>
      <c r="B84" s="16"/>
      <c r="C84" s="120" t="str">
        <f ca="1">IF($C$25="Quarterly","% Growth QoQ","% Growth YoY")</f>
        <v>% Growth QoQ</v>
      </c>
      <c r="D84" s="16"/>
      <c r="E84" s="16"/>
      <c r="F84" s="319"/>
      <c r="G84" s="318" t="str">
        <f t="shared" ref="G84:W84" si="46" ca="1">G48</f>
        <v>N/A</v>
      </c>
      <c r="H84" s="318" t="str">
        <f ca="1">H48</f>
        <v>N/A</v>
      </c>
      <c r="I84" s="318" t="str">
        <f ca="1">I48</f>
        <v>N/A</v>
      </c>
      <c r="J84" s="306">
        <f ca="1">J48</f>
        <v>1e-12</v>
      </c>
      <c r="K84" s="318" t="str">
        <f ca="1">K48</f>
        <v>N/A</v>
      </c>
      <c r="L84" s="318" t="str">
        <f ca="1">L48</f>
        <v>N/A</v>
      </c>
      <c r="M84" s="318" t="str">
        <f ca="1">M48</f>
        <v>N/A</v>
      </c>
      <c r="N84" s="318" t="str">
        <f ca="1">N48</f>
        <v>N/A</v>
      </c>
      <c r="O84" s="306">
        <f ca="1">O48</f>
        <v>1e-12</v>
      </c>
      <c r="P84" s="318" t="str">
        <f ca="1">P48</f>
        <v>N/A</v>
      </c>
      <c r="Q84" s="318" t="str">
        <f ca="1">Q48</f>
        <v>N/A</v>
      </c>
      <c r="R84" s="318" t="str">
        <f ca="1">R48</f>
        <v>N/A</v>
      </c>
      <c r="S84" s="318" t="str">
        <f ca="1">S48</f>
        <v>N/A</v>
      </c>
      <c r="T84" s="306">
        <f ca="1">T48</f>
        <v>1e-12</v>
      </c>
      <c r="U84" s="318" t="str">
        <f ca="1">U48</f>
        <v>N/A</v>
      </c>
      <c r="V84" s="318" t="str">
        <f ca="1">V48</f>
        <v>N/A</v>
      </c>
      <c r="W84" s="318" t="str">
        <f ca="1">W48</f>
        <v>N/A</v>
      </c>
      <c r="X84" s="305">
        <f ca="1">IF(Case_Scenario="Bull",X85,IF(Case_Scenario="Base",X86,IF(Case_Scenario="bear",X87,"N/A")))</f>
        <v>0</v>
      </c>
      <c r="Y84" s="306"/>
      <c r="Z84" s="305">
        <f ca="1">IF(Case_Scenario="Bull",Z85,IF(Case_Scenario="Base",Z86,IF(Case_Scenario="bear",Z87,"N/A")))</f>
        <v>0</v>
      </c>
      <c r="AA84" s="305">
        <f ca="1">IF(Case_Scenario="Bull",AA85,IF(Case_Scenario="Base",AA86,IF(Case_Scenario="bear",AA87,"N/A")))</f>
        <v>0</v>
      </c>
      <c r="AB84" s="305">
        <f ca="1">IF(Case_Scenario="Bull",AB85,IF(Case_Scenario="Base",AB86,IF(Case_Scenario="bear",AB87,"N/A")))</f>
        <v>0</v>
      </c>
      <c r="AC84" s="305">
        <f ca="1">IF(Case_Scenario="Bull",AC85,IF(Case_Scenario="Base",AC86,IF(Case_Scenario="bear",AC87,"N/A")))</f>
        <v>0</v>
      </c>
      <c r="AD84" s="306"/>
      <c r="AE84" s="306">
        <f ca="1">IF(Case_Scenario="Bull",AE85,IF(Case_Scenario="Base",AE86,IF(Case_Scenario="bear",AE87,"N/A")))</f>
        <v>0</v>
      </c>
      <c r="AF84" s="306">
        <f ca="1">IF(Case_Scenario="Bull",AF85,IF(Case_Scenario="Base",AF86,IF(Case_Scenario="bear",AF87,"N/A")))</f>
        <v>0</v>
      </c>
      <c r="AG84" s="306">
        <f ca="1">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 ca="1">W85</f>
        <v>1e-12</v>
      </c>
      <c r="Y85" s="321"/>
      <c r="Z85" s="320">
        <f t="shared" ref="Z85:Z87" si="48" ca="1">X85</f>
        <v>1e-12</v>
      </c>
      <c r="AA85" s="320">
        <f t="shared" ref="AA85:AC85" si="49" ca="1">Z85</f>
        <v>1e-12</v>
      </c>
      <c r="AB85" s="320">
        <f ca="1">AA85</f>
        <v>1e-12</v>
      </c>
      <c r="AC85" s="320">
        <f ca="1">AB85</f>
        <v>1e-12</v>
      </c>
      <c r="AD85" s="321"/>
      <c r="AE85" s="321">
        <f t="shared" ref="AE85:AE87" si="50" ca="1">AC85</f>
        <v>1e-12</v>
      </c>
      <c r="AF85" s="321">
        <f t="shared" ref="AF85:AG85" si="51" ca="1">AE85</f>
        <v>1e-12</v>
      </c>
      <c r="AG85" s="321">
        <f ca="1">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 ca="1">W86</f>
        <v>1e-12</v>
      </c>
      <c r="Y86" s="321"/>
      <c r="Z86" s="320">
        <f ca="1">X86</f>
        <v>1e-12</v>
      </c>
      <c r="AA86" s="320">
        <f t="shared" ref="AA86:AC86" si="52" ca="1">Z86</f>
        <v>1e-12</v>
      </c>
      <c r="AB86" s="320">
        <f ca="1">AA86</f>
        <v>1e-12</v>
      </c>
      <c r="AC86" s="320">
        <f ca="1">AB86</f>
        <v>1e-12</v>
      </c>
      <c r="AD86" s="321"/>
      <c r="AE86" s="321">
        <f ca="1">AC86</f>
        <v>1e-12</v>
      </c>
      <c r="AF86" s="321">
        <f t="shared" ref="AF86:AG86" si="53" ca="1">AE86</f>
        <v>1e-12</v>
      </c>
      <c r="AG86" s="321">
        <f ca="1">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 ca="1">W87</f>
        <v>1e-12</v>
      </c>
      <c r="Y87" s="321"/>
      <c r="Z87" s="320">
        <f ca="1">X87</f>
        <v>1e-12</v>
      </c>
      <c r="AA87" s="320">
        <f t="shared" ref="AA87:AC87" si="54" ca="1">Z87</f>
        <v>1e-12</v>
      </c>
      <c r="AB87" s="320">
        <f ca="1">AA87</f>
        <v>1e-12</v>
      </c>
      <c r="AC87" s="320">
        <f ca="1">AB87</f>
        <v>1e-12</v>
      </c>
      <c r="AD87" s="321"/>
      <c r="AE87" s="321">
        <f ca="1">AC87</f>
        <v>1e-12</v>
      </c>
      <c r="AF87" s="321">
        <f t="shared" ref="AF87:AG87" si="55" ca="1">AE87</f>
        <v>1e-12</v>
      </c>
      <c r="AG87" s="321">
        <f ca="1">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 ca="1">F$28</f>
        <v>1Q23</v>
      </c>
      <c r="G89" s="313" t="str">
        <f ca="1">G$28</f>
        <v>2Q23</v>
      </c>
      <c r="H89" s="313" t="str">
        <f ca="1">H$28</f>
        <v>3Q23</v>
      </c>
      <c r="I89" s="313" t="str">
        <f ca="1">I$28</f>
        <v>4Q23</v>
      </c>
      <c r="J89" s="313">
        <f ca="1">J$28</f>
        <v>2023</v>
      </c>
      <c r="K89" s="313" t="str">
        <f ca="1">K$28</f>
        <v>1Q24</v>
      </c>
      <c r="L89" s="313" t="str">
        <f ca="1">L$28</f>
        <v>2Q24</v>
      </c>
      <c r="M89" s="313" t="str">
        <f ca="1">M$28</f>
        <v>3Q24</v>
      </c>
      <c r="N89" s="313" t="str">
        <f ca="1">N$28</f>
        <v>4Q24</v>
      </c>
      <c r="O89" s="313">
        <f ca="1">O$28</f>
        <v>2024</v>
      </c>
      <c r="P89" s="313" t="str">
        <f ca="1">P$28</f>
        <v>1Q25</v>
      </c>
      <c r="Q89" s="313" t="str">
        <f ca="1">Q$28</f>
        <v>2Q25</v>
      </c>
      <c r="R89" s="313" t="str">
        <f ca="1">R$28</f>
        <v>3Q25</v>
      </c>
      <c r="S89" s="313" t="str">
        <f ca="1">S$28</f>
        <v>4Q25</v>
      </c>
      <c r="T89" s="313">
        <f ca="1">T$28</f>
        <v>2025</v>
      </c>
      <c r="U89" s="313" t="str">
        <f ca="1">U$28</f>
        <v>1Q26</v>
      </c>
      <c r="V89" s="313" t="str">
        <f ca="1">V$28</f>
        <v>2Q26</v>
      </c>
      <c r="W89" s="313" t="str">
        <f ca="1">W$28</f>
        <v>3Q26e</v>
      </c>
      <c r="X89" s="313" t="str">
        <f ca="1">X$28</f>
        <v>4Q26e</v>
      </c>
      <c r="Y89" s="313" t="str">
        <f ca="1">Y$28</f>
        <v>2026e</v>
      </c>
      <c r="Z89" s="313" t="str">
        <f ca="1">Z$28</f>
        <v>1Q27e</v>
      </c>
      <c r="AA89" s="313" t="str">
        <f ca="1">AA$28</f>
        <v>2Q27e</v>
      </c>
      <c r="AB89" s="313" t="str">
        <f ca="1">AB$28</f>
        <v>3Q27e</v>
      </c>
      <c r="AC89" s="313" t="str">
        <f ca="1">AC$28</f>
        <v>4Q27e</v>
      </c>
      <c r="AD89" s="313" t="str">
        <f ca="1">AD$28</f>
        <v>2027e</v>
      </c>
      <c r="AE89" s="313" t="str">
        <f ca="1">AE$28</f>
        <v>2028e</v>
      </c>
      <c r="AF89" s="313" t="str">
        <f ca="1">AF$28</f>
        <v>2029e</v>
      </c>
      <c r="AG89" s="314" t="str">
        <f ca="1">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 ca="1">C32</f>
        <v>Home Improvement Retail Revenue</v>
      </c>
      <c r="D91" s="16"/>
      <c r="E91" s="168"/>
      <c r="F91" s="317">
        <f t="shared" ref="F91:W91" si="57" ca="1">F32</f>
        <v>17360</v>
      </c>
      <c r="G91" s="317">
        <f ca="1">G32</f>
        <v>20888</v>
      </c>
      <c r="H91" s="317">
        <f ca="1">H32</f>
        <v>17415</v>
      </c>
      <c r="I91" s="317">
        <f ca="1">I32</f>
        <v>15646</v>
      </c>
      <c r="J91" s="287">
        <f ca="1">J32</f>
        <v>71309</v>
      </c>
      <c r="K91" s="317">
        <f ca="1">K32</f>
        <v>17741</v>
      </c>
      <c r="L91" s="317">
        <f ca="1">L32</f>
        <v>20992</v>
      </c>
      <c r="M91" s="317">
        <f ca="1">M32</f>
        <v>17388</v>
      </c>
      <c r="N91" s="317">
        <f ca="1">N32</f>
        <v>16027</v>
      </c>
      <c r="O91" s="287">
        <f ca="1">O32</f>
        <v>72148</v>
      </c>
      <c r="P91" s="317">
        <f ca="1">P32</f>
        <v>19675</v>
      </c>
      <c r="Q91" s="317">
        <f ca="1">Q32</f>
        <v>27302</v>
      </c>
      <c r="R91" s="317">
        <f ca="1">R32</f>
        <v>22309</v>
      </c>
      <c r="S91" s="317">
        <f ca="1">S32</f>
        <v>20311</v>
      </c>
      <c r="T91" s="287">
        <f ca="1">T32</f>
        <v>89597</v>
      </c>
      <c r="U91" s="317">
        <f ca="1">U32</f>
        <v>24422</v>
      </c>
      <c r="V91" s="317">
        <f ca="1">V32</f>
        <v>27570</v>
      </c>
      <c r="W91" s="317">
        <f ca="1">W32</f>
        <v>22918</v>
      </c>
      <c r="X91" s="286">
        <f ca="1">X92*X97</f>
        <v>25267.095</v>
      </c>
      <c r="Y91" s="287">
        <f t="shared" ref="Y91:Y92" si="58" ca="1">SUM(U91:X91)</f>
        <v>100177.095</v>
      </c>
      <c r="Z91" s="286">
        <f t="shared" ref="Z91:AC91" si="59" ca="1">Z92*Z97</f>
        <v>27856.972237500006</v>
      </c>
      <c r="AA91" s="286">
        <f ca="1">AA92*AA97</f>
        <v>30712.311891843754</v>
      </c>
      <c r="AB91" s="286">
        <f ca="1">AB92*AB97</f>
        <v>33860.323860757744</v>
      </c>
      <c r="AC91" s="286">
        <f ca="1">AC92*AC97</f>
        <v>37331.00705648542</v>
      </c>
      <c r="AD91" s="287">
        <f t="shared" ref="AD91:AD92" si="60" ca="1">SUM(Z91:AC91)</f>
        <v>129760.61504658693</v>
      </c>
      <c r="AE91" s="287">
        <f t="shared" ref="AE91:AG91" si="61" ca="1">AE92*AE97</f>
        <v>143061.0780888621</v>
      </c>
      <c r="AF91" s="287">
        <f ca="1">AF92*AF97</f>
        <v>157724.83859297048</v>
      </c>
      <c r="AG91" s="287">
        <f ca="1">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 ca="1">SUM(F92:I92)</f>
        <v>880</v>
      </c>
      <c r="K92" s="325">
        <v>220</v>
      </c>
      <c r="L92" s="325">
        <v>220</v>
      </c>
      <c r="M92" s="325">
        <v>220</v>
      </c>
      <c r="N92" s="325">
        <v>220</v>
      </c>
      <c r="O92" s="326">
        <f ca="1">SUM(K92:N92)</f>
        <v>880</v>
      </c>
      <c r="P92" s="325">
        <v>220</v>
      </c>
      <c r="Q92" s="325">
        <v>220</v>
      </c>
      <c r="R92" s="325">
        <v>220</v>
      </c>
      <c r="S92" s="325">
        <v>220</v>
      </c>
      <c r="T92" s="326">
        <f ca="1">SUM(P92:S92)</f>
        <v>880</v>
      </c>
      <c r="U92" s="325">
        <v>220</v>
      </c>
      <c r="V92" s="325">
        <v>220</v>
      </c>
      <c r="W92" s="325">
        <v>220</v>
      </c>
      <c r="X92" s="327">
        <f ca="1">W92*(1+X93)</f>
        <v>231</v>
      </c>
      <c r="Y92" s="326">
        <f ca="1">SUM(U92:X92)</f>
        <v>891</v>
      </c>
      <c r="Z92" s="327">
        <f ca="1">X92*(1+Z93)</f>
        <v>242.55</v>
      </c>
      <c r="AA92" s="327">
        <f t="shared" ref="AA92:AC92" si="62" ca="1">Z92*(1+AA93)</f>
        <v>254.6775</v>
      </c>
      <c r="AB92" s="327">
        <f ca="1">AA92*(1+AB93)</f>
        <v>267.411375</v>
      </c>
      <c r="AC92" s="327">
        <f ca="1">AB92*(1+AC93)</f>
        <v>280.78194375000004</v>
      </c>
      <c r="AD92" s="326">
        <f ca="1">SUM(Z92:AC92)</f>
        <v>1045.42081875</v>
      </c>
      <c r="AE92" s="326">
        <f t="shared" ref="AE92:AG92" si="63" ca="1">AD92*(1+AE93)</f>
        <v>1097.6918596875</v>
      </c>
      <c r="AF92" s="326">
        <f ca="1">AE92*(1+AF93)</f>
        <v>1152.5764526718751</v>
      </c>
      <c r="AG92" s="326">
        <f ca="1">AF92*(1+AG93)</f>
        <v>1210.2052753054688</v>
      </c>
      <c r="AH92" s="16"/>
      <c r="AI92" s="16"/>
      <c r="AJ92" s="16"/>
    </row>
    <row r="93" ht="12.75" customHeight="1" hidden="1" spans="1:36" x14ac:dyDescent="0.25" outlineLevel="1" collapsed="1">
      <c r="A93" s="16"/>
      <c r="B93" s="16"/>
      <c r="C93" s="120" t="s">
        <v>256</v>
      </c>
      <c r="D93" s="16"/>
      <c r="E93" s="168"/>
      <c r="F93" s="319"/>
      <c r="G93" s="318">
        <f t="shared" ref="G93:I93" si="64" ca="1">IFERROR(G92/F92-1,"--")</f>
        <v>0</v>
      </c>
      <c r="H93" s="318">
        <f ca="1">IFERROR(H92/G92-1,"--")</f>
      </c>
      <c r="I93" s="318">
        <f ca="1">IFERROR(I92/H92-1,"--")</f>
      </c>
      <c r="J93" s="168"/>
      <c r="K93" s="318">
        <f ca="1">IFERROR(K92/I92-1,"--")</f>
        <v>0</v>
      </c>
      <c r="L93" s="318">
        <f t="shared" ref="L93:N93" si="65" ca="1">IFERROR(L92/K92-1,"--")</f>
        <v>0</v>
      </c>
      <c r="M93" s="318">
        <f ca="1">IFERROR(M92/L92-1,"--")</f>
      </c>
      <c r="N93" s="318">
        <f ca="1">IFERROR(N92/M92-1,"--")</f>
      </c>
      <c r="O93" s="306">
        <f ca="1">IFERROR(O92/J92-1,"--")</f>
        <v>0</v>
      </c>
      <c r="P93" s="318">
        <f ca="1">IFERROR(P92/N92-1,"--")</f>
        <v>0</v>
      </c>
      <c r="Q93" s="318">
        <f t="shared" ref="Q93:S93" si="66" ca="1">IFERROR(Q92/P92-1,"--")</f>
        <v>0</v>
      </c>
      <c r="R93" s="318">
        <f ca="1">IFERROR(R92/Q92-1,"--")</f>
      </c>
      <c r="S93" s="318">
        <f ca="1">IFERROR(S92/R92-1,"--")</f>
      </c>
      <c r="T93" s="306">
        <f ca="1">IFERROR(T92/O92-1,"--")</f>
        <v>0</v>
      </c>
      <c r="U93" s="318">
        <f ca="1">IFERROR(U92/S92-1,"--")</f>
        <v>0</v>
      </c>
      <c r="V93" s="318">
        <f t="shared" ref="V93:W93" si="67" ca="1">IFERROR(V92/U92-1,"--")</f>
        <v>0</v>
      </c>
      <c r="W93" s="318">
        <f ca="1">IFERROR(W92/V92-1,"--")</f>
      </c>
      <c r="X93" s="305">
        <f ca="1">IF(Case_Scenario="Bull",X94,IF(Case_Scenario="Base",X95,IF(Case_Scenario="bear",X96,"N/A")))</f>
        <v>0.05</v>
      </c>
      <c r="Y93" s="306"/>
      <c r="Z93" s="305">
        <f ca="1">IF(Case_Scenario="Bull",Z94,IF(Case_Scenario="Base",Z95,IF(Case_Scenario="bear",Z96,"N/A")))</f>
        <v>0.05</v>
      </c>
      <c r="AA93" s="305">
        <f ca="1">IF(Case_Scenario="Bull",AA94,IF(Case_Scenario="Base",AA95,IF(Case_Scenario="bear",AA96,"N/A")))</f>
        <v>0.05</v>
      </c>
      <c r="AB93" s="305">
        <f ca="1">IF(Case_Scenario="Bull",AB94,IF(Case_Scenario="Base",AB95,IF(Case_Scenario="bear",AB96,"N/A")))</f>
        <v>0.05</v>
      </c>
      <c r="AC93" s="305">
        <f ca="1">IF(Case_Scenario="Bull",AC94,IF(Case_Scenario="Base",AC95,IF(Case_Scenario="bear",AC96,"N/A")))</f>
        <v>0.05</v>
      </c>
      <c r="AD93" s="306"/>
      <c r="AE93" s="306">
        <f ca="1">IF(Case_Scenario="Bull",AE94,IF(Case_Scenario="Base",AE95,IF(Case_Scenario="bear",AE96,"N/A")))</f>
        <v>0.05</v>
      </c>
      <c r="AF93" s="306">
        <f ca="1">IF(Case_Scenario="Bull",AF94,IF(Case_Scenario="Base",AF95,IF(Case_Scenario="bear",AF96,"N/A")))</f>
        <v>0.05</v>
      </c>
      <c r="AG93" s="306">
        <f ca="1">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 ca="1">IFERROR(F91/F92,"--")</f>
        <v>78.9090909090909</v>
      </c>
      <c r="G97" s="317">
        <f ca="1">IFERROR(G91/G92,"--")</f>
        <v>94.94545454545455</v>
      </c>
      <c r="H97" s="317">
        <f ca="1">IFERROR(H91/H92,"--")</f>
        <v>79.1590909090909</v>
      </c>
      <c r="I97" s="317">
        <f ca="1">IFERROR(I91/I92,"--")</f>
        <v>71.11818181818182</v>
      </c>
      <c r="J97" s="287">
        <f ca="1">IFERROR(J91/J92,"--")</f>
        <v>81.03295454545454</v>
      </c>
      <c r="K97" s="317">
        <f ca="1">IFERROR(K91/K92,"--")</f>
        <v>80.64090909090909</v>
      </c>
      <c r="L97" s="317">
        <f ca="1">IFERROR(L91/L92,"--")</f>
        <v>95.41818181818182</v>
      </c>
      <c r="M97" s="317">
        <f ca="1">IFERROR(M91/M92,"--")</f>
        <v>79.03636363636363</v>
      </c>
      <c r="N97" s="317">
        <f ca="1">IFERROR(N91/N92,"--")</f>
        <v>72.85</v>
      </c>
      <c r="O97" s="287">
        <f ca="1">IFERROR(O91/O92,"--")</f>
        <v>81.98636363636363</v>
      </c>
      <c r="P97" s="317">
        <f ca="1">IFERROR(P91/P92,"--")</f>
        <v>89.43181818181819</v>
      </c>
      <c r="Q97" s="317">
        <f ca="1">IFERROR(Q91/Q92,"--")</f>
        <v>124.1</v>
      </c>
      <c r="R97" s="317">
        <f ca="1">IFERROR(R91/R92,"--")</f>
        <v>101.40454545454546</v>
      </c>
      <c r="S97" s="317">
        <f ca="1">IFERROR(S91/S92,"--")</f>
        <v>92.32272727272728</v>
      </c>
      <c r="T97" s="287">
        <f ca="1">IFERROR(T91/T92,"--")</f>
        <v>101.81477272727273</v>
      </c>
      <c r="U97" s="317">
        <f ca="1">IFERROR(U91/U92,"--")</f>
        <v>111.00909090909092</v>
      </c>
      <c r="V97" s="317">
        <f ca="1">IFERROR(V91/V92,"--")</f>
        <v>125.31818181818181</v>
      </c>
      <c r="W97" s="317">
        <f ca="1">IFERROR(W91/W92,"--")</f>
        <v>104.17272727272727</v>
      </c>
      <c r="X97" s="286">
        <f ca="1">W97*(1+X98)</f>
        <v>109.38136363636364</v>
      </c>
      <c r="Y97" s="287">
        <f ca="1">Y91/Y92</f>
        <v>112.43220538720539</v>
      </c>
      <c r="Z97" s="286">
        <f ca="1">X97*(1+Z98)</f>
        <v>114.85043181818183</v>
      </c>
      <c r="AA97" s="286">
        <f t="shared" ref="AA97:AC97" si="69" ca="1">Z97*(1+AA98)</f>
        <v>120.59295340909092</v>
      </c>
      <c r="AB97" s="286">
        <f ca="1">AA97*(1+AB98)</f>
        <v>126.62260107954548</v>
      </c>
      <c r="AC97" s="286">
        <f ca="1">AB97*(1+AC98)</f>
        <v>132.95373113352275</v>
      </c>
      <c r="AD97" s="287">
        <f ca="1">AD91/AD92</f>
        <v>124.12285341872231</v>
      </c>
      <c r="AE97" s="287">
        <f t="shared" ref="AE97:AG97" si="70" ca="1">AD97*(1+AE98)</f>
        <v>130.32899608965843</v>
      </c>
      <c r="AF97" s="287">
        <f ca="1">AE97*(1+AF98)</f>
        <v>136.84544589414136</v>
      </c>
      <c r="AG97" s="287">
        <f ca="1">AF97*(1+AG98)</f>
        <v>143.68771818884844</v>
      </c>
      <c r="AH97" s="16"/>
      <c r="AI97" s="16"/>
      <c r="AJ97" s="16"/>
    </row>
    <row r="98" ht="12.75" customHeight="1" hidden="1" spans="1:36" x14ac:dyDescent="0.25" outlineLevel="1" collapsed="1">
      <c r="A98" s="16"/>
      <c r="B98" s="16"/>
      <c r="C98" s="120" t="s">
        <v>257</v>
      </c>
      <c r="D98" s="16"/>
      <c r="E98" s="168"/>
      <c r="F98" s="319"/>
      <c r="G98" s="318">
        <f t="shared" ref="G98:I98" si="71" ca="1">IFERROR(G97/F97-1,"--")</f>
        <v>0.20322580645161303</v>
      </c>
      <c r="H98" s="318">
        <f ca="1">IFERROR(H97/G97-1,"--")</f>
        <v>-0.16626771351972436</v>
      </c>
      <c r="I98" s="318">
        <f ca="1">IFERROR(I97/H97-1,"--")</f>
        <v>-0.10157909847832314</v>
      </c>
      <c r="J98" s="168"/>
      <c r="K98" s="318">
        <f ca="1">IFERROR(K97/I97-1,"--")</f>
        <v>0.13390003834845965</v>
      </c>
      <c r="L98" s="318">
        <f t="shared" ref="L98:N98" si="72" ca="1">IFERROR(L97/K97-1,"--")</f>
        <v>0.18324784397722804</v>
      </c>
      <c r="M98" s="318">
        <f ca="1">IFERROR(M97/L97-1,"--")</f>
        <v>-0.17168445121951226</v>
      </c>
      <c r="N98" s="318">
        <f ca="1">IFERROR(N97/M97-1,"--")</f>
        <v>-0.07827237175063262</v>
      </c>
      <c r="O98" s="306">
        <f ca="1">IFERROR(O97/J97-1,"--")</f>
        <v>0.01176569577472697</v>
      </c>
      <c r="P98" s="318">
        <f ca="1">IFERROR(P97/N97-1,"--")</f>
        <v>0.22761589817183525</v>
      </c>
      <c r="Q98" s="318">
        <f t="shared" ref="Q98:S98" si="73" ca="1">IFERROR(Q97/P97-1,"--")</f>
        <v>0.3876493011435831</v>
      </c>
      <c r="R98" s="318">
        <f ca="1">IFERROR(R97/Q97-1,"--")</f>
        <v>-0.18288037506409782</v>
      </c>
      <c r="S98" s="318">
        <f ca="1">IFERROR(S97/R97-1,"--")</f>
        <v>-0.0895602671567528</v>
      </c>
      <c r="T98" s="306">
        <f ca="1">IFERROR(T97/O97-1,"--")</f>
        <v>0.2418500859344681</v>
      </c>
      <c r="U98" s="318">
        <f ca="1">IFERROR(U97/S97-1,"--")</f>
        <v>0.20240263896410804</v>
      </c>
      <c r="V98" s="318">
        <f t="shared" ref="V98:W98" si="74" ca="1">IFERROR(V97/U97-1,"--")</f>
        <v>0.12890017197608694</v>
      </c>
      <c r="W98" s="318">
        <f ca="1">IFERROR(W97/V97-1,"--")</f>
        <v>-0.16873413130214</v>
      </c>
      <c r="X98" s="305">
        <f ca="1">IF(Case_Scenario="Bull",X99,IF(Case_Scenario="Base",X100,IF(Case_Scenario="bear",X101,"N/A")))</f>
        <v>0.05</v>
      </c>
      <c r="Y98" s="306"/>
      <c r="Z98" s="305">
        <f ca="1">IF(Case_Scenario="Bull",Z99,IF(Case_Scenario="Base",Z100,IF(Case_Scenario="bear",Z101,"N/A")))</f>
        <v>0.05</v>
      </c>
      <c r="AA98" s="305">
        <f ca="1">IF(Case_Scenario="Bull",AA99,IF(Case_Scenario="Base",AA100,IF(Case_Scenario="bear",AA101,"N/A")))</f>
        <v>0.05</v>
      </c>
      <c r="AB98" s="305">
        <f ca="1">IF(Case_Scenario="Bull",AB99,IF(Case_Scenario="Base",AB100,IF(Case_Scenario="bear",AB101,"N/A")))</f>
        <v>0.05</v>
      </c>
      <c r="AC98" s="305">
        <f ca="1">IF(Case_Scenario="Bull",AC99,IF(Case_Scenario="Base",AC100,IF(Case_Scenario="bear",AC101,"N/A")))</f>
        <v>0.05</v>
      </c>
      <c r="AD98" s="306"/>
      <c r="AE98" s="306">
        <f ca="1">IF(Case_Scenario="Bull",AE99,IF(Case_Scenario="Base",AE100,IF(Case_Scenario="bear",AE101,"N/A")))</f>
        <v>0.05</v>
      </c>
      <c r="AF98" s="306">
        <f ca="1">IF(Case_Scenario="Bull",AF99,IF(Case_Scenario="Base",AF100,IF(Case_Scenario="bear",AF101,"N/A")))</f>
        <v>0.05</v>
      </c>
      <c r="AG98" s="306">
        <f ca="1">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 ca="1">C35</f>
        <v>Segment 2 Revenue</v>
      </c>
      <c r="D103" s="16"/>
      <c r="E103" s="168"/>
      <c r="F103" s="317">
        <f t="shared" ref="F103:W103" si="75" ca="1">F35</f>
        <v>1e-12</v>
      </c>
      <c r="G103" s="317">
        <f ca="1">G35</f>
        <v>1e-12</v>
      </c>
      <c r="H103" s="317">
        <f ca="1">H35</f>
        <v>1e-12</v>
      </c>
      <c r="I103" s="317">
        <f ca="1">I35</f>
        <v>1e-12</v>
      </c>
      <c r="J103" s="287">
        <f ca="1">J35</f>
        <v>1e-12</v>
      </c>
      <c r="K103" s="317">
        <f ca="1">K35</f>
        <v>1e-12</v>
      </c>
      <c r="L103" s="317">
        <f ca="1">L35</f>
        <v>1e-12</v>
      </c>
      <c r="M103" s="317">
        <f ca="1">M35</f>
        <v>1e-12</v>
      </c>
      <c r="N103" s="317">
        <f ca="1">N35</f>
        <v>1e-12</v>
      </c>
      <c r="O103" s="287">
        <f ca="1">O35</f>
        <v>1e-12</v>
      </c>
      <c r="P103" s="317">
        <f ca="1">P35</f>
        <v>1e-12</v>
      </c>
      <c r="Q103" s="317">
        <f ca="1">Q35</f>
        <v>1e-12</v>
      </c>
      <c r="R103" s="317">
        <f ca="1">R35</f>
        <v>1e-12</v>
      </c>
      <c r="S103" s="317">
        <f ca="1">S35</f>
        <v>1e-12</v>
      </c>
      <c r="T103" s="287">
        <f ca="1">T35</f>
        <v>1e-12</v>
      </c>
      <c r="U103" s="317">
        <f ca="1">U35</f>
        <v>1e-12</v>
      </c>
      <c r="V103" s="317">
        <f ca="1">V35</f>
        <v>1e-12</v>
      </c>
      <c r="W103" s="317">
        <f ca="1">W35</f>
        <v>1e-12</v>
      </c>
      <c r="X103" s="286">
        <f ca="1">X104*X109</f>
        <v>1e-12</v>
      </c>
      <c r="Y103" s="287">
        <f t="shared" ref="Y103:Y104" si="76" ca="1">SUM(U103:X103)</f>
        <v>1e-12</v>
      </c>
      <c r="Z103" s="286">
        <f t="shared" ref="Z103:AC103" si="77" ca="1">Z104*Z109</f>
        <v>1e-12</v>
      </c>
      <c r="AA103" s="286">
        <f ca="1">AA104*AA109</f>
        <v>1e-12</v>
      </c>
      <c r="AB103" s="286">
        <f ca="1">AB104*AB109</f>
        <v>1e-12</v>
      </c>
      <c r="AC103" s="286">
        <f ca="1">AC104*AC109</f>
        <v>1e-12</v>
      </c>
      <c r="AD103" s="287">
        <f t="shared" ref="AD103:AD104" si="78" ca="1">SUM(Z103:AC103)</f>
        <v>1e-12</v>
      </c>
      <c r="AE103" s="287">
        <f t="shared" ref="AE103:AG103" si="79" ca="1">AE104*AE109</f>
        <v>1e-12</v>
      </c>
      <c r="AF103" s="287">
        <f ca="1">AF104*AF109</f>
        <v>1e-12</v>
      </c>
      <c r="AG103" s="287">
        <f ca="1">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 ca="1">SUM(F104:I104)</f>
        <v>880</v>
      </c>
      <c r="K104" s="325">
        <v>220</v>
      </c>
      <c r="L104" s="325">
        <v>220</v>
      </c>
      <c r="M104" s="325">
        <v>220</v>
      </c>
      <c r="N104" s="325">
        <v>220</v>
      </c>
      <c r="O104" s="326">
        <f ca="1">SUM(K104:N104)</f>
        <v>880</v>
      </c>
      <c r="P104" s="325">
        <v>220</v>
      </c>
      <c r="Q104" s="325">
        <v>220</v>
      </c>
      <c r="R104" s="325">
        <v>220</v>
      </c>
      <c r="S104" s="325">
        <v>220</v>
      </c>
      <c r="T104" s="326">
        <f ca="1">SUM(P104:S104)</f>
        <v>880</v>
      </c>
      <c r="U104" s="325">
        <v>220</v>
      </c>
      <c r="V104" s="325">
        <v>220</v>
      </c>
      <c r="W104" s="325">
        <v>220</v>
      </c>
      <c r="X104" s="327">
        <f ca="1">W104*(1+X105)</f>
        <v>231</v>
      </c>
      <c r="Y104" s="326">
        <f ca="1">SUM(U104:X104)</f>
        <v>891</v>
      </c>
      <c r="Z104" s="327">
        <f ca="1">X104*(1+Z105)</f>
        <v>242.55</v>
      </c>
      <c r="AA104" s="327">
        <f t="shared" ref="AA104:AC104" si="80" ca="1">Z104*(1+AA105)</f>
        <v>254.6775</v>
      </c>
      <c r="AB104" s="327">
        <f ca="1">AA104*(1+AB105)</f>
        <v>267.411375</v>
      </c>
      <c r="AC104" s="327">
        <f ca="1">AB104*(1+AC105)</f>
        <v>280.78194375000004</v>
      </c>
      <c r="AD104" s="326">
        <f ca="1">SUM(Z104:AC104)</f>
        <v>1045.42081875</v>
      </c>
      <c r="AE104" s="326">
        <f t="shared" ref="AE104:AG104" si="81" ca="1">AD104*(1+AE105)</f>
        <v>1097.6918596875</v>
      </c>
      <c r="AF104" s="326">
        <f ca="1">AE104*(1+AF105)</f>
        <v>1152.5764526718751</v>
      </c>
      <c r="AG104" s="326">
        <f ca="1">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 ca="1">IFERROR(G104/F104-1,"--")</f>
        <v>0</v>
      </c>
      <c r="H105" s="318">
        <f ca="1">IFERROR(H104/G104-1,"--")</f>
      </c>
      <c r="I105" s="318">
        <f ca="1">IFERROR(I104/H104-1,"--")</f>
      </c>
      <c r="J105" s="168"/>
      <c r="K105" s="318">
        <f ca="1">IFERROR(K104/I104-1,"--")</f>
        <v>0</v>
      </c>
      <c r="L105" s="318">
        <f t="shared" ref="L105:N105" si="83" ca="1">IFERROR(L104/K104-1,"--")</f>
        <v>0</v>
      </c>
      <c r="M105" s="318">
        <f ca="1">IFERROR(M104/L104-1,"--")</f>
      </c>
      <c r="N105" s="318">
        <f ca="1">IFERROR(N104/M104-1,"--")</f>
      </c>
      <c r="O105" s="306">
        <f ca="1">IFERROR(O104/J104-1,"--")</f>
        <v>0</v>
      </c>
      <c r="P105" s="318">
        <f ca="1">IFERROR(P104/N104-1,"--")</f>
        <v>0</v>
      </c>
      <c r="Q105" s="318">
        <f t="shared" ref="Q105:S105" si="84" ca="1">IFERROR(Q104/P104-1,"--")</f>
        <v>0</v>
      </c>
      <c r="R105" s="318">
        <f ca="1">IFERROR(R104/Q104-1,"--")</f>
      </c>
      <c r="S105" s="318">
        <f ca="1">IFERROR(S104/R104-1,"--")</f>
      </c>
      <c r="T105" s="306">
        <f ca="1">IFERROR(T104/O104-1,"--")</f>
        <v>0</v>
      </c>
      <c r="U105" s="318">
        <f ca="1">IFERROR(U104/S104-1,"--")</f>
        <v>0</v>
      </c>
      <c r="V105" s="318">
        <f t="shared" ref="V105:W105" si="85" ca="1">IFERROR(V104/U104-1,"--")</f>
        <v>0</v>
      </c>
      <c r="W105" s="318">
        <f ca="1">IFERROR(W104/V104-1,"--")</f>
      </c>
      <c r="X105" s="305">
        <f ca="1">IF(Case_Scenario="Bull",X106,IF(Case_Scenario="Base",X107,IF(Case_Scenario="bear",X108,"N/A")))</f>
        <v>0.05</v>
      </c>
      <c r="Y105" s="306"/>
      <c r="Z105" s="305">
        <f ca="1">IF(Case_Scenario="Bull",Z106,IF(Case_Scenario="Base",Z107,IF(Case_Scenario="bear",Z108,"N/A")))</f>
        <v>0.05</v>
      </c>
      <c r="AA105" s="305">
        <f ca="1">IF(Case_Scenario="Bull",AA106,IF(Case_Scenario="Base",AA107,IF(Case_Scenario="bear",AA108,"N/A")))</f>
        <v>0.05</v>
      </c>
      <c r="AB105" s="305">
        <f ca="1">IF(Case_Scenario="Bull",AB106,IF(Case_Scenario="Base",AB107,IF(Case_Scenario="bear",AB108,"N/A")))</f>
        <v>0.05</v>
      </c>
      <c r="AC105" s="305">
        <f ca="1">IF(Case_Scenario="Bull",AC106,IF(Case_Scenario="Base",AC107,IF(Case_Scenario="bear",AC108,"N/A")))</f>
        <v>0.05</v>
      </c>
      <c r="AD105" s="306"/>
      <c r="AE105" s="306">
        <f ca="1">IF(Case_Scenario="Bull",AE106,IF(Case_Scenario="Base",AE107,IF(Case_Scenario="bear",AE108,"N/A")))</f>
        <v>0.05</v>
      </c>
      <c r="AF105" s="306">
        <f ca="1">IF(Case_Scenario="Bull",AF106,IF(Case_Scenario="Base",AF107,IF(Case_Scenario="bear",AF108,"N/A")))</f>
        <v>0.05</v>
      </c>
      <c r="AG105" s="306">
        <f ca="1">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 ca="1">IFERROR(F103/F104,"--")</f>
        <v>0</v>
      </c>
      <c r="G109" s="317">
        <f ca="1">IFERROR(G103/G104,"--")</f>
      </c>
      <c r="H109" s="317">
        <f ca="1">IFERROR(H103/H104,"--")</f>
      </c>
      <c r="I109" s="317">
        <f ca="1">IFERROR(I103/I104,"--")</f>
      </c>
      <c r="J109" s="287">
        <f ca="1">IFERROR(J103/J104,"--")</f>
      </c>
      <c r="K109" s="317">
        <f ca="1">IFERROR(K103/K104,"--")</f>
      </c>
      <c r="L109" s="317">
        <f ca="1">IFERROR(L103/L104,"--")</f>
      </c>
      <c r="M109" s="317">
        <f ca="1">IFERROR(M103/M104,"--")</f>
      </c>
      <c r="N109" s="317">
        <f ca="1">IFERROR(N103/N104,"--")</f>
      </c>
      <c r="O109" s="287">
        <f ca="1">IFERROR(O103/O104,"--")</f>
      </c>
      <c r="P109" s="317">
        <f ca="1">IFERROR(P103/P104,"--")</f>
      </c>
      <c r="Q109" s="317">
        <f ca="1">IFERROR(Q103/Q104,"--")</f>
      </c>
      <c r="R109" s="317">
        <f ca="1">IFERROR(R103/R104,"--")</f>
      </c>
      <c r="S109" s="317">
        <f ca="1">IFERROR(S103/S104,"--")</f>
      </c>
      <c r="T109" s="287">
        <f ca="1">IFERROR(T103/T104,"--")</f>
      </c>
      <c r="U109" s="317">
        <f ca="1">IFERROR(U103/U104,"--")</f>
      </c>
      <c r="V109" s="317">
        <f ca="1">IFERROR(V103/V104,"--")</f>
      </c>
      <c r="W109" s="317">
        <f ca="1">IFERROR(W103/W104,"--")</f>
      </c>
      <c r="X109" s="286">
        <f ca="1">W109*(1+X110)</f>
        <v>1e-12</v>
      </c>
      <c r="Y109" s="287">
        <f ca="1">Y103/Y104</f>
        <v>1e-12</v>
      </c>
      <c r="Z109" s="286">
        <f ca="1">X109*(1+Z110)</f>
        <v>1e-12</v>
      </c>
      <c r="AA109" s="286">
        <f t="shared" ref="AA109:AC109" si="87" ca="1">Z109*(1+AA110)</f>
        <v>1e-12</v>
      </c>
      <c r="AB109" s="286">
        <f ca="1">AA109*(1+AB110)</f>
        <v>1e-12</v>
      </c>
      <c r="AC109" s="286">
        <f ca="1">AB109*(1+AC110)</f>
        <v>1e-12</v>
      </c>
      <c r="AD109" s="287">
        <f ca="1">AD103/AD104</f>
        <v>1e-12</v>
      </c>
      <c r="AE109" s="287">
        <f t="shared" ref="AE109:AG109" si="88" ca="1">AD109*(1+AE110)</f>
        <v>1e-12</v>
      </c>
      <c r="AF109" s="287">
        <f ca="1">AE109*(1+AF110)</f>
        <v>1e-12</v>
      </c>
      <c r="AG109" s="287">
        <f ca="1">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 ca="1">IFERROR(G109/F109-1,"--")</f>
        <v>--</v>
      </c>
      <c r="H110" s="318" t="str">
        <f ca="1">IFERROR(H109/G109-1,"--")</f>
        <v>--</v>
      </c>
      <c r="I110" s="318" t="str">
        <f ca="1">IFERROR(I109/H109-1,"--")</f>
        <v>--</v>
      </c>
      <c r="J110" s="168"/>
      <c r="K110" s="318" t="str">
        <f ca="1">IFERROR(K109/I109-1,"--")</f>
        <v>--</v>
      </c>
      <c r="L110" s="318" t="str">
        <f t="shared" ref="L110:N110" si="90" ca="1">IFERROR(L109/K109-1,"--")</f>
        <v>--</v>
      </c>
      <c r="M110" s="318" t="str">
        <f ca="1">IFERROR(M109/L109-1,"--")</f>
        <v>--</v>
      </c>
      <c r="N110" s="318" t="str">
        <f ca="1">IFERROR(N109/M109-1,"--")</f>
        <v>--</v>
      </c>
      <c r="O110" s="306" t="str">
        <f ca="1">IFERROR(O109/J109-1,"--")</f>
        <v>--</v>
      </c>
      <c r="P110" s="318" t="str">
        <f ca="1">IFERROR(P109/N109-1,"--")</f>
        <v>--</v>
      </c>
      <c r="Q110" s="318" t="str">
        <f t="shared" ref="Q110:S110" si="91" ca="1">IFERROR(Q109/P109-1,"--")</f>
        <v>--</v>
      </c>
      <c r="R110" s="318" t="str">
        <f ca="1">IFERROR(R109/Q109-1,"--")</f>
        <v>--</v>
      </c>
      <c r="S110" s="318" t="str">
        <f ca="1">IFERROR(S109/R109-1,"--")</f>
        <v>--</v>
      </c>
      <c r="T110" s="306" t="str">
        <f ca="1">IFERROR(T109/O109-1,"--")</f>
        <v>--</v>
      </c>
      <c r="U110" s="318" t="str">
        <f ca="1">IFERROR(U109/S109-1,"--")</f>
        <v>--</v>
      </c>
      <c r="V110" s="318" t="str">
        <f t="shared" ref="V110:W110" si="92" ca="1">IFERROR(V109/U109-1,"--")</f>
        <v>--</v>
      </c>
      <c r="W110" s="318" t="str">
        <f ca="1">IFERROR(W109/V109-1,"--")</f>
        <v>--</v>
      </c>
      <c r="X110" s="305">
        <f ca="1">IF(Case_Scenario="Bull",X111,IF(Case_Scenario="Base",X112,IF(Case_Scenario="bear",X113,"N/A")))</f>
        <v>0.05</v>
      </c>
      <c r="Y110" s="306"/>
      <c r="Z110" s="305">
        <f ca="1">IF(Case_Scenario="Bull",Z111,IF(Case_Scenario="Base",Z112,IF(Case_Scenario="bear",Z113,"N/A")))</f>
        <v>0.05</v>
      </c>
      <c r="AA110" s="305">
        <f ca="1">IF(Case_Scenario="Bull",AA111,IF(Case_Scenario="Base",AA112,IF(Case_Scenario="bear",AA113,"N/A")))</f>
        <v>0.05</v>
      </c>
      <c r="AB110" s="305">
        <f ca="1">IF(Case_Scenario="Bull",AB111,IF(Case_Scenario="Base",AB112,IF(Case_Scenario="bear",AB113,"N/A")))</f>
        <v>0.05</v>
      </c>
      <c r="AC110" s="305">
        <f ca="1">IF(Case_Scenario="Bull",AC111,IF(Case_Scenario="Base",AC112,IF(Case_Scenario="bear",AC113,"N/A")))</f>
        <v>0.05</v>
      </c>
      <c r="AD110" s="306"/>
      <c r="AE110" s="306">
        <f ca="1">IF(Case_Scenario="Bull",AE111,IF(Case_Scenario="Base",AE112,IF(Case_Scenario="bear",AE113,"N/A")))</f>
        <v>0.05</v>
      </c>
      <c r="AF110" s="306">
        <f ca="1">IF(Case_Scenario="Bull",AF111,IF(Case_Scenario="Base",AF112,IF(Case_Scenario="bear",AF113,"N/A")))</f>
        <v>0.05</v>
      </c>
      <c r="AG110" s="306">
        <f ca="1">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 ca="1">C38</f>
        <v>Segment 3 Revenue</v>
      </c>
      <c r="D115" s="16"/>
      <c r="E115" s="168"/>
      <c r="F115" s="317">
        <f t="shared" ref="F115:W115" si="93" ca="1">F38</f>
        <v>1e-12</v>
      </c>
      <c r="G115" s="317">
        <f ca="1">G38</f>
        <v>1e-12</v>
      </c>
      <c r="H115" s="317">
        <f ca="1">H38</f>
        <v>1e-12</v>
      </c>
      <c r="I115" s="317">
        <f ca="1">I38</f>
        <v>1e-12</v>
      </c>
      <c r="J115" s="287">
        <f ca="1">J38</f>
        <v>1e-12</v>
      </c>
      <c r="K115" s="317">
        <f ca="1">K38</f>
        <v>1e-12</v>
      </c>
      <c r="L115" s="317">
        <f ca="1">L38</f>
        <v>1e-12</v>
      </c>
      <c r="M115" s="317">
        <f ca="1">M38</f>
        <v>1e-12</v>
      </c>
      <c r="N115" s="317">
        <f ca="1">N38</f>
        <v>1e-12</v>
      </c>
      <c r="O115" s="287">
        <f ca="1">O38</f>
        <v>1e-12</v>
      </c>
      <c r="P115" s="317">
        <f ca="1">P38</f>
        <v>1e-12</v>
      </c>
      <c r="Q115" s="317">
        <f ca="1">Q38</f>
        <v>1e-12</v>
      </c>
      <c r="R115" s="317">
        <f ca="1">R38</f>
        <v>1e-12</v>
      </c>
      <c r="S115" s="317">
        <f ca="1">S38</f>
        <v>1e-12</v>
      </c>
      <c r="T115" s="287">
        <f ca="1">T38</f>
        <v>1e-12</v>
      </c>
      <c r="U115" s="317">
        <f ca="1">U38</f>
        <v>1e-12</v>
      </c>
      <c r="V115" s="317">
        <f ca="1">V38</f>
        <v>1e-12</v>
      </c>
      <c r="W115" s="317">
        <f ca="1">W38</f>
        <v>1e-12</v>
      </c>
      <c r="X115" s="286">
        <f ca="1">X116*X121</f>
        <v>1e-12</v>
      </c>
      <c r="Y115" s="287">
        <f t="shared" ref="Y115:Y116" si="94" ca="1">SUM(U115:X115)</f>
        <v>1e-12</v>
      </c>
      <c r="Z115" s="286">
        <f t="shared" ref="Z115:AC115" si="95" ca="1">Z116*Z121</f>
        <v>1e-12</v>
      </c>
      <c r="AA115" s="286">
        <f ca="1">AA116*AA121</f>
        <v>1e-12</v>
      </c>
      <c r="AB115" s="286">
        <f ca="1">AB116*AB121</f>
        <v>1e-12</v>
      </c>
      <c r="AC115" s="286">
        <f ca="1">AC116*AC121</f>
        <v>1e-12</v>
      </c>
      <c r="AD115" s="287">
        <f t="shared" ref="AD115:AD116" si="96" ca="1">SUM(Z115:AC115)</f>
        <v>1e-12</v>
      </c>
      <c r="AE115" s="287">
        <f t="shared" ref="AE115:AG115" si="97" ca="1">AE116*AE121</f>
        <v>1e-12</v>
      </c>
      <c r="AF115" s="287">
        <f ca="1">AF116*AF121</f>
        <v>1e-12</v>
      </c>
      <c r="AG115" s="287">
        <f ca="1">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 ca="1">SUM(F116:I116)</f>
        <v>880</v>
      </c>
      <c r="K116" s="325">
        <v>220</v>
      </c>
      <c r="L116" s="325">
        <v>220</v>
      </c>
      <c r="M116" s="325">
        <v>220</v>
      </c>
      <c r="N116" s="325">
        <v>220</v>
      </c>
      <c r="O116" s="326">
        <f ca="1">SUM(K116:N116)</f>
        <v>880</v>
      </c>
      <c r="P116" s="325">
        <v>220</v>
      </c>
      <c r="Q116" s="325">
        <v>220</v>
      </c>
      <c r="R116" s="325">
        <v>220</v>
      </c>
      <c r="S116" s="325">
        <v>220</v>
      </c>
      <c r="T116" s="326">
        <f ca="1">SUM(P116:S116)</f>
        <v>880</v>
      </c>
      <c r="U116" s="325">
        <v>220</v>
      </c>
      <c r="V116" s="325">
        <v>220</v>
      </c>
      <c r="W116" s="325">
        <v>220</v>
      </c>
      <c r="X116" s="327">
        <f ca="1">W116*(1+X117)</f>
        <v>231</v>
      </c>
      <c r="Y116" s="326">
        <f ca="1">SUM(U116:X116)</f>
        <v>891</v>
      </c>
      <c r="Z116" s="327">
        <f ca="1">X116*(1+Z117)</f>
        <v>242.55</v>
      </c>
      <c r="AA116" s="327">
        <f t="shared" ref="AA116:AC116" si="98" ca="1">Z116*(1+AA117)</f>
        <v>254.6775</v>
      </c>
      <c r="AB116" s="327">
        <f ca="1">AA116*(1+AB117)</f>
        <v>267.411375</v>
      </c>
      <c r="AC116" s="327">
        <f ca="1">AB116*(1+AC117)</f>
        <v>280.78194375000004</v>
      </c>
      <c r="AD116" s="326">
        <f ca="1">SUM(Z116:AC116)</f>
        <v>1045.42081875</v>
      </c>
      <c r="AE116" s="326">
        <f t="shared" ref="AE116:AG116" si="99" ca="1">AD116*(1+AE117)</f>
        <v>1097.6918596875</v>
      </c>
      <c r="AF116" s="326">
        <f ca="1">AE116*(1+AF117)</f>
        <v>1152.5764526718751</v>
      </c>
      <c r="AG116" s="326">
        <f ca="1">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 ca="1">IFERROR(G116/F116-1,"--")</f>
        <v>0</v>
      </c>
      <c r="H117" s="318">
        <f ca="1">IFERROR(H116/G116-1,"--")</f>
      </c>
      <c r="I117" s="318">
        <f ca="1">IFERROR(I116/H116-1,"--")</f>
      </c>
      <c r="J117" s="168"/>
      <c r="K117" s="318">
        <f ca="1">IFERROR(K116/I116-1,"--")</f>
        <v>0</v>
      </c>
      <c r="L117" s="318">
        <f t="shared" ref="L117:N117" si="101" ca="1">IFERROR(L116/K116-1,"--")</f>
        <v>0</v>
      </c>
      <c r="M117" s="318">
        <f ca="1">IFERROR(M116/L116-1,"--")</f>
      </c>
      <c r="N117" s="318">
        <f ca="1">IFERROR(N116/M116-1,"--")</f>
      </c>
      <c r="O117" s="306">
        <f ca="1">IFERROR(O116/J116-1,"--")</f>
        <v>0</v>
      </c>
      <c r="P117" s="318">
        <f ca="1">IFERROR(P116/N116-1,"--")</f>
        <v>0</v>
      </c>
      <c r="Q117" s="318">
        <f t="shared" ref="Q117:S117" si="102" ca="1">IFERROR(Q116/P116-1,"--")</f>
        <v>0</v>
      </c>
      <c r="R117" s="318">
        <f ca="1">IFERROR(R116/Q116-1,"--")</f>
      </c>
      <c r="S117" s="318">
        <f ca="1">IFERROR(S116/R116-1,"--")</f>
      </c>
      <c r="T117" s="306">
        <f ca="1">IFERROR(T116/O116-1,"--")</f>
        <v>0</v>
      </c>
      <c r="U117" s="318">
        <f ca="1">IFERROR(U116/S116-1,"--")</f>
        <v>0</v>
      </c>
      <c r="V117" s="318">
        <f t="shared" ref="V117:W117" si="103" ca="1">IFERROR(V116/U116-1,"--")</f>
        <v>0</v>
      </c>
      <c r="W117" s="318">
        <f ca="1">IFERROR(W116/V116-1,"--")</f>
      </c>
      <c r="X117" s="305">
        <f ca="1">IF(Case_Scenario="Bull",X118,IF(Case_Scenario="Base",X119,IF(Case_Scenario="bear",X120,"N/A")))</f>
        <v>0.05</v>
      </c>
      <c r="Y117" s="306"/>
      <c r="Z117" s="305">
        <f ca="1">IF(Case_Scenario="Bull",Z118,IF(Case_Scenario="Base",Z119,IF(Case_Scenario="bear",Z120,"N/A")))</f>
        <v>0.05</v>
      </c>
      <c r="AA117" s="305">
        <f ca="1">IF(Case_Scenario="Bull",AA118,IF(Case_Scenario="Base",AA119,IF(Case_Scenario="bear",AA120,"N/A")))</f>
        <v>0.05</v>
      </c>
      <c r="AB117" s="305">
        <f ca="1">IF(Case_Scenario="Bull",AB118,IF(Case_Scenario="Base",AB119,IF(Case_Scenario="bear",AB120,"N/A")))</f>
        <v>0.05</v>
      </c>
      <c r="AC117" s="305">
        <f ca="1">IF(Case_Scenario="Bull",AC118,IF(Case_Scenario="Base",AC119,IF(Case_Scenario="bear",AC120,"N/A")))</f>
        <v>0.05</v>
      </c>
      <c r="AD117" s="306"/>
      <c r="AE117" s="306">
        <f ca="1">IF(Case_Scenario="Bull",AE118,IF(Case_Scenario="Base",AE119,IF(Case_Scenario="bear",AE120,"N/A")))</f>
        <v>0.05</v>
      </c>
      <c r="AF117" s="306">
        <f ca="1">IF(Case_Scenario="Bull",AF118,IF(Case_Scenario="Base",AF119,IF(Case_Scenario="bear",AF120,"N/A")))</f>
        <v>0.05</v>
      </c>
      <c r="AG117" s="306">
        <f ca="1">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 ca="1">IFERROR(F115/F116,"--")</f>
        <v>0</v>
      </c>
      <c r="G121" s="317">
        <f ca="1">IFERROR(G115/G116,"--")</f>
      </c>
      <c r="H121" s="317">
        <f ca="1">IFERROR(H115/H116,"--")</f>
      </c>
      <c r="I121" s="317">
        <f ca="1">IFERROR(I115/I116,"--")</f>
      </c>
      <c r="J121" s="287">
        <f ca="1">IFERROR(J115/J116,"--")</f>
      </c>
      <c r="K121" s="317">
        <f ca="1">IFERROR(K115/K116,"--")</f>
      </c>
      <c r="L121" s="317">
        <f ca="1">IFERROR(L115/L116,"--")</f>
      </c>
      <c r="M121" s="317">
        <f ca="1">IFERROR(M115/M116,"--")</f>
      </c>
      <c r="N121" s="317">
        <f ca="1">IFERROR(N115/N116,"--")</f>
      </c>
      <c r="O121" s="287">
        <f ca="1">IFERROR(O115/O116,"--")</f>
      </c>
      <c r="P121" s="317">
        <f ca="1">IFERROR(P115/P116,"--")</f>
      </c>
      <c r="Q121" s="317">
        <f ca="1">IFERROR(Q115/Q116,"--")</f>
      </c>
      <c r="R121" s="317">
        <f ca="1">IFERROR(R115/R116,"--")</f>
      </c>
      <c r="S121" s="317">
        <f ca="1">IFERROR(S115/S116,"--")</f>
      </c>
      <c r="T121" s="287">
        <f ca="1">IFERROR(T115/T116,"--")</f>
      </c>
      <c r="U121" s="317">
        <f ca="1">IFERROR(U115/U116,"--")</f>
      </c>
      <c r="V121" s="317">
        <f ca="1">IFERROR(V115/V116,"--")</f>
      </c>
      <c r="W121" s="317">
        <f ca="1">IFERROR(W115/W116,"--")</f>
      </c>
      <c r="X121" s="286">
        <f ca="1">W121*(1+X122)</f>
        <v>1e-12</v>
      </c>
      <c r="Y121" s="287">
        <f ca="1">Y115/Y116</f>
        <v>1e-12</v>
      </c>
      <c r="Z121" s="286">
        <f ca="1">X121*(1+Z122)</f>
        <v>1e-12</v>
      </c>
      <c r="AA121" s="286">
        <f t="shared" ref="AA121:AC121" si="105" ca="1">Z121*(1+AA122)</f>
        <v>1e-12</v>
      </c>
      <c r="AB121" s="286">
        <f ca="1">AA121*(1+AB122)</f>
        <v>1e-12</v>
      </c>
      <c r="AC121" s="286">
        <f ca="1">AB121*(1+AC122)</f>
        <v>1e-12</v>
      </c>
      <c r="AD121" s="287">
        <f ca="1">AD115/AD116</f>
        <v>1e-12</v>
      </c>
      <c r="AE121" s="287">
        <f t="shared" ref="AE121:AG121" si="106" ca="1">AD121*(1+AE122)</f>
        <v>1e-12</v>
      </c>
      <c r="AF121" s="287">
        <f ca="1">AE121*(1+AF122)</f>
        <v>1e-12</v>
      </c>
      <c r="AG121" s="287">
        <f ca="1">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 ca="1">IFERROR(G121/F121-1,"--")</f>
        <v>--</v>
      </c>
      <c r="H122" s="318" t="str">
        <f ca="1">IFERROR(H121/G121-1,"--")</f>
        <v>--</v>
      </c>
      <c r="I122" s="318" t="str">
        <f ca="1">IFERROR(I121/H121-1,"--")</f>
        <v>--</v>
      </c>
      <c r="J122" s="168"/>
      <c r="K122" s="318" t="str">
        <f ca="1">IFERROR(K121/I121-1,"--")</f>
        <v>--</v>
      </c>
      <c r="L122" s="318" t="str">
        <f t="shared" ref="L122:N122" si="108" ca="1">IFERROR(L121/K121-1,"--")</f>
        <v>--</v>
      </c>
      <c r="M122" s="318" t="str">
        <f ca="1">IFERROR(M121/L121-1,"--")</f>
        <v>--</v>
      </c>
      <c r="N122" s="318" t="str">
        <f ca="1">IFERROR(N121/M121-1,"--")</f>
        <v>--</v>
      </c>
      <c r="O122" s="306" t="str">
        <f ca="1">IFERROR(O121/J121-1,"--")</f>
        <v>--</v>
      </c>
      <c r="P122" s="318" t="str">
        <f ca="1">IFERROR(P121/N121-1,"--")</f>
        <v>--</v>
      </c>
      <c r="Q122" s="318" t="str">
        <f t="shared" ref="Q122:S122" si="109" ca="1">IFERROR(Q121/P121-1,"--")</f>
        <v>--</v>
      </c>
      <c r="R122" s="318" t="str">
        <f ca="1">IFERROR(R121/Q121-1,"--")</f>
        <v>--</v>
      </c>
      <c r="S122" s="318" t="str">
        <f ca="1">IFERROR(S121/R121-1,"--")</f>
        <v>--</v>
      </c>
      <c r="T122" s="306" t="str">
        <f ca="1">IFERROR(T121/O121-1,"--")</f>
        <v>--</v>
      </c>
      <c r="U122" s="318" t="str">
        <f ca="1">IFERROR(U121/S121-1,"--")</f>
        <v>--</v>
      </c>
      <c r="V122" s="318" t="str">
        <f t="shared" ref="V122:W122" si="110" ca="1">IFERROR(V121/U121-1,"--")</f>
        <v>--</v>
      </c>
      <c r="W122" s="318" t="str">
        <f ca="1">IFERROR(W121/V121-1,"--")</f>
        <v>--</v>
      </c>
      <c r="X122" s="305">
        <f ca="1">IF(Case_Scenario="Bull",X123,IF(Case_Scenario="Base",X124,IF(Case_Scenario="bear",X125,"N/A")))</f>
        <v>0.05</v>
      </c>
      <c r="Y122" s="306"/>
      <c r="Z122" s="305">
        <f ca="1">IF(Case_Scenario="Bull",Z123,IF(Case_Scenario="Base",Z124,IF(Case_Scenario="bear",Z125,"N/A")))</f>
        <v>0.05</v>
      </c>
      <c r="AA122" s="305">
        <f ca="1">IF(Case_Scenario="Bull",AA123,IF(Case_Scenario="Base",AA124,IF(Case_Scenario="bear",AA125,"N/A")))</f>
        <v>0.05</v>
      </c>
      <c r="AB122" s="305">
        <f ca="1">IF(Case_Scenario="Bull",AB123,IF(Case_Scenario="Base",AB124,IF(Case_Scenario="bear",AB125,"N/A")))</f>
        <v>0.05</v>
      </c>
      <c r="AC122" s="305">
        <f ca="1">IF(Case_Scenario="Bull",AC123,IF(Case_Scenario="Base",AC124,IF(Case_Scenario="bear",AC125,"N/A")))</f>
        <v>0.05</v>
      </c>
      <c r="AD122" s="306"/>
      <c r="AE122" s="306">
        <f ca="1">IF(Case_Scenario="Bull",AE123,IF(Case_Scenario="Base",AE124,IF(Case_Scenario="bear",AE125,"N/A")))</f>
        <v>0.05</v>
      </c>
      <c r="AF122" s="306">
        <f ca="1">IF(Case_Scenario="Bull",AF123,IF(Case_Scenario="Base",AF124,IF(Case_Scenario="bear",AF125,"N/A")))</f>
        <v>0.05</v>
      </c>
      <c r="AG122" s="306">
        <f ca="1">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 ca="1">C41</f>
        <v>Segment 4 Revenue</v>
      </c>
      <c r="D127" s="16"/>
      <c r="E127" s="168"/>
      <c r="F127" s="317">
        <f t="shared" ref="F127:W127" si="111" ca="1">F41</f>
        <v>1e-12</v>
      </c>
      <c r="G127" s="317">
        <f ca="1">G41</f>
        <v>1e-12</v>
      </c>
      <c r="H127" s="317">
        <f ca="1">H41</f>
        <v>1e-12</v>
      </c>
      <c r="I127" s="317">
        <f ca="1">I41</f>
        <v>1e-12</v>
      </c>
      <c r="J127" s="287">
        <f ca="1">J41</f>
        <v>1e-12</v>
      </c>
      <c r="K127" s="317">
        <f ca="1">K41</f>
        <v>1e-12</v>
      </c>
      <c r="L127" s="317">
        <f ca="1">L41</f>
        <v>1e-12</v>
      </c>
      <c r="M127" s="317">
        <f ca="1">M41</f>
        <v>1e-12</v>
      </c>
      <c r="N127" s="317">
        <f ca="1">N41</f>
        <v>1e-12</v>
      </c>
      <c r="O127" s="287">
        <f ca="1">O41</f>
        <v>1e-12</v>
      </c>
      <c r="P127" s="317">
        <f ca="1">P41</f>
        <v>1e-12</v>
      </c>
      <c r="Q127" s="317">
        <f ca="1">Q41</f>
        <v>1e-12</v>
      </c>
      <c r="R127" s="317">
        <f ca="1">R41</f>
        <v>1e-12</v>
      </c>
      <c r="S127" s="317">
        <f ca="1">S41</f>
        <v>1e-12</v>
      </c>
      <c r="T127" s="287">
        <f ca="1">T41</f>
        <v>1e-12</v>
      </c>
      <c r="U127" s="317">
        <f ca="1">U41</f>
        <v>1e-12</v>
      </c>
      <c r="V127" s="317">
        <f ca="1">V41</f>
        <v>1e-12</v>
      </c>
      <c r="W127" s="317">
        <f ca="1">W41</f>
        <v>1e-12</v>
      </c>
      <c r="X127" s="286">
        <f ca="1">X128*X133</f>
        <v>1e-12</v>
      </c>
      <c r="Y127" s="287">
        <f t="shared" ref="Y127:Y128" si="112" ca="1">SUM(U127:X127)</f>
        <v>1e-12</v>
      </c>
      <c r="Z127" s="286">
        <f t="shared" ref="Z127:AC127" si="113" ca="1">Z128*Z133</f>
        <v>1e-12</v>
      </c>
      <c r="AA127" s="286">
        <f ca="1">AA128*AA133</f>
        <v>1e-12</v>
      </c>
      <c r="AB127" s="286">
        <f ca="1">AB128*AB133</f>
        <v>1e-12</v>
      </c>
      <c r="AC127" s="286">
        <f ca="1">AC128*AC133</f>
        <v>1e-12</v>
      </c>
      <c r="AD127" s="287">
        <f t="shared" ref="AD127:AD128" si="114" ca="1">SUM(Z127:AC127)</f>
        <v>1e-12</v>
      </c>
      <c r="AE127" s="287">
        <f t="shared" ref="AE127:AG127" si="115" ca="1">AE128*AE133</f>
        <v>1e-12</v>
      </c>
      <c r="AF127" s="287">
        <f ca="1">AF128*AF133</f>
        <v>1e-12</v>
      </c>
      <c r="AG127" s="287">
        <f ca="1">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 ca="1">SUM(F128:I128)</f>
        <v>880</v>
      </c>
      <c r="K128" s="325">
        <v>220</v>
      </c>
      <c r="L128" s="325">
        <v>220</v>
      </c>
      <c r="M128" s="325">
        <v>220</v>
      </c>
      <c r="N128" s="325">
        <v>220</v>
      </c>
      <c r="O128" s="326">
        <f ca="1">SUM(K128:N128)</f>
        <v>880</v>
      </c>
      <c r="P128" s="325">
        <v>220</v>
      </c>
      <c r="Q128" s="325">
        <v>220</v>
      </c>
      <c r="R128" s="325">
        <v>220</v>
      </c>
      <c r="S128" s="325">
        <v>220</v>
      </c>
      <c r="T128" s="326">
        <f ca="1">SUM(P128:S128)</f>
        <v>880</v>
      </c>
      <c r="U128" s="325">
        <v>220</v>
      </c>
      <c r="V128" s="325">
        <v>220</v>
      </c>
      <c r="W128" s="325">
        <v>220</v>
      </c>
      <c r="X128" s="327">
        <f ca="1">W128*(1+X129)</f>
        <v>231</v>
      </c>
      <c r="Y128" s="326">
        <f ca="1">SUM(U128:X128)</f>
        <v>891</v>
      </c>
      <c r="Z128" s="327">
        <f ca="1">X128*(1+Z129)</f>
        <v>242.55</v>
      </c>
      <c r="AA128" s="327">
        <f t="shared" ref="AA128:AC128" si="116" ca="1">Z128*(1+AA129)</f>
        <v>254.6775</v>
      </c>
      <c r="AB128" s="327">
        <f ca="1">AA128*(1+AB129)</f>
        <v>267.411375</v>
      </c>
      <c r="AC128" s="327">
        <f ca="1">AB128*(1+AC129)</f>
        <v>280.78194375000004</v>
      </c>
      <c r="AD128" s="326">
        <f ca="1">SUM(Z128:AC128)</f>
        <v>1045.42081875</v>
      </c>
      <c r="AE128" s="326">
        <f t="shared" ref="AE128:AG128" si="117" ca="1">AD128*(1+AE129)</f>
        <v>1097.6918596875</v>
      </c>
      <c r="AF128" s="326">
        <f ca="1">AE128*(1+AF129)</f>
        <v>1152.5764526718751</v>
      </c>
      <c r="AG128" s="326">
        <f ca="1">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 ca="1">IFERROR(G128/F128-1,"--")</f>
        <v>0</v>
      </c>
      <c r="H129" s="318">
        <f ca="1">IFERROR(H128/G128-1,"--")</f>
      </c>
      <c r="I129" s="318">
        <f ca="1">IFERROR(I128/H128-1,"--")</f>
      </c>
      <c r="J129" s="168"/>
      <c r="K129" s="318">
        <f ca="1">IFERROR(K128/I128-1,"--")</f>
        <v>0</v>
      </c>
      <c r="L129" s="318">
        <f t="shared" ref="L129:N129" si="119" ca="1">IFERROR(L128/K128-1,"--")</f>
        <v>0</v>
      </c>
      <c r="M129" s="318">
        <f ca="1">IFERROR(M128/L128-1,"--")</f>
      </c>
      <c r="N129" s="318">
        <f ca="1">IFERROR(N128/M128-1,"--")</f>
      </c>
      <c r="O129" s="306">
        <f ca="1">IFERROR(O128/J128-1,"--")</f>
        <v>0</v>
      </c>
      <c r="P129" s="318">
        <f ca="1">IFERROR(P128/N128-1,"--")</f>
        <v>0</v>
      </c>
      <c r="Q129" s="318">
        <f t="shared" ref="Q129:S129" si="120" ca="1">IFERROR(Q128/P128-1,"--")</f>
        <v>0</v>
      </c>
      <c r="R129" s="318">
        <f ca="1">IFERROR(R128/Q128-1,"--")</f>
      </c>
      <c r="S129" s="318">
        <f ca="1">IFERROR(S128/R128-1,"--")</f>
      </c>
      <c r="T129" s="306">
        <f ca="1">IFERROR(T128/O128-1,"--")</f>
        <v>0</v>
      </c>
      <c r="U129" s="318">
        <f ca="1">IFERROR(U128/S128-1,"--")</f>
        <v>0</v>
      </c>
      <c r="V129" s="318">
        <f t="shared" ref="V129:W129" si="121" ca="1">IFERROR(V128/U128-1,"--")</f>
        <v>0</v>
      </c>
      <c r="W129" s="318">
        <f ca="1">IFERROR(W128/V128-1,"--")</f>
      </c>
      <c r="X129" s="305">
        <f ca="1">IF(Case_Scenario="Bull",X130,IF(Case_Scenario="Base",X131,IF(Case_Scenario="bear",X132,"N/A")))</f>
        <v>0.05</v>
      </c>
      <c r="Y129" s="306"/>
      <c r="Z129" s="305">
        <f ca="1">IF(Case_Scenario="Bull",Z130,IF(Case_Scenario="Base",Z131,IF(Case_Scenario="bear",Z132,"N/A")))</f>
        <v>0.05</v>
      </c>
      <c r="AA129" s="305">
        <f ca="1">IF(Case_Scenario="Bull",AA130,IF(Case_Scenario="Base",AA131,IF(Case_Scenario="bear",AA132,"N/A")))</f>
        <v>0.05</v>
      </c>
      <c r="AB129" s="305">
        <f ca="1">IF(Case_Scenario="Bull",AB130,IF(Case_Scenario="Base",AB131,IF(Case_Scenario="bear",AB132,"N/A")))</f>
        <v>0.05</v>
      </c>
      <c r="AC129" s="305">
        <f ca="1">IF(Case_Scenario="Bull",AC130,IF(Case_Scenario="Base",AC131,IF(Case_Scenario="bear",AC132,"N/A")))</f>
        <v>0.05</v>
      </c>
      <c r="AD129" s="306"/>
      <c r="AE129" s="306">
        <f ca="1">IF(Case_Scenario="Bull",AE130,IF(Case_Scenario="Base",AE131,IF(Case_Scenario="bear",AE132,"N/A")))</f>
        <v>0.05</v>
      </c>
      <c r="AF129" s="306">
        <f ca="1">IF(Case_Scenario="Bull",AF130,IF(Case_Scenario="Base",AF131,IF(Case_Scenario="bear",AF132,"N/A")))</f>
        <v>0.05</v>
      </c>
      <c r="AG129" s="306">
        <f ca="1">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 ca="1">IFERROR(F127/F128,"--")</f>
        <v>0</v>
      </c>
      <c r="G133" s="317">
        <f ca="1">IFERROR(G127/G128,"--")</f>
      </c>
      <c r="H133" s="317">
        <f ca="1">IFERROR(H127/H128,"--")</f>
      </c>
      <c r="I133" s="317">
        <f ca="1">IFERROR(I127/I128,"--")</f>
      </c>
      <c r="J133" s="287">
        <f ca="1">IFERROR(J127/J128,"--")</f>
      </c>
      <c r="K133" s="317">
        <f ca="1">IFERROR(K127/K128,"--")</f>
      </c>
      <c r="L133" s="317">
        <f ca="1">IFERROR(L127/L128,"--")</f>
      </c>
      <c r="M133" s="317">
        <f ca="1">IFERROR(M127/M128,"--")</f>
      </c>
      <c r="N133" s="317">
        <f ca="1">IFERROR(N127/N128,"--")</f>
      </c>
      <c r="O133" s="287">
        <f ca="1">IFERROR(O127/O128,"--")</f>
      </c>
      <c r="P133" s="317">
        <f ca="1">IFERROR(P127/P128,"--")</f>
      </c>
      <c r="Q133" s="317">
        <f ca="1">IFERROR(Q127/Q128,"--")</f>
      </c>
      <c r="R133" s="317">
        <f ca="1">IFERROR(R127/R128,"--")</f>
      </c>
      <c r="S133" s="317">
        <f ca="1">IFERROR(S127/S128,"--")</f>
      </c>
      <c r="T133" s="287">
        <f ca="1">IFERROR(T127/T128,"--")</f>
      </c>
      <c r="U133" s="317">
        <f ca="1">IFERROR(U127/U128,"--")</f>
      </c>
      <c r="V133" s="317">
        <f ca="1">IFERROR(V127/V128,"--")</f>
      </c>
      <c r="W133" s="317">
        <f ca="1">IFERROR(W127/W128,"--")</f>
      </c>
      <c r="X133" s="286">
        <f ca="1">W133*(1+X134)</f>
        <v>1e-12</v>
      </c>
      <c r="Y133" s="287">
        <f ca="1">Y127/Y128</f>
        <v>1e-12</v>
      </c>
      <c r="Z133" s="286">
        <f ca="1">X133*(1+Z134)</f>
        <v>1e-12</v>
      </c>
      <c r="AA133" s="286">
        <f t="shared" ref="AA133:AC133" si="123" ca="1">Z133*(1+AA134)</f>
        <v>1e-12</v>
      </c>
      <c r="AB133" s="286">
        <f ca="1">AA133*(1+AB134)</f>
        <v>1e-12</v>
      </c>
      <c r="AC133" s="286">
        <f ca="1">AB133*(1+AC134)</f>
        <v>1e-12</v>
      </c>
      <c r="AD133" s="287">
        <f ca="1">AD127/AD128</f>
        <v>1e-12</v>
      </c>
      <c r="AE133" s="287">
        <f t="shared" ref="AE133:AG133" si="124" ca="1">AD133*(1+AE134)</f>
        <v>1e-12</v>
      </c>
      <c r="AF133" s="287">
        <f ca="1">AE133*(1+AF134)</f>
        <v>1e-12</v>
      </c>
      <c r="AG133" s="287">
        <f ca="1">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 ca="1">IFERROR(G133/F133-1,"--")</f>
        <v>--</v>
      </c>
      <c r="H134" s="318" t="str">
        <f ca="1">IFERROR(H133/G133-1,"--")</f>
        <v>--</v>
      </c>
      <c r="I134" s="318" t="str">
        <f ca="1">IFERROR(I133/H133-1,"--")</f>
        <v>--</v>
      </c>
      <c r="J134" s="168"/>
      <c r="K134" s="318" t="str">
        <f ca="1">IFERROR(K133/I133-1,"--")</f>
        <v>--</v>
      </c>
      <c r="L134" s="318" t="str">
        <f t="shared" ref="L134:N134" si="126" ca="1">IFERROR(L133/K133-1,"--")</f>
        <v>--</v>
      </c>
      <c r="M134" s="318" t="str">
        <f ca="1">IFERROR(M133/L133-1,"--")</f>
        <v>--</v>
      </c>
      <c r="N134" s="318" t="str">
        <f ca="1">IFERROR(N133/M133-1,"--")</f>
        <v>--</v>
      </c>
      <c r="O134" s="306" t="str">
        <f ca="1">IFERROR(O133/J133-1,"--")</f>
        <v>--</v>
      </c>
      <c r="P134" s="318" t="str">
        <f ca="1">IFERROR(P133/N133-1,"--")</f>
        <v>--</v>
      </c>
      <c r="Q134" s="318" t="str">
        <f t="shared" ref="Q134:S134" si="127" ca="1">IFERROR(Q133/P133-1,"--")</f>
        <v>--</v>
      </c>
      <c r="R134" s="318" t="str">
        <f ca="1">IFERROR(R133/Q133-1,"--")</f>
        <v>--</v>
      </c>
      <c r="S134" s="318" t="str">
        <f ca="1">IFERROR(S133/R133-1,"--")</f>
        <v>--</v>
      </c>
      <c r="T134" s="306" t="str">
        <f ca="1">IFERROR(T133/O133-1,"--")</f>
        <v>--</v>
      </c>
      <c r="U134" s="318" t="str">
        <f ca="1">IFERROR(U133/S133-1,"--")</f>
        <v>--</v>
      </c>
      <c r="V134" s="318" t="str">
        <f t="shared" ref="V134:W134" si="128" ca="1">IFERROR(V133/U133-1,"--")</f>
        <v>--</v>
      </c>
      <c r="W134" s="318" t="str">
        <f ca="1">IFERROR(W133/V133-1,"--")</f>
        <v>--</v>
      </c>
      <c r="X134" s="305">
        <f ca="1">IF(Case_Scenario="Bull",X135,IF(Case_Scenario="Base",X136,IF(Case_Scenario="bear",X137,"N/A")))</f>
        <v>0.05</v>
      </c>
      <c r="Y134" s="306"/>
      <c r="Z134" s="305">
        <f ca="1">IF(Case_Scenario="Bull",Z135,IF(Case_Scenario="Base",Z136,IF(Case_Scenario="bear",Z137,"N/A")))</f>
        <v>0.05</v>
      </c>
      <c r="AA134" s="305">
        <f ca="1">IF(Case_Scenario="Bull",AA135,IF(Case_Scenario="Base",AA136,IF(Case_Scenario="bear",AA137,"N/A")))</f>
        <v>0.05</v>
      </c>
      <c r="AB134" s="305">
        <f ca="1">IF(Case_Scenario="Bull",AB135,IF(Case_Scenario="Base",AB136,IF(Case_Scenario="bear",AB137,"N/A")))</f>
        <v>0.05</v>
      </c>
      <c r="AC134" s="305">
        <f ca="1">IF(Case_Scenario="Bull",AC135,IF(Case_Scenario="Base",AC136,IF(Case_Scenario="bear",AC137,"N/A")))</f>
        <v>0.05</v>
      </c>
      <c r="AD134" s="306"/>
      <c r="AE134" s="306">
        <f ca="1">IF(Case_Scenario="Bull",AE135,IF(Case_Scenario="Base",AE136,IF(Case_Scenario="bear",AE137,"N/A")))</f>
        <v>0.05</v>
      </c>
      <c r="AF134" s="306">
        <f ca="1">IF(Case_Scenario="Bull",AF135,IF(Case_Scenario="Base",AF136,IF(Case_Scenario="bear",AF137,"N/A")))</f>
        <v>0.05</v>
      </c>
      <c r="AG134" s="306">
        <f ca="1">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 ca="1">C44</f>
        <v>Segment 5 Revenue</v>
      </c>
      <c r="D139" s="16"/>
      <c r="E139" s="168"/>
      <c r="F139" s="317">
        <f t="shared" ref="F139:W139" si="129" ca="1">F44</f>
        <v>1e-12</v>
      </c>
      <c r="G139" s="317">
        <f ca="1">G44</f>
        <v>1e-12</v>
      </c>
      <c r="H139" s="317">
        <f ca="1">H44</f>
        <v>1e-12</v>
      </c>
      <c r="I139" s="317">
        <f ca="1">I44</f>
        <v>1e-12</v>
      </c>
      <c r="J139" s="287">
        <f ca="1">J44</f>
        <v>1e-12</v>
      </c>
      <c r="K139" s="317">
        <f ca="1">K44</f>
        <v>1e-12</v>
      </c>
      <c r="L139" s="317">
        <f ca="1">L44</f>
        <v>1e-12</v>
      </c>
      <c r="M139" s="317">
        <f ca="1">M44</f>
        <v>1e-12</v>
      </c>
      <c r="N139" s="317">
        <f ca="1">N44</f>
        <v>1e-12</v>
      </c>
      <c r="O139" s="287">
        <f ca="1">O44</f>
        <v>1e-12</v>
      </c>
      <c r="P139" s="317">
        <f ca="1">P44</f>
        <v>1e-12</v>
      </c>
      <c r="Q139" s="317">
        <f ca="1">Q44</f>
        <v>1e-12</v>
      </c>
      <c r="R139" s="317">
        <f ca="1">R44</f>
        <v>1e-12</v>
      </c>
      <c r="S139" s="317">
        <f ca="1">S44</f>
        <v>1e-12</v>
      </c>
      <c r="T139" s="287">
        <f ca="1">T44</f>
        <v>1e-12</v>
      </c>
      <c r="U139" s="317">
        <f ca="1">U44</f>
        <v>1e-12</v>
      </c>
      <c r="V139" s="317">
        <f ca="1">V44</f>
        <v>1e-12</v>
      </c>
      <c r="W139" s="317">
        <f ca="1">W44</f>
        <v>1e-12</v>
      </c>
      <c r="X139" s="286">
        <f ca="1">X140*X145</f>
        <v>1e-12</v>
      </c>
      <c r="Y139" s="287">
        <f t="shared" ref="Y139:Y140" si="130" ca="1">SUM(U139:X139)</f>
        <v>1e-12</v>
      </c>
      <c r="Z139" s="286">
        <f t="shared" ref="Z139:AC139" si="131" ca="1">Z140*Z145</f>
        <v>1e-12</v>
      </c>
      <c r="AA139" s="286">
        <f ca="1">AA140*AA145</f>
        <v>1e-12</v>
      </c>
      <c r="AB139" s="286">
        <f ca="1">AB140*AB145</f>
        <v>1e-12</v>
      </c>
      <c r="AC139" s="286">
        <f ca="1">AC140*AC145</f>
        <v>1e-12</v>
      </c>
      <c r="AD139" s="287">
        <f t="shared" ref="AD139:AD140" si="132" ca="1">SUM(Z139:AC139)</f>
        <v>1e-12</v>
      </c>
      <c r="AE139" s="287">
        <f t="shared" ref="AE139:AG139" si="133" ca="1">AE140*AE145</f>
        <v>1e-12</v>
      </c>
      <c r="AF139" s="287">
        <f ca="1">AF140*AF145</f>
        <v>1e-12</v>
      </c>
      <c r="AG139" s="287">
        <f ca="1">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 ca="1">SUM(F140:I140)</f>
        <v>880</v>
      </c>
      <c r="K140" s="325">
        <v>220</v>
      </c>
      <c r="L140" s="325">
        <v>220</v>
      </c>
      <c r="M140" s="325">
        <v>220</v>
      </c>
      <c r="N140" s="325">
        <v>220</v>
      </c>
      <c r="O140" s="326">
        <f ca="1">SUM(K140:N140)</f>
        <v>880</v>
      </c>
      <c r="P140" s="325">
        <v>220</v>
      </c>
      <c r="Q140" s="325">
        <v>220</v>
      </c>
      <c r="R140" s="325">
        <v>220</v>
      </c>
      <c r="S140" s="325">
        <v>220</v>
      </c>
      <c r="T140" s="326">
        <f ca="1">SUM(P140:S140)</f>
        <v>880</v>
      </c>
      <c r="U140" s="325">
        <v>220</v>
      </c>
      <c r="V140" s="325">
        <v>220</v>
      </c>
      <c r="W140" s="325">
        <v>220</v>
      </c>
      <c r="X140" s="327">
        <f ca="1">W140*(1+X141)</f>
        <v>231</v>
      </c>
      <c r="Y140" s="326">
        <f ca="1">SUM(U140:X140)</f>
        <v>891</v>
      </c>
      <c r="Z140" s="327">
        <f ca="1">X140*(1+Z141)</f>
        <v>242.55</v>
      </c>
      <c r="AA140" s="327">
        <f t="shared" ref="AA140:AC140" si="134" ca="1">Z140*(1+AA141)</f>
        <v>254.6775</v>
      </c>
      <c r="AB140" s="327">
        <f ca="1">AA140*(1+AB141)</f>
        <v>267.411375</v>
      </c>
      <c r="AC140" s="327">
        <f ca="1">AB140*(1+AC141)</f>
        <v>280.78194375000004</v>
      </c>
      <c r="AD140" s="326">
        <f ca="1">SUM(Z140:AC140)</f>
        <v>1045.42081875</v>
      </c>
      <c r="AE140" s="326">
        <f t="shared" ref="AE140:AG140" si="135" ca="1">AD140*(1+AE141)</f>
        <v>1097.6918596875</v>
      </c>
      <c r="AF140" s="326">
        <f ca="1">AE140*(1+AF141)</f>
        <v>1152.5764526718751</v>
      </c>
      <c r="AG140" s="326">
        <f ca="1">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 ca="1">IFERROR(G140/F140-1,"--")</f>
        <v>0</v>
      </c>
      <c r="H141" s="318">
        <f ca="1">IFERROR(H140/G140-1,"--")</f>
      </c>
      <c r="I141" s="318">
        <f ca="1">IFERROR(I140/H140-1,"--")</f>
      </c>
      <c r="J141" s="168"/>
      <c r="K141" s="318">
        <f ca="1">IFERROR(K140/I140-1,"--")</f>
        <v>0</v>
      </c>
      <c r="L141" s="318">
        <f t="shared" ref="L141:N141" si="137" ca="1">IFERROR(L140/K140-1,"--")</f>
        <v>0</v>
      </c>
      <c r="M141" s="318">
        <f ca="1">IFERROR(M140/L140-1,"--")</f>
      </c>
      <c r="N141" s="318">
        <f ca="1">IFERROR(N140/M140-1,"--")</f>
      </c>
      <c r="O141" s="306">
        <f ca="1">IFERROR(O140/J140-1,"--")</f>
        <v>0</v>
      </c>
      <c r="P141" s="318">
        <f ca="1">IFERROR(P140/N140-1,"--")</f>
        <v>0</v>
      </c>
      <c r="Q141" s="318">
        <f t="shared" ref="Q141:S141" si="138" ca="1">IFERROR(Q140/P140-1,"--")</f>
        <v>0</v>
      </c>
      <c r="R141" s="318">
        <f ca="1">IFERROR(R140/Q140-1,"--")</f>
      </c>
      <c r="S141" s="318">
        <f ca="1">IFERROR(S140/R140-1,"--")</f>
      </c>
      <c r="T141" s="306">
        <f ca="1">IFERROR(T140/O140-1,"--")</f>
        <v>0</v>
      </c>
      <c r="U141" s="318">
        <f ca="1">IFERROR(U140/S140-1,"--")</f>
        <v>0</v>
      </c>
      <c r="V141" s="318">
        <f t="shared" ref="V141:W141" si="139" ca="1">IFERROR(V140/U140-1,"--")</f>
        <v>0</v>
      </c>
      <c r="W141" s="318">
        <f ca="1">IFERROR(W140/V140-1,"--")</f>
      </c>
      <c r="X141" s="305">
        <f ca="1">IF(Case_Scenario="Bull",X142,IF(Case_Scenario="Base",X143,IF(Case_Scenario="bear",X144,"N/A")))</f>
        <v>0.05</v>
      </c>
      <c r="Y141" s="306"/>
      <c r="Z141" s="305">
        <f ca="1">IF(Case_Scenario="Bull",Z142,IF(Case_Scenario="Base",Z143,IF(Case_Scenario="bear",Z144,"N/A")))</f>
        <v>0.05</v>
      </c>
      <c r="AA141" s="305">
        <f ca="1">IF(Case_Scenario="Bull",AA142,IF(Case_Scenario="Base",AA143,IF(Case_Scenario="bear",AA144,"N/A")))</f>
        <v>0.05</v>
      </c>
      <c r="AB141" s="305">
        <f ca="1">IF(Case_Scenario="Bull",AB142,IF(Case_Scenario="Base",AB143,IF(Case_Scenario="bear",AB144,"N/A")))</f>
        <v>0.05</v>
      </c>
      <c r="AC141" s="305">
        <f ca="1">IF(Case_Scenario="Bull",AC142,IF(Case_Scenario="Base",AC143,IF(Case_Scenario="bear",AC144,"N/A")))</f>
        <v>0.05</v>
      </c>
      <c r="AD141" s="306"/>
      <c r="AE141" s="306">
        <f ca="1">IF(Case_Scenario="Bull",AE142,IF(Case_Scenario="Base",AE143,IF(Case_Scenario="bear",AE144,"N/A")))</f>
        <v>0.05</v>
      </c>
      <c r="AF141" s="306">
        <f ca="1">IF(Case_Scenario="Bull",AF142,IF(Case_Scenario="Base",AF143,IF(Case_Scenario="bear",AF144,"N/A")))</f>
        <v>0.05</v>
      </c>
      <c r="AG141" s="306">
        <f ca="1">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 ca="1">IFERROR(F139/F140,"--")</f>
        <v>0</v>
      </c>
      <c r="G145" s="317">
        <f ca="1">IFERROR(G139/G140,"--")</f>
      </c>
      <c r="H145" s="317">
        <f ca="1">IFERROR(H139/H140,"--")</f>
      </c>
      <c r="I145" s="317">
        <f ca="1">IFERROR(I139/I140,"--")</f>
      </c>
      <c r="J145" s="287">
        <f ca="1">IFERROR(J139/J140,"--")</f>
      </c>
      <c r="K145" s="317">
        <f ca="1">IFERROR(K139/K140,"--")</f>
      </c>
      <c r="L145" s="317">
        <f ca="1">IFERROR(L139/L140,"--")</f>
      </c>
      <c r="M145" s="317">
        <f ca="1">IFERROR(M139/M140,"--")</f>
      </c>
      <c r="N145" s="317">
        <f ca="1">IFERROR(N139/N140,"--")</f>
      </c>
      <c r="O145" s="287">
        <f ca="1">IFERROR(O139/O140,"--")</f>
      </c>
      <c r="P145" s="317">
        <f ca="1">IFERROR(P139/P140,"--")</f>
      </c>
      <c r="Q145" s="317">
        <f ca="1">IFERROR(Q139/Q140,"--")</f>
      </c>
      <c r="R145" s="317">
        <f ca="1">IFERROR(R139/R140,"--")</f>
      </c>
      <c r="S145" s="317">
        <f ca="1">IFERROR(S139/S140,"--")</f>
      </c>
      <c r="T145" s="287">
        <f ca="1">IFERROR(T139/T140,"--")</f>
      </c>
      <c r="U145" s="317">
        <f ca="1">IFERROR(U139/U140,"--")</f>
      </c>
      <c r="V145" s="317">
        <f ca="1">IFERROR(V139/V140,"--")</f>
      </c>
      <c r="W145" s="317">
        <f ca="1">IFERROR(W139/W140,"--")</f>
      </c>
      <c r="X145" s="286">
        <f ca="1">W145*(1+X146)</f>
        <v>1e-12</v>
      </c>
      <c r="Y145" s="287">
        <f ca="1">Y139/Y140</f>
        <v>1e-12</v>
      </c>
      <c r="Z145" s="286">
        <f ca="1">X145*(1+Z146)</f>
        <v>1e-12</v>
      </c>
      <c r="AA145" s="286">
        <f t="shared" ref="AA145:AC145" si="141" ca="1">Z145*(1+AA146)</f>
        <v>1e-12</v>
      </c>
      <c r="AB145" s="286">
        <f ca="1">AA145*(1+AB146)</f>
        <v>1e-12</v>
      </c>
      <c r="AC145" s="286">
        <f ca="1">AB145*(1+AC146)</f>
        <v>1e-12</v>
      </c>
      <c r="AD145" s="287">
        <f ca="1">AD139/AD140</f>
        <v>1e-12</v>
      </c>
      <c r="AE145" s="287">
        <f t="shared" ref="AE145:AG145" si="142" ca="1">AD145*(1+AE146)</f>
        <v>1e-12</v>
      </c>
      <c r="AF145" s="287">
        <f ca="1">AE145*(1+AF146)</f>
        <v>1e-12</v>
      </c>
      <c r="AG145" s="287">
        <f ca="1">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 ca="1">IFERROR(G145/F145-1,"--")</f>
        <v>--</v>
      </c>
      <c r="H146" s="318" t="str">
        <f ca="1">IFERROR(H145/G145-1,"--")</f>
        <v>--</v>
      </c>
      <c r="I146" s="318" t="str">
        <f ca="1">IFERROR(I145/H145-1,"--")</f>
        <v>--</v>
      </c>
      <c r="J146" s="168"/>
      <c r="K146" s="318" t="str">
        <f ca="1">IFERROR(K145/I145-1,"--")</f>
        <v>--</v>
      </c>
      <c r="L146" s="318" t="str">
        <f t="shared" ref="L146:N146" si="144" ca="1">IFERROR(L145/K145-1,"--")</f>
        <v>--</v>
      </c>
      <c r="M146" s="318" t="str">
        <f ca="1">IFERROR(M145/L145-1,"--")</f>
        <v>--</v>
      </c>
      <c r="N146" s="318" t="str">
        <f ca="1">IFERROR(N145/M145-1,"--")</f>
        <v>--</v>
      </c>
      <c r="O146" s="306" t="str">
        <f ca="1">IFERROR(O145/J145-1,"--")</f>
        <v>--</v>
      </c>
      <c r="P146" s="318" t="str">
        <f ca="1">IFERROR(P145/N145-1,"--")</f>
        <v>--</v>
      </c>
      <c r="Q146" s="318" t="str">
        <f t="shared" ref="Q146:S146" si="145" ca="1">IFERROR(Q145/P145-1,"--")</f>
        <v>--</v>
      </c>
      <c r="R146" s="318" t="str">
        <f ca="1">IFERROR(R145/Q145-1,"--")</f>
        <v>--</v>
      </c>
      <c r="S146" s="318" t="str">
        <f ca="1">IFERROR(S145/R145-1,"--")</f>
        <v>--</v>
      </c>
      <c r="T146" s="306" t="str">
        <f ca="1">IFERROR(T145/O145-1,"--")</f>
        <v>--</v>
      </c>
      <c r="U146" s="318" t="str">
        <f ca="1">IFERROR(U145/S145-1,"--")</f>
        <v>--</v>
      </c>
      <c r="V146" s="318" t="str">
        <f t="shared" ref="V146:W146" si="146" ca="1">IFERROR(V145/U145-1,"--")</f>
        <v>--</v>
      </c>
      <c r="W146" s="318" t="str">
        <f ca="1">IFERROR(W145/V145-1,"--")</f>
        <v>--</v>
      </c>
      <c r="X146" s="305">
        <f ca="1">IF(Case_Scenario="Bull",X147,IF(Case_Scenario="Base",X148,IF(Case_Scenario="bear",X149,"N/A")))</f>
        <v>0.05</v>
      </c>
      <c r="Y146" s="306"/>
      <c r="Z146" s="305">
        <f ca="1">IF(Case_Scenario="Bull",Z147,IF(Case_Scenario="Base",Z148,IF(Case_Scenario="bear",Z149,"N/A")))</f>
        <v>0.05</v>
      </c>
      <c r="AA146" s="305">
        <f ca="1">IF(Case_Scenario="Bull",AA147,IF(Case_Scenario="Base",AA148,IF(Case_Scenario="bear",AA149,"N/A")))</f>
        <v>0.05</v>
      </c>
      <c r="AB146" s="305">
        <f ca="1">IF(Case_Scenario="Bull",AB147,IF(Case_Scenario="Base",AB148,IF(Case_Scenario="bear",AB149,"N/A")))</f>
        <v>0.05</v>
      </c>
      <c r="AC146" s="305">
        <f ca="1">IF(Case_Scenario="Bull",AC147,IF(Case_Scenario="Base",AC148,IF(Case_Scenario="bear",AC149,"N/A")))</f>
        <v>0.05</v>
      </c>
      <c r="AD146" s="306"/>
      <c r="AE146" s="306">
        <f ca="1">IF(Case_Scenario="Bull",AE147,IF(Case_Scenario="Base",AE148,IF(Case_Scenario="bear",AE149,"N/A")))</f>
        <v>0.05</v>
      </c>
      <c r="AF146" s="306">
        <f ca="1">IF(Case_Scenario="Bull",AF147,IF(Case_Scenario="Base",AF148,IF(Case_Scenario="bear",AF149,"N/A")))</f>
        <v>0.05</v>
      </c>
      <c r="AG146" s="306">
        <f ca="1">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 ca="1">C47</f>
        <v>Segment 6 Revenue</v>
      </c>
      <c r="D151" s="16"/>
      <c r="E151" s="168"/>
      <c r="F151" s="317">
        <f t="shared" ref="F151:W151" si="147" ca="1">F47</f>
        <v>1e-12</v>
      </c>
      <c r="G151" s="317">
        <f ca="1">G47</f>
        <v>1e-12</v>
      </c>
      <c r="H151" s="317">
        <f ca="1">H47</f>
        <v>1e-12</v>
      </c>
      <c r="I151" s="317">
        <f ca="1">I47</f>
        <v>1e-12</v>
      </c>
      <c r="J151" s="287">
        <f ca="1">J47</f>
        <v>1e-12</v>
      </c>
      <c r="K151" s="317">
        <f ca="1">K47</f>
        <v>1e-12</v>
      </c>
      <c r="L151" s="317">
        <f ca="1">L47</f>
        <v>1e-12</v>
      </c>
      <c r="M151" s="317">
        <f ca="1">M47</f>
        <v>1e-12</v>
      </c>
      <c r="N151" s="317">
        <f ca="1">N47</f>
        <v>1e-12</v>
      </c>
      <c r="O151" s="287">
        <f ca="1">O47</f>
        <v>1e-12</v>
      </c>
      <c r="P151" s="317">
        <f ca="1">P47</f>
        <v>1e-12</v>
      </c>
      <c r="Q151" s="317">
        <f ca="1">Q47</f>
        <v>1e-12</v>
      </c>
      <c r="R151" s="317">
        <f ca="1">R47</f>
        <v>1e-12</v>
      </c>
      <c r="S151" s="317">
        <f ca="1">S47</f>
        <v>1e-12</v>
      </c>
      <c r="T151" s="287">
        <f ca="1">T47</f>
        <v>1e-12</v>
      </c>
      <c r="U151" s="317">
        <f ca="1">U47</f>
        <v>1e-12</v>
      </c>
      <c r="V151" s="317">
        <f ca="1">V47</f>
        <v>1e-12</v>
      </c>
      <c r="W151" s="317">
        <f ca="1">W47</f>
        <v>1e-12</v>
      </c>
      <c r="X151" s="286">
        <f ca="1">X152*X157</f>
        <v>1e-12</v>
      </c>
      <c r="Y151" s="287">
        <f t="shared" ref="Y151:Y152" si="148" ca="1">SUM(U151:X151)</f>
        <v>1e-12</v>
      </c>
      <c r="Z151" s="286">
        <f t="shared" ref="Z151:AC151" si="149" ca="1">Z152*Z157</f>
        <v>1e-12</v>
      </c>
      <c r="AA151" s="286">
        <f ca="1">AA152*AA157</f>
        <v>1e-12</v>
      </c>
      <c r="AB151" s="286">
        <f ca="1">AB152*AB157</f>
        <v>1e-12</v>
      </c>
      <c r="AC151" s="286">
        <f ca="1">AC152*AC157</f>
        <v>1e-12</v>
      </c>
      <c r="AD151" s="287">
        <f t="shared" ref="AD151:AD152" si="150" ca="1">SUM(Z151:AC151)</f>
        <v>1e-12</v>
      </c>
      <c r="AE151" s="287">
        <f t="shared" ref="AE151:AG151" si="151" ca="1">AE152*AE157</f>
        <v>1e-12</v>
      </c>
      <c r="AF151" s="287">
        <f ca="1">AF152*AF157</f>
        <v>1e-12</v>
      </c>
      <c r="AG151" s="287">
        <f ca="1">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 ca="1">W152*(1+X153)</f>
        <v>1e-12</v>
      </c>
      <c r="Y152" s="326">
        <f ca="1">SUM(U152:X152)</f>
        <v>1e-12</v>
      </c>
      <c r="Z152" s="327">
        <f ca="1">X152*(1+Z153)</f>
        <v>1e-12</v>
      </c>
      <c r="AA152" s="327">
        <f t="shared" ref="AA152:AC152" si="152" ca="1">Z152*(1+AA153)</f>
        <v>1e-12</v>
      </c>
      <c r="AB152" s="327">
        <f ca="1">AA152*(1+AB153)</f>
        <v>1e-12</v>
      </c>
      <c r="AC152" s="327">
        <f ca="1">AB152*(1+AC153)</f>
        <v>1e-12</v>
      </c>
      <c r="AD152" s="326">
        <f ca="1">SUM(Z152:AC152)</f>
        <v>1e-12</v>
      </c>
      <c r="AE152" s="326">
        <f t="shared" ref="AE152:AG152" si="153" ca="1">AD152*(1+AE153)</f>
        <v>1e-12</v>
      </c>
      <c r="AF152" s="326">
        <f ca="1">AE152*(1+AF153)</f>
        <v>1e-12</v>
      </c>
      <c r="AG152" s="326">
        <f ca="1">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 ca="1">IFERROR(G152/F152-1,"--")</f>
        <v>--</v>
      </c>
      <c r="H153" s="318" t="str">
        <f ca="1">IFERROR(H152/G152-1,"--")</f>
        <v>--</v>
      </c>
      <c r="I153" s="318" t="str">
        <f ca="1">IFERROR(I152/H152-1,"--")</f>
        <v>--</v>
      </c>
      <c r="J153" s="168"/>
      <c r="K153" s="318" t="str">
        <f ca="1">IFERROR(K152/I152-1,"--")</f>
        <v>--</v>
      </c>
      <c r="L153" s="318" t="str">
        <f t="shared" ref="L153:N153" si="155" ca="1">IFERROR(L152/K152-1,"--")</f>
        <v>--</v>
      </c>
      <c r="M153" s="318" t="str">
        <f ca="1">IFERROR(M152/L152-1,"--")</f>
        <v>--</v>
      </c>
      <c r="N153" s="318" t="str">
        <f ca="1">IFERROR(N152/M152-1,"--")</f>
        <v>--</v>
      </c>
      <c r="O153" s="306" t="str">
        <f ca="1">IFERROR(O152/J152-1,"--")</f>
        <v>--</v>
      </c>
      <c r="P153" s="318" t="str">
        <f ca="1">IFERROR(P152/N152-1,"--")</f>
        <v>--</v>
      </c>
      <c r="Q153" s="318" t="str">
        <f t="shared" ref="Q153:S153" si="156" ca="1">IFERROR(Q152/P152-1,"--")</f>
        <v>--</v>
      </c>
      <c r="R153" s="318" t="str">
        <f ca="1">IFERROR(R152/Q152-1,"--")</f>
        <v>--</v>
      </c>
      <c r="S153" s="318" t="str">
        <f ca="1">IFERROR(S152/R152-1,"--")</f>
        <v>--</v>
      </c>
      <c r="T153" s="306" t="str">
        <f ca="1">IFERROR(T152/O152-1,"--")</f>
        <v>--</v>
      </c>
      <c r="U153" s="318" t="str">
        <f ca="1">IFERROR(U152/S152-1,"--")</f>
        <v>--</v>
      </c>
      <c r="V153" s="318" t="str">
        <f t="shared" ref="V153:W153" si="157" ca="1">IFERROR(V152/U152-1,"--")</f>
        <v>--</v>
      </c>
      <c r="W153" s="318" t="str">
        <f ca="1">IFERROR(W152/V152-1,"--")</f>
        <v>--</v>
      </c>
      <c r="X153" s="305">
        <f ca="1">IF(Case_Scenario="Bull",X154,IF(Case_Scenario="Base",X155,IF(Case_Scenario="bear",X156,"N/A")))</f>
        <v>0.05</v>
      </c>
      <c r="Y153" s="306"/>
      <c r="Z153" s="305">
        <f ca="1">IF(Case_Scenario="Bull",Z154,IF(Case_Scenario="Base",Z155,IF(Case_Scenario="bear",Z156,"N/A")))</f>
        <v>0.05</v>
      </c>
      <c r="AA153" s="305">
        <f ca="1">IF(Case_Scenario="Bull",AA154,IF(Case_Scenario="Base",AA155,IF(Case_Scenario="bear",AA156,"N/A")))</f>
        <v>0.05</v>
      </c>
      <c r="AB153" s="305">
        <f ca="1">IF(Case_Scenario="Bull",AB154,IF(Case_Scenario="Base",AB155,IF(Case_Scenario="bear",AB156,"N/A")))</f>
        <v>0.05</v>
      </c>
      <c r="AC153" s="305">
        <f ca="1">IF(Case_Scenario="Bull",AC154,IF(Case_Scenario="Base",AC155,IF(Case_Scenario="bear",AC156,"N/A")))</f>
        <v>0.05</v>
      </c>
      <c r="AD153" s="306"/>
      <c r="AE153" s="306">
        <f ca="1">IF(Case_Scenario="Bull",AE154,IF(Case_Scenario="Base",AE155,IF(Case_Scenario="bear",AE156,"N/A")))</f>
        <v>0.05</v>
      </c>
      <c r="AF153" s="306">
        <f ca="1">IF(Case_Scenario="Bull",AF154,IF(Case_Scenario="Base",AF155,IF(Case_Scenario="bear",AF156,"N/A")))</f>
        <v>0.05</v>
      </c>
      <c r="AG153" s="306">
        <f ca="1">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 ca="1">W157*(1+X158)</f>
        <v>1e-12</v>
      </c>
      <c r="Y157" s="287">
        <v>0</v>
      </c>
      <c r="Z157" s="286">
        <f ca="1">X157*(1+Z158)</f>
        <v>1e-12</v>
      </c>
      <c r="AA157" s="286">
        <f t="shared" ref="AA157:AC157" si="158" ca="1">Z157*(1+AA158)</f>
        <v>1e-12</v>
      </c>
      <c r="AB157" s="286">
        <f ca="1">AA157*(1+AB158)</f>
        <v>1e-12</v>
      </c>
      <c r="AC157" s="286">
        <f ca="1">AB157*(1+AC158)</f>
        <v>1e-12</v>
      </c>
      <c r="AD157" s="287">
        <v>0</v>
      </c>
      <c r="AE157" s="287">
        <f t="shared" ref="AE157:AG157" si="159" ca="1">AD157*(1+AE158)</f>
        <v>1e-12</v>
      </c>
      <c r="AF157" s="287">
        <f ca="1">AE157*(1+AF158)</f>
        <v>1e-12</v>
      </c>
      <c r="AG157" s="287">
        <f ca="1">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 ca="1">IFERROR(G157/F157-1,"--")</f>
        <v>--</v>
      </c>
      <c r="H158" s="318" t="str">
        <f ca="1">IFERROR(H157/G157-1,"--")</f>
        <v>--</v>
      </c>
      <c r="I158" s="318" t="str">
        <f ca="1">IFERROR(I157/H157-1,"--")</f>
        <v>--</v>
      </c>
      <c r="J158" s="168"/>
      <c r="K158" s="318" t="str">
        <f ca="1">IFERROR(K157/I157-1,"--")</f>
        <v>--</v>
      </c>
      <c r="L158" s="318" t="str">
        <f t="shared" ref="L158:N158" si="161" ca="1">IFERROR(L157/K157-1,"--")</f>
        <v>--</v>
      </c>
      <c r="M158" s="318" t="str">
        <f ca="1">IFERROR(M157/L157-1,"--")</f>
        <v>--</v>
      </c>
      <c r="N158" s="318" t="str">
        <f ca="1">IFERROR(N157/M157-1,"--")</f>
        <v>--</v>
      </c>
      <c r="O158" s="306" t="str">
        <f ca="1">IFERROR(O157/J157-1,"--")</f>
        <v>--</v>
      </c>
      <c r="P158" s="318" t="str">
        <f ca="1">IFERROR(P157/N157-1,"--")</f>
        <v>--</v>
      </c>
      <c r="Q158" s="318" t="str">
        <f t="shared" ref="Q158:S158" si="162" ca="1">IFERROR(Q157/P157-1,"--")</f>
        <v>--</v>
      </c>
      <c r="R158" s="318" t="str">
        <f ca="1">IFERROR(R157/Q157-1,"--")</f>
        <v>--</v>
      </c>
      <c r="S158" s="318" t="str">
        <f ca="1">IFERROR(S157/R157-1,"--")</f>
        <v>--</v>
      </c>
      <c r="T158" s="306" t="str">
        <f ca="1">IFERROR(T157/O157-1,"--")</f>
        <v>--</v>
      </c>
      <c r="U158" s="318" t="str">
        <f ca="1">IFERROR(U157/S157-1,"--")</f>
        <v>--</v>
      </c>
      <c r="V158" s="318" t="str">
        <f t="shared" ref="V158:W158" si="163" ca="1">IFERROR(V157/U157-1,"--")</f>
        <v>--</v>
      </c>
      <c r="W158" s="318" t="str">
        <f ca="1">IFERROR(W157/V157-1,"--")</f>
        <v>--</v>
      </c>
      <c r="X158" s="305">
        <f ca="1">IF(Case_Scenario="Bull",X159,IF(Case_Scenario="Base",X160,IF(Case_Scenario="bear",X161,"N/A")))</f>
        <v>0</v>
      </c>
      <c r="Y158" s="326"/>
      <c r="Z158" s="305">
        <f ca="1">IF(Case_Scenario="Bull",Z159,IF(Case_Scenario="Base",Z160,IF(Case_Scenario="bear",Z161,"N/A")))</f>
        <v>0</v>
      </c>
      <c r="AA158" s="305">
        <f ca="1">IF(Case_Scenario="Bull",AA159,IF(Case_Scenario="Base",AA160,IF(Case_Scenario="bear",AA161,"N/A")))</f>
        <v>0</v>
      </c>
      <c r="AB158" s="305">
        <f ca="1">IF(Case_Scenario="Bull",AB159,IF(Case_Scenario="Base",AB160,IF(Case_Scenario="bear",AB161,"N/A")))</f>
        <v>0</v>
      </c>
      <c r="AC158" s="305">
        <f ca="1">IF(Case_Scenario="Bull",AC159,IF(Case_Scenario="Base",AC160,IF(Case_Scenario="bear",AC161,"N/A")))</f>
        <v>0</v>
      </c>
      <c r="AD158" s="306"/>
      <c r="AE158" s="306">
        <f ca="1">IF(Case_Scenario="Bull",AE159,IF(Case_Scenario="Base",AE160,IF(Case_Scenario="bear",AE161,"N/A")))</f>
        <v>0</v>
      </c>
      <c r="AF158" s="306">
        <f ca="1">IF(Case_Scenario="Bull",AF159,IF(Case_Scenario="Base",AF160,IF(Case_Scenario="bear",AF161,"N/A")))</f>
        <v>0</v>
      </c>
      <c r="AG158" s="306">
        <f ca="1">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 ca="1">F$28</f>
        <v>1Q23</v>
      </c>
      <c r="G163" s="313" t="str">
        <f ca="1">G$28</f>
        <v>2Q23</v>
      </c>
      <c r="H163" s="313" t="str">
        <f ca="1">H$28</f>
        <v>3Q23</v>
      </c>
      <c r="I163" s="313" t="str">
        <f ca="1">I$28</f>
        <v>4Q23</v>
      </c>
      <c r="J163" s="313">
        <f ca="1">J$28</f>
        <v>2023</v>
      </c>
      <c r="K163" s="313" t="str">
        <f ca="1">K$28</f>
        <v>1Q24</v>
      </c>
      <c r="L163" s="313" t="str">
        <f ca="1">L$28</f>
        <v>2Q24</v>
      </c>
      <c r="M163" s="313" t="str">
        <f ca="1">M$28</f>
        <v>3Q24</v>
      </c>
      <c r="N163" s="313" t="str">
        <f ca="1">N$28</f>
        <v>4Q24</v>
      </c>
      <c r="O163" s="313">
        <f ca="1">O$28</f>
        <v>2024</v>
      </c>
      <c r="P163" s="313" t="str">
        <f ca="1">P$28</f>
        <v>1Q25</v>
      </c>
      <c r="Q163" s="313" t="str">
        <f ca="1">Q$28</f>
        <v>2Q25</v>
      </c>
      <c r="R163" s="313" t="str">
        <f ca="1">R$28</f>
        <v>3Q25</v>
      </c>
      <c r="S163" s="313" t="str">
        <f ca="1">S$28</f>
        <v>4Q25</v>
      </c>
      <c r="T163" s="313">
        <f ca="1">T$28</f>
        <v>2025</v>
      </c>
      <c r="U163" s="313" t="str">
        <f ca="1">U$28</f>
        <v>1Q26</v>
      </c>
      <c r="V163" s="313" t="str">
        <f ca="1">V$28</f>
        <v>2Q26</v>
      </c>
      <c r="W163" s="313" t="str">
        <f ca="1">W$28</f>
        <v>3Q26e</v>
      </c>
      <c r="X163" s="313" t="str">
        <f ca="1">X$28</f>
        <v>4Q26e</v>
      </c>
      <c r="Y163" s="313" t="str">
        <f ca="1">Y$28</f>
        <v>2026e</v>
      </c>
      <c r="Z163" s="313" t="str">
        <f ca="1">Z$28</f>
        <v>1Q27e</v>
      </c>
      <c r="AA163" s="313" t="str">
        <f ca="1">AA$28</f>
        <v>2Q27e</v>
      </c>
      <c r="AB163" s="313" t="str">
        <f ca="1">AB$28</f>
        <v>3Q27e</v>
      </c>
      <c r="AC163" s="313" t="str">
        <f ca="1">AC$28</f>
        <v>4Q27e</v>
      </c>
      <c r="AD163" s="313" t="str">
        <f ca="1">AD$28</f>
        <v>2027e</v>
      </c>
      <c r="AE163" s="313" t="str">
        <f ca="1">AE$28</f>
        <v>2028e</v>
      </c>
      <c r="AF163" s="313" t="str">
        <f ca="1">AF$28</f>
        <v>2029e</v>
      </c>
      <c r="AG163" s="314" t="str">
        <f ca="1">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 ca="1">C32</f>
        <v>Home Improvement Retail Revenue</v>
      </c>
      <c r="D165" s="16"/>
      <c r="E165" s="16"/>
      <c r="F165" s="317">
        <f t="shared" ref="F165:W165" si="165" ca="1">F32</f>
        <v>17360</v>
      </c>
      <c r="G165" s="317">
        <f ca="1">G32</f>
        <v>20888</v>
      </c>
      <c r="H165" s="317">
        <f ca="1">H32</f>
        <v>17415</v>
      </c>
      <c r="I165" s="317">
        <f ca="1">I32</f>
        <v>15646</v>
      </c>
      <c r="J165" s="287">
        <f ca="1">J32</f>
        <v>71309</v>
      </c>
      <c r="K165" s="317">
        <f ca="1">K32</f>
        <v>17741</v>
      </c>
      <c r="L165" s="317">
        <f ca="1">L32</f>
        <v>20992</v>
      </c>
      <c r="M165" s="317">
        <f ca="1">M32</f>
        <v>17388</v>
      </c>
      <c r="N165" s="317">
        <f ca="1">N32</f>
        <v>16027</v>
      </c>
      <c r="O165" s="287">
        <f ca="1">O32</f>
        <v>72148</v>
      </c>
      <c r="P165" s="317">
        <f ca="1">P32</f>
        <v>19675</v>
      </c>
      <c r="Q165" s="317">
        <f ca="1">Q32</f>
        <v>27302</v>
      </c>
      <c r="R165" s="317">
        <f ca="1">R32</f>
        <v>22309</v>
      </c>
      <c r="S165" s="317">
        <f ca="1">S32</f>
        <v>20311</v>
      </c>
      <c r="T165" s="287">
        <f ca="1">T32</f>
        <v>89597</v>
      </c>
      <c r="U165" s="317">
        <f ca="1">U32</f>
        <v>24422</v>
      </c>
      <c r="V165" s="317">
        <f ca="1">V32</f>
        <v>27570</v>
      </c>
      <c r="W165" s="317">
        <f ca="1">W32</f>
        <v>22918</v>
      </c>
      <c r="X165" s="286">
        <f ca="1">X167/X172</f>
        <v>40415.200000000004</v>
      </c>
      <c r="Y165" s="287">
        <f ca="1">SUM(U165:X165)</f>
        <v>115325.20000000001</v>
      </c>
      <c r="Z165" s="286">
        <f t="shared" ref="Z165:AC165" si="166" ca="1">Z167/Z172</f>
        <v>42435.96</v>
      </c>
      <c r="AA165" s="286">
        <f ca="1">AA167/AA172</f>
        <v>44557.758</v>
      </c>
      <c r="AB165" s="286">
        <f ca="1">AB167/AB172</f>
        <v>46785.6459</v>
      </c>
      <c r="AC165" s="286">
        <f ca="1">AC167/AC172</f>
        <v>49124.92819500001</v>
      </c>
      <c r="AD165" s="287">
        <f ca="1">SUM(Z165:AC165)</f>
        <v>182904.292095</v>
      </c>
      <c r="AE165" s="287">
        <f t="shared" ref="AE165:AG165" si="167" ca="1">AE167/AE172</f>
        <v>192049.50669975</v>
      </c>
      <c r="AF165" s="287">
        <f ca="1">AF167/AF172</f>
        <v>201651.9820347375</v>
      </c>
      <c r="AG165" s="287">
        <f ca="1">AG167/AG172</f>
        <v>211734.5811364744</v>
      </c>
      <c r="AH165" s="16"/>
      <c r="AI165" s="16"/>
      <c r="AJ165" s="16"/>
    </row>
    <row r="166" ht="12.75" customHeight="1" hidden="1" spans="1:36" x14ac:dyDescent="0.25" outlineLevel="1" collapsed="1">
      <c r="A166" s="16"/>
      <c r="B166" s="16"/>
      <c r="C166" s="139" t="s">
        <v>244</v>
      </c>
      <c r="D166" s="16"/>
      <c r="E166" s="16"/>
      <c r="F166" s="331">
        <f ca="1">47179+9134</f>
        <v>56313</v>
      </c>
      <c r="G166" s="331">
        <f ca="1">46414+8942</f>
        <v>55356</v>
      </c>
      <c r="H166" s="331">
        <f ca="1">40127+12896</f>
        <v>53023</v>
      </c>
      <c r="I166" s="331">
        <f ca="1">42079+15055</f>
        <v>57134</v>
      </c>
      <c r="J166" s="326">
        <f ca="1">I166</f>
        <v>57134</v>
      </c>
      <c r="K166" s="331">
        <f ca="1">46463+16145</f>
        <v>62608</v>
      </c>
      <c r="L166" s="331">
        <f ca="1">44155+14185</f>
        <v>58340</v>
      </c>
      <c r="M166" s="331">
        <v>45852</v>
      </c>
      <c r="N166" s="331">
        <v>49577</v>
      </c>
      <c r="O166" s="326">
        <f ca="1">J166+O167-O165</f>
        <v>49577</v>
      </c>
      <c r="P166" s="331">
        <v>50404</v>
      </c>
      <c r="Q166" s="331">
        <v>51925</v>
      </c>
      <c r="R166" s="331">
        <v>57875</v>
      </c>
      <c r="S166" s="331">
        <v>57166</v>
      </c>
      <c r="T166" s="326">
        <f ca="1">O166+T167-T165</f>
        <v>57166</v>
      </c>
      <c r="U166" s="325">
        <v>50404</v>
      </c>
      <c r="V166" s="325">
        <v>51925</v>
      </c>
      <c r="W166" s="331">
        <v>57875</v>
      </c>
      <c r="X166" s="327">
        <f ca="1">W166+X167-X165</f>
        <v>47771.19999999999</v>
      </c>
      <c r="Y166" s="326">
        <f ca="1">T166+Y167-Y165</f>
        <v>47771.19999999998</v>
      </c>
      <c r="Z166" s="327">
        <f ca="1">X166+Z167-Z165</f>
        <v>37162.209999999985</v>
      </c>
      <c r="AA166" s="327">
        <f t="shared" ref="AA166:AC166" si="168" ca="1">Z166+AA167-AA165</f>
        <v>26022.770499999984</v>
      </c>
      <c r="AB166" s="327">
        <f ca="1">AA166+AB167-AB165</f>
        <v>14326.359024999983</v>
      </c>
      <c r="AC166" s="327">
        <f ca="1">AB166+AC167-AC165</f>
        <v>2045.1269762499796</v>
      </c>
      <c r="AD166" s="326">
        <f ca="1">Y166+AD167-AD165</f>
        <v>2045.1269762499724</v>
      </c>
      <c r="AE166" s="326">
        <f t="shared" ref="AE166:AG166" si="169" ca="1">AD166+AE167-AE165</f>
        <v>-45967.24969868752</v>
      </c>
      <c r="AF166" s="326">
        <f ca="1">AE166+AF167-AF165</f>
        <v>-96380.24520737189</v>
      </c>
      <c r="AG166" s="326">
        <f ca="1">AF166+AG167-AG165</f>
        <v>-149313.89049149049</v>
      </c>
      <c r="AH166" s="16"/>
      <c r="AI166" s="16"/>
      <c r="AJ166" s="16"/>
    </row>
    <row r="167" ht="12.75" customHeight="1" hidden="1" spans="1:36" x14ac:dyDescent="0.25" outlineLevel="1" collapsed="1">
      <c r="A167" s="16"/>
      <c r="B167" s="16"/>
      <c r="C167" s="139" t="s">
        <v>259</v>
      </c>
      <c r="D167" s="16"/>
      <c r="E167" s="16"/>
      <c r="F167" s="331">
        <f ca="1">F166+F165-(45187+12488)</f>
        <v>15998</v>
      </c>
      <c r="G167" s="331">
        <f t="shared" ref="G167:I167" si="170" ca="1">G166+G165-F166</f>
        <v>19931</v>
      </c>
      <c r="H167" s="331">
        <f ca="1">H166+H165-G166</f>
        <v>15082</v>
      </c>
      <c r="I167" s="331">
        <f ca="1">I166+I165-H166</f>
        <v>19757</v>
      </c>
      <c r="J167" s="326">
        <f ca="1">SUM(F167:I167)</f>
        <v>70768</v>
      </c>
      <c r="K167" s="331">
        <f t="shared" ref="K167:N167" si="171" ca="1">K166+K165-J166</f>
        <v>23215</v>
      </c>
      <c r="L167" s="331">
        <f ca="1">L166+L165-K166</f>
        <v>16724</v>
      </c>
      <c r="M167" s="331">
        <f ca="1">M166+M165-L166</f>
        <v>4900</v>
      </c>
      <c r="N167" s="331">
        <f ca="1">N166+N165-M166</f>
        <v>19752</v>
      </c>
      <c r="O167" s="326">
        <f ca="1">SUM(K167:N167)</f>
        <v>64591</v>
      </c>
      <c r="P167" s="331">
        <f t="shared" ref="P167:S167" si="172" ca="1">P166+P165-O166</f>
        <v>20502</v>
      </c>
      <c r="Q167" s="331">
        <f ca="1">Q166+Q165-P166</f>
        <v>28823</v>
      </c>
      <c r="R167" s="331">
        <f ca="1">R166+R165-Q166</f>
        <v>28259</v>
      </c>
      <c r="S167" s="331">
        <f ca="1">S166+S165-R166</f>
        <v>19602</v>
      </c>
      <c r="T167" s="326">
        <f ca="1">SUM(P167:S167)</f>
        <v>97186</v>
      </c>
      <c r="U167" s="325">
        <f t="shared" ref="U167:W167" si="173" ca="1">U166+U165-T166</f>
        <v>17660</v>
      </c>
      <c r="V167" s="325">
        <f ca="1">V166+V165-U166</f>
        <v>29091</v>
      </c>
      <c r="W167" s="331">
        <f ca="1">W166+W165-V166</f>
        <v>28868</v>
      </c>
      <c r="X167" s="327">
        <f ca="1">W167*(1+X168)</f>
        <v>30311.4</v>
      </c>
      <c r="Y167" s="326">
        <f ca="1">SUM(U167:X167)</f>
        <v>105930.4</v>
      </c>
      <c r="Z167" s="327">
        <f ca="1">X167*(1+Z168)</f>
        <v>31826.97</v>
      </c>
      <c r="AA167" s="327">
        <f t="shared" ref="AA167:AC167" si="174" ca="1">Z167*(1+AA168)</f>
        <v>33418.3185</v>
      </c>
      <c r="AB167" s="327">
        <f ca="1">AA167*(1+AB168)</f>
        <v>35089.234425</v>
      </c>
      <c r="AC167" s="327">
        <f ca="1">AB167*(1+AC168)</f>
        <v>36843.696146250004</v>
      </c>
      <c r="AD167" s="326">
        <f ca="1">SUM(Z167:AC167)</f>
        <v>137178.21907125</v>
      </c>
      <c r="AE167" s="326">
        <f t="shared" ref="AE167:AG167" si="175" ca="1">AD167*(1+AE168)</f>
        <v>144037.1300248125</v>
      </c>
      <c r="AF167" s="326">
        <f ca="1">AE167*(1+AF168)</f>
        <v>151238.98652605314</v>
      </c>
      <c r="AG167" s="326">
        <f ca="1">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 ca="1">IFERROR(G167/F167-1,"--")</f>
        <v>0.24584323040380052</v>
      </c>
      <c r="H168" s="318">
        <f ca="1">IFERROR(H167/G167-1,"--")</f>
        <v>-0.24328934825146753</v>
      </c>
      <c r="I168" s="318">
        <f ca="1">IFERROR(I167/H167-1,"--")</f>
        <v>0.3099721522344516</v>
      </c>
      <c r="J168" s="168"/>
      <c r="K168" s="318">
        <f ca="1">IFERROR(K167/I167-1,"--")</f>
        <v>0.17502657286025203</v>
      </c>
      <c r="L168" s="318">
        <f t="shared" ref="L168:N168" si="177" ca="1">IFERROR(L167/K167-1,"--")</f>
        <v>-0.27960370450139993</v>
      </c>
      <c r="M168" s="318">
        <f ca="1">IFERROR(M167/L167-1,"--")</f>
        <v>-0.7070078928486008</v>
      </c>
      <c r="N168" s="318">
        <f ca="1">IFERROR(N167/M167-1,"--")</f>
        <v>3.0310204081632657</v>
      </c>
      <c r="O168" s="306">
        <f ca="1">IFERROR(O167/J167-1,"--")</f>
        <v>-0.0872852136558897</v>
      </c>
      <c r="P168" s="318">
        <f ca="1">IFERROR(P167/N167-1,"--")</f>
        <v>0.037970838396111706</v>
      </c>
      <c r="Q168" s="318">
        <f t="shared" ref="Q168:S168" si="178" ca="1">IFERROR(Q167/P167-1,"--")</f>
        <v>0.4058628426494977</v>
      </c>
      <c r="R168" s="318">
        <f ca="1">IFERROR(R167/Q167-1,"--")</f>
        <v>-0.019567706345626767</v>
      </c>
      <c r="S168" s="318">
        <f ca="1">IFERROR(S167/R167-1,"--")</f>
        <v>-0.3063448812767614</v>
      </c>
      <c r="T168" s="306">
        <f ca="1">IFERROR(T167/O167-1,"--")</f>
        <v>0.5046368689136258</v>
      </c>
      <c r="U168" s="318">
        <f ca="1">IFERROR(U167/S167-1,"--")</f>
        <v>-0.09907152331394753</v>
      </c>
      <c r="V168" s="318">
        <f t="shared" ref="V168:W168" si="179" ca="1">IFERROR(V167/U167-1,"--")</f>
        <v>0.6472819932049829</v>
      </c>
      <c r="W168" s="318">
        <f ca="1">IFERROR(W167/V167-1,"--")</f>
        <v>-0.007665601044996695</v>
      </c>
      <c r="X168" s="305">
        <f ca="1">IF(Case_Scenario="Bull",X169,IF(Case_Scenario="Base",X170,IF(Case_Scenario="bear",X171,"N/A")))</f>
        <v>0.05</v>
      </c>
      <c r="Y168" s="306"/>
      <c r="Z168" s="305">
        <f ca="1">IF(Case_Scenario="Bull",Z169,IF(Case_Scenario="Base",Z170,IF(Case_Scenario="bear",Z171,"N/A")))</f>
        <v>0.05</v>
      </c>
      <c r="AA168" s="305">
        <f ca="1">IF(Case_Scenario="Bull",AA169,IF(Case_Scenario="Base",AA170,IF(Case_Scenario="bear",AA171,"N/A")))</f>
        <v>0.05</v>
      </c>
      <c r="AB168" s="305">
        <f ca="1">IF(Case_Scenario="Bull",AB169,IF(Case_Scenario="Base",AB170,IF(Case_Scenario="bear",AB171,"N/A")))</f>
        <v>0.05</v>
      </c>
      <c r="AC168" s="305">
        <f ca="1">IF(Case_Scenario="Bull",AC169,IF(Case_Scenario="Base",AC170,IF(Case_Scenario="bear",AC171,"N/A")))</f>
        <v>0.05</v>
      </c>
      <c r="AD168" s="306"/>
      <c r="AE168" s="306">
        <f ca="1">IF(Case_Scenario="Bull",AE169,IF(Case_Scenario="Base",AE170,IF(Case_Scenario="bear",AE171,"N/A")))</f>
        <v>0.05</v>
      </c>
      <c r="AF168" s="306">
        <f ca="1">IF(Case_Scenario="Bull",AF169,IF(Case_Scenario="Base",AF170,IF(Case_Scenario="bear",AF171,"N/A")))</f>
        <v>0.05</v>
      </c>
      <c r="AG168" s="306">
        <f ca="1">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 ca="1">F167/F165</f>
        <v>0.9215437788018433</v>
      </c>
      <c r="G172" s="332">
        <f ca="1">G167/G165</f>
        <v>0.9541842206051321</v>
      </c>
      <c r="H172" s="332">
        <f ca="1">H167/H165</f>
        <v>0.8660350272753373</v>
      </c>
      <c r="I172" s="332">
        <f ca="1">I167/I165</f>
        <v>1.2627508628403425</v>
      </c>
      <c r="J172" s="333">
        <f ca="1">J167/J165</f>
        <v>0.9924132998639723</v>
      </c>
      <c r="K172" s="332">
        <f ca="1">K167/K165</f>
        <v>1.3085508144974918</v>
      </c>
      <c r="L172" s="332">
        <f ca="1">L167/L165</f>
        <v>0.7966844512195121</v>
      </c>
      <c r="M172" s="332">
        <f ca="1">M167/M165</f>
        <v>0.28180354267310787</v>
      </c>
      <c r="N172" s="332">
        <f ca="1">N167/N165</f>
        <v>1.2324202907593436</v>
      </c>
      <c r="O172" s="333">
        <f ca="1">O167/O165</f>
        <v>0.8952569717802296</v>
      </c>
      <c r="P172" s="332">
        <f ca="1">P167/P165</f>
        <v>1.042033036848793</v>
      </c>
      <c r="Q172" s="332">
        <f ca="1">Q167/Q165</f>
        <v>1.0557102043806315</v>
      </c>
      <c r="R172" s="332">
        <f ca="1">R167/R165</f>
        <v>1.2667085032946344</v>
      </c>
      <c r="S172" s="332">
        <f ca="1">S167/S165</f>
        <v>0.9650928068534291</v>
      </c>
      <c r="T172" s="333">
        <f ca="1">T167/T165</f>
        <v>1.0847014967018984</v>
      </c>
      <c r="U172" s="332">
        <f ca="1">U167/U165</f>
        <v>0.7231184997133732</v>
      </c>
      <c r="V172" s="332">
        <f ca="1">V167/V165</f>
        <v>1.0551686615886833</v>
      </c>
      <c r="W172" s="332">
        <f ca="1">W167/W165</f>
        <v>1.2596212583995112</v>
      </c>
      <c r="X172" s="334">
        <f ca="1">IF(Case_Scenario="Bull",X173,IF(Case_Scenario="Base",X174,IF(Case_Scenario="bear",X175,"N/A")))</f>
        <v>0.75</v>
      </c>
      <c r="Y172" s="333">
        <f ca="1">AVERAGE(U172:X172)</f>
        <v>0.9469771049253919</v>
      </c>
      <c r="Z172" s="334">
        <f ca="1">IF(Case_Scenario="Bull",Z173,IF(Case_Scenario="Base",Z174,IF(Case_Scenario="bear",Z175,"N/A")))</f>
        <v>0.75</v>
      </c>
      <c r="AA172" s="334">
        <f ca="1">IF(Case_Scenario="Bull",AA173,IF(Case_Scenario="Base",AA174,IF(Case_Scenario="bear",AA175,"N/A")))</f>
        <v>0.75</v>
      </c>
      <c r="AB172" s="334">
        <f ca="1">IF(Case_Scenario="Bull",AB173,IF(Case_Scenario="Base",AB174,IF(Case_Scenario="bear",AB175,"N/A")))</f>
        <v>0.75</v>
      </c>
      <c r="AC172" s="334">
        <f ca="1">IF(Case_Scenario="Bull",AC173,IF(Case_Scenario="Base",AC174,IF(Case_Scenario="bear",AC175,"N/A")))</f>
        <v>0.75</v>
      </c>
      <c r="AD172" s="333">
        <f ca="1">AVERAGE(Z172:AC172)</f>
        <v>0.75</v>
      </c>
      <c r="AE172" s="333">
        <f ca="1">IF(Case_Scenario="Bull",AE173,IF(Case_Scenario="Base",AE174,IF(Case_Scenario="bear",AE175,"N/A")))</f>
        <v>0.75</v>
      </c>
      <c r="AF172" s="333">
        <f ca="1">IF(Case_Scenario="Bull",AF173,IF(Case_Scenario="Base",AF174,IF(Case_Scenario="bear",AF175,"N/A")))</f>
        <v>0.75</v>
      </c>
      <c r="AG172" s="333">
        <f ca="1">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 ca="1">C35</f>
        <v>Segment 2 Revenue</v>
      </c>
      <c r="D177" s="16"/>
      <c r="E177" s="16"/>
      <c r="F177" s="317">
        <f t="shared" ref="F177:W177" si="181" ca="1">F35</f>
        <v>1e-12</v>
      </c>
      <c r="G177" s="317">
        <f ca="1">G35</f>
        <v>1e-12</v>
      </c>
      <c r="H177" s="317">
        <f ca="1">H35</f>
        <v>1e-12</v>
      </c>
      <c r="I177" s="317">
        <f ca="1">I35</f>
        <v>1e-12</v>
      </c>
      <c r="J177" s="287">
        <f ca="1">J35</f>
        <v>1e-12</v>
      </c>
      <c r="K177" s="317">
        <f ca="1">K35</f>
        <v>1e-12</v>
      </c>
      <c r="L177" s="317">
        <f ca="1">L35</f>
        <v>1e-12</v>
      </c>
      <c r="M177" s="317">
        <f ca="1">M35</f>
        <v>1e-12</v>
      </c>
      <c r="N177" s="317">
        <f ca="1">N35</f>
        <v>1e-12</v>
      </c>
      <c r="O177" s="287">
        <f ca="1">O35</f>
        <v>1e-12</v>
      </c>
      <c r="P177" s="317">
        <f ca="1">P35</f>
        <v>1e-12</v>
      </c>
      <c r="Q177" s="317">
        <f ca="1">Q35</f>
        <v>1e-12</v>
      </c>
      <c r="R177" s="317">
        <f ca="1">R35</f>
        <v>1e-12</v>
      </c>
      <c r="S177" s="317">
        <f ca="1">S35</f>
        <v>1e-12</v>
      </c>
      <c r="T177" s="287">
        <f ca="1">T35</f>
        <v>1e-12</v>
      </c>
      <c r="U177" s="317">
        <f ca="1">U35</f>
        <v>1e-12</v>
      </c>
      <c r="V177" s="317">
        <f ca="1">V35</f>
        <v>1e-12</v>
      </c>
      <c r="W177" s="317">
        <f ca="1">W35</f>
        <v>1e-12</v>
      </c>
      <c r="X177" s="286">
        <f ca="1">X179/X184</f>
        <v>-2233.5600000000004</v>
      </c>
      <c r="Y177" s="287">
        <f ca="1">SUM(U177:X177)</f>
        <v>-2233.5600000000004</v>
      </c>
      <c r="Z177" s="286">
        <f t="shared" ref="Z177:AC177" si="182" ca="1">Z179/Z184</f>
        <v>-2345.2380000000003</v>
      </c>
      <c r="AA177" s="286">
        <f ca="1">AA179/AA184</f>
        <v>-2462.4999000000007</v>
      </c>
      <c r="AB177" s="286">
        <f ca="1">AB179/AB184</f>
        <v>-2585.624895000001</v>
      </c>
      <c r="AC177" s="286">
        <f ca="1">AC179/AC184</f>
        <v>-2714.906139750001</v>
      </c>
      <c r="AD177" s="287">
        <f ca="1">SUM(Z177:AC177)</f>
        <v>-10108.268934750002</v>
      </c>
      <c r="AE177" s="287">
        <f t="shared" ref="AE177:AG177" si="183" ca="1">AE179/AE184</f>
        <v>-10613.682381487506</v>
      </c>
      <c r="AF177" s="287">
        <f ca="1">AF179/AF184</f>
        <v>-11144.36650056188</v>
      </c>
      <c r="AG177" s="287">
        <f ca="1">AG179/AG184</f>
        <v>-11701.584825589975</v>
      </c>
      <c r="AH177" s="16"/>
      <c r="AI177" s="16"/>
      <c r="AJ177" s="16"/>
    </row>
    <row r="178" ht="12.75" customHeight="1" hidden="1" spans="1:36" x14ac:dyDescent="0.25" outlineLevel="1" collapsed="1">
      <c r="A178" s="16"/>
      <c r="B178" s="16"/>
      <c r="C178" s="139" t="s">
        <v>244</v>
      </c>
      <c r="D178" s="16"/>
      <c r="E178" s="16"/>
      <c r="F178" s="325">
        <f ca="1">422982+632</f>
        <v>423614</v>
      </c>
      <c r="G178" s="325">
        <f ca="1">416576+282</f>
        <v>416858</v>
      </c>
      <c r="H178" s="325">
        <f ca="1">408756+219</f>
        <v>408975</v>
      </c>
      <c r="I178" s="325">
        <f ca="1">416198+160</f>
        <v>416358</v>
      </c>
      <c r="J178" s="326">
        <f ca="1">431408+216+J179-J177</f>
        <v>416358</v>
      </c>
      <c r="K178" s="325">
        <f ca="1">415086+1810</f>
        <v>416896</v>
      </c>
      <c r="L178" s="325">
        <f ca="1">423446+376</f>
        <v>423822</v>
      </c>
      <c r="M178" s="325">
        <v>412185</v>
      </c>
      <c r="N178" s="325">
        <v>421345</v>
      </c>
      <c r="O178" s="326">
        <f ca="1">J178+O179-O177</f>
        <v>421345</v>
      </c>
      <c r="P178" s="325">
        <v>415377</v>
      </c>
      <c r="Q178" s="325">
        <v>415723</v>
      </c>
      <c r="R178" s="325">
        <v>413064</v>
      </c>
      <c r="S178" s="325">
        <v>412307</v>
      </c>
      <c r="T178" s="326">
        <f ca="1">O178+T179-T177</f>
        <v>412307</v>
      </c>
      <c r="U178" s="325">
        <v>415377</v>
      </c>
      <c r="V178" s="325">
        <v>415723</v>
      </c>
      <c r="W178" s="325">
        <v>413064</v>
      </c>
      <c r="X178" s="327">
        <f ca="1">W178+X179-X177</f>
        <v>412505.61</v>
      </c>
      <c r="Y178" s="326">
        <f ca="1">T178+Y179-Y177</f>
        <v>412505.61</v>
      </c>
      <c r="Z178" s="327">
        <f ca="1">X178+Z179-Z177</f>
        <v>411919.3005</v>
      </c>
      <c r="AA178" s="327">
        <f t="shared" ref="AA178:AC178" si="184" ca="1">Z178+AA179-AA177</f>
        <v>411303.675525</v>
      </c>
      <c r="AB178" s="327">
        <f ca="1">AA178+AB179-AB177</f>
        <v>410657.26930125005</v>
      </c>
      <c r="AC178" s="327">
        <f ca="1">AB178+AC179-AC177</f>
        <v>409978.54276631254</v>
      </c>
      <c r="AD178" s="326">
        <f ca="1">Y178+AD179-AD177</f>
        <v>409978.5427663125</v>
      </c>
      <c r="AE178" s="326">
        <f t="shared" ref="AE178:AG178" si="185" ca="1">AD178+AE179-AE177</f>
        <v>407325.1221709406</v>
      </c>
      <c r="AF178" s="326">
        <f ca="1">AE178+AF179-AF177</f>
        <v>404539.03054580017</v>
      </c>
      <c r="AG178" s="326">
        <f ca="1">AF178+AG179-AG177</f>
        <v>401613.63433940266</v>
      </c>
      <c r="AH178" s="16"/>
      <c r="AI178" s="16"/>
      <c r="AJ178" s="16"/>
    </row>
    <row r="179" ht="12.75" customHeight="1" hidden="1" spans="1:36" x14ac:dyDescent="0.25" outlineLevel="1" collapsed="1">
      <c r="A179" s="16"/>
      <c r="B179" s="16"/>
      <c r="C179" s="139" t="s">
        <v>259</v>
      </c>
      <c r="D179" s="16"/>
      <c r="E179" s="16"/>
      <c r="F179" s="325">
        <f ca="1">F178+F177-(431408+216)</f>
        <v>-8010</v>
      </c>
      <c r="G179" s="325">
        <f t="shared" ref="G179:I179" si="186" ca="1">G178+G177-F178</f>
        <v>-6756</v>
      </c>
      <c r="H179" s="325">
        <f ca="1">H178+H177-G178</f>
        <v>-7883</v>
      </c>
      <c r="I179" s="325">
        <f ca="1">I178+I177-H178</f>
        <v>7383</v>
      </c>
      <c r="J179" s="326">
        <f ca="1">SUM(F179:I179)</f>
        <v>-15266</v>
      </c>
      <c r="K179" s="325">
        <f t="shared" ref="K179:N179" si="187" ca="1">K178+K177-J178</f>
        <v>538</v>
      </c>
      <c r="L179" s="325">
        <f ca="1">L178+L177-K178</f>
        <v>6926</v>
      </c>
      <c r="M179" s="325">
        <f ca="1">M178+M177-L178</f>
        <v>-11637</v>
      </c>
      <c r="N179" s="325">
        <f ca="1">N178+N177-M178</f>
        <v>9160</v>
      </c>
      <c r="O179" s="326">
        <f ca="1">SUM(K179:N179)</f>
        <v>4987</v>
      </c>
      <c r="P179" s="325">
        <f t="shared" ref="P179:S179" si="188" ca="1">P178+P177-O178</f>
        <v>-5968</v>
      </c>
      <c r="Q179" s="325">
        <f ca="1">Q178+Q177-P178</f>
        <v>346</v>
      </c>
      <c r="R179" s="325">
        <f ca="1">R178+R177-Q178</f>
        <v>-2659</v>
      </c>
      <c r="S179" s="325">
        <f ca="1">S178+S177-R178</f>
        <v>-757</v>
      </c>
      <c r="T179" s="326">
        <f ca="1">SUM(P179:S179)</f>
        <v>-9038</v>
      </c>
      <c r="U179" s="325">
        <f t="shared" ref="U179:W179" si="189" ca="1">U178+U177-T178</f>
        <v>3070</v>
      </c>
      <c r="V179" s="325">
        <f ca="1">V178+V177-U178</f>
        <v>346</v>
      </c>
      <c r="W179" s="325">
        <f ca="1">W178+W177-V178</f>
        <v>-2659</v>
      </c>
      <c r="X179" s="327">
        <f ca="1">W179*(1+X180)</f>
        <v>-2791.9500000000003</v>
      </c>
      <c r="Y179" s="326">
        <f ca="1">SUM(U179:X179)</f>
        <v>-2034.9500000000003</v>
      </c>
      <c r="Z179" s="327">
        <f ca="1">X179*(1+Z180)</f>
        <v>-2931.5475000000006</v>
      </c>
      <c r="AA179" s="327">
        <f t="shared" ref="AA179:AC179" si="190" ca="1">Z179*(1+AA180)</f>
        <v>-3078.124875000001</v>
      </c>
      <c r="AB179" s="327">
        <f ca="1">AA179*(1+AB180)</f>
        <v>-3232.031118750001</v>
      </c>
      <c r="AC179" s="327">
        <f ca="1">AB179*(1+AC180)</f>
        <v>-3393.632674687501</v>
      </c>
      <c r="AD179" s="326">
        <f ca="1">SUM(Z179:AC179)</f>
        <v>-12635.336168437505</v>
      </c>
      <c r="AE179" s="326">
        <f t="shared" ref="AE179:AG179" si="191" ca="1">AD179*(1+AE180)</f>
        <v>-13267.102976859382</v>
      </c>
      <c r="AF179" s="326">
        <f ca="1">AE179*(1+AF180)</f>
        <v>-13930.458125702351</v>
      </c>
      <c r="AG179" s="326">
        <f ca="1">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 ca="1">IFERROR(G179/F179-1,"--")</f>
        <v>-0.15655430711610485</v>
      </c>
      <c r="H180" s="318">
        <f ca="1">IFERROR(H179/G179-1,"--")</f>
        <v>0.16681468324452342</v>
      </c>
      <c r="I180" s="318">
        <f ca="1">IFERROR(I179/H179-1,"--")</f>
        <v>-1.9365723709247749</v>
      </c>
      <c r="J180" s="168"/>
      <c r="K180" s="318">
        <f ca="1">IFERROR(K179/I179-1,"--")</f>
        <v>-0.9271298929974265</v>
      </c>
      <c r="L180" s="318">
        <f t="shared" ref="L180:N180" si="193" ca="1">IFERROR(L179/K179-1,"--")</f>
        <v>11.87360594795539</v>
      </c>
      <c r="M180" s="318">
        <f ca="1">IFERROR(M179/L179-1,"--")</f>
        <v>-2.680190586196939</v>
      </c>
      <c r="N180" s="318">
        <f ca="1">IFERROR(N179/M179-1,"--")</f>
        <v>-1.7871444530377245</v>
      </c>
      <c r="O180" s="306">
        <f ca="1">IFERROR(O179/J179-1,"--")</f>
        <v>-1.3266736538713482</v>
      </c>
      <c r="P180" s="318">
        <f ca="1">IFERROR(P179/N179-1,"--")</f>
        <v>-1.6515283842794761</v>
      </c>
      <c r="Q180" s="318">
        <f t="shared" ref="Q180:S180" si="194" ca="1">IFERROR(Q179/P179-1,"--")</f>
        <v>-1.0579758713136729</v>
      </c>
      <c r="R180" s="318">
        <f ca="1">IFERROR(R179/Q179-1,"--")</f>
        <v>-8.684971098265896</v>
      </c>
      <c r="S180" s="318">
        <f ca="1">IFERROR(S179/R179-1,"--")</f>
        <v>-0.7153065062053403</v>
      </c>
      <c r="T180" s="306">
        <f ca="1">IFERROR(T179/O179-1,"--")</f>
        <v>-2.8123120112291957</v>
      </c>
      <c r="U180" s="318">
        <f ca="1">IFERROR(U179/S179-1,"--")</f>
        <v>-5.0554821664465</v>
      </c>
      <c r="V180" s="318">
        <f t="shared" ref="V180:W180" si="195" ca="1">IFERROR(V179/U179-1,"--")</f>
        <v>-0.8872964169381108</v>
      </c>
      <c r="W180" s="318">
        <f ca="1">IFERROR(W179/V179-1,"--")</f>
        <v>-8.684971098265896</v>
      </c>
      <c r="X180" s="305">
        <f ca="1">IF(Case_Scenario="Bull",X181,IF(Case_Scenario="Base",X182,IF(Case_Scenario="bear",X183,"N/A")))</f>
        <v>0.05</v>
      </c>
      <c r="Y180" s="306"/>
      <c r="Z180" s="305">
        <f ca="1">IF(Case_Scenario="Bull",Z181,IF(Case_Scenario="Base",Z182,IF(Case_Scenario="bear",Z183,"N/A")))</f>
        <v>0.05</v>
      </c>
      <c r="AA180" s="305">
        <f ca="1">IF(Case_Scenario="Bull",AA181,IF(Case_Scenario="Base",AA182,IF(Case_Scenario="bear",AA183,"N/A")))</f>
        <v>0.05</v>
      </c>
      <c r="AB180" s="305">
        <f ca="1">IF(Case_Scenario="Bull",AB181,IF(Case_Scenario="Base",AB182,IF(Case_Scenario="bear",AB183,"N/A")))</f>
        <v>0.05</v>
      </c>
      <c r="AC180" s="305">
        <f ca="1">IF(Case_Scenario="Bull",AC181,IF(Case_Scenario="Base",AC182,IF(Case_Scenario="bear",AC183,"N/A")))</f>
        <v>0.05</v>
      </c>
      <c r="AD180" s="306"/>
      <c r="AE180" s="306">
        <f ca="1">IF(Case_Scenario="Bull",AE181,IF(Case_Scenario="Base",AE182,IF(Case_Scenario="bear",AE183,"N/A")))</f>
        <v>0.05</v>
      </c>
      <c r="AF180" s="306">
        <f ca="1">IF(Case_Scenario="Bull",AF181,IF(Case_Scenario="Base",AF182,IF(Case_Scenario="bear",AF183,"N/A")))</f>
        <v>0.05</v>
      </c>
      <c r="AG180" s="306">
        <f ca="1">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f ca="1">F179/F177</f>
      </c>
      <c r="G184" s="339">
        <f ca="1">G179/G177</f>
      </c>
      <c r="H184" s="339">
        <f ca="1">H179/H177</f>
      </c>
      <c r="I184" s="339">
        <f ca="1">I179/I177</f>
      </c>
      <c r="J184" s="340">
        <f ca="1">J179/J177</f>
      </c>
      <c r="K184" s="339">
        <f ca="1">K179/K177</f>
      </c>
      <c r="L184" s="339">
        <f ca="1">L179/L177</f>
      </c>
      <c r="M184" s="339">
        <f ca="1">M179/M177</f>
      </c>
      <c r="N184" s="339">
        <f ca="1">N179/N177</f>
      </c>
      <c r="O184" s="340">
        <f ca="1">O179/O177</f>
      </c>
      <c r="P184" s="339">
        <f ca="1">P179/P177</f>
      </c>
      <c r="Q184" s="339">
        <f ca="1">Q179/Q177</f>
      </c>
      <c r="R184" s="339">
        <f ca="1">R179/R177</f>
      </c>
      <c r="S184" s="339">
        <f ca="1">S179/S177</f>
      </c>
      <c r="T184" s="340">
        <f ca="1">T179/T177</f>
      </c>
      <c r="U184" s="339">
        <f ca="1">U179/U177</f>
      </c>
      <c r="V184" s="339">
        <f ca="1">V179/V177</f>
      </c>
      <c r="W184" s="339">
        <f ca="1">W179/W177</f>
      </c>
      <c r="X184" s="334">
        <f ca="1">IF(Case_Scenario="Bull",X185,IF(Case_Scenario="Base",X186,IF(Case_Scenario="bear",X187,"N/A")))</f>
        <v>1.25</v>
      </c>
      <c r="Y184" s="333">
        <f ca="1">AVERAGE(U184:X184)</f>
      </c>
      <c r="Z184" s="334">
        <f ca="1">IF(Case_Scenario="Bull",Z185,IF(Case_Scenario="Base",Z186,IF(Case_Scenario="bear",Z187,"N/A")))</f>
        <v>1.25</v>
      </c>
      <c r="AA184" s="334">
        <f ca="1">IF(Case_Scenario="Bull",AA185,IF(Case_Scenario="Base",AA186,IF(Case_Scenario="bear",AA187,"N/A")))</f>
        <v>1.25</v>
      </c>
      <c r="AB184" s="334">
        <f ca="1">IF(Case_Scenario="Bull",AB185,IF(Case_Scenario="Base",AB186,IF(Case_Scenario="bear",AB187,"N/A")))</f>
        <v>1.25</v>
      </c>
      <c r="AC184" s="334">
        <f ca="1">IF(Case_Scenario="Bull",AC185,IF(Case_Scenario="Base",AC186,IF(Case_Scenario="bear",AC187,"N/A")))</f>
        <v>1.25</v>
      </c>
      <c r="AD184" s="333">
        <f ca="1">AVERAGE(Z184:AC184)</f>
        <v>1.25</v>
      </c>
      <c r="AE184" s="333">
        <f ca="1">IF(Case_Scenario="Bull",AE185,IF(Case_Scenario="Base",AE186,IF(Case_Scenario="bear",AE187,"N/A")))</f>
        <v>1.25</v>
      </c>
      <c r="AF184" s="333">
        <f ca="1">IF(Case_Scenario="Bull",AF185,IF(Case_Scenario="Base",AF186,IF(Case_Scenario="bear",AF187,"N/A")))</f>
        <v>1.25</v>
      </c>
      <c r="AG184" s="333">
        <f ca="1">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 ca="1">C38</f>
        <v>Segment 3 Revenue</v>
      </c>
      <c r="D189" s="16"/>
      <c r="E189" s="16"/>
      <c r="F189" s="317">
        <f t="shared" ref="F189:W189" si="196" ca="1">F55</f>
        <v>1e-12</v>
      </c>
      <c r="G189" s="317">
        <f ca="1">G55</f>
        <v>1e-12</v>
      </c>
      <c r="H189" s="317">
        <f ca="1">H55</f>
        <v>1e-12</v>
      </c>
      <c r="I189" s="317">
        <f ca="1">I55</f>
        <v>1e-12</v>
      </c>
      <c r="J189" s="287">
        <f ca="1">J55</f>
        <v>1e-12</v>
      </c>
      <c r="K189" s="317">
        <f ca="1">K55</f>
        <v>1e-12</v>
      </c>
      <c r="L189" s="317">
        <f ca="1">L55</f>
        <v>1e-12</v>
      </c>
      <c r="M189" s="317">
        <f ca="1">M55</f>
        <v>1e-12</v>
      </c>
      <c r="N189" s="317">
        <f ca="1">N55</f>
        <v>1e-12</v>
      </c>
      <c r="O189" s="287">
        <f ca="1">O55</f>
        <v>1e-12</v>
      </c>
      <c r="P189" s="317">
        <f ca="1">P55</f>
        <v>1e-12</v>
      </c>
      <c r="Q189" s="317">
        <f ca="1">Q55</f>
        <v>1e-12</v>
      </c>
      <c r="R189" s="317">
        <f ca="1">R55</f>
        <v>1e-12</v>
      </c>
      <c r="S189" s="317">
        <f ca="1">S55</f>
        <v>1e-12</v>
      </c>
      <c r="T189" s="287">
        <f ca="1">T55</f>
        <v>1e-12</v>
      </c>
      <c r="U189" s="317">
        <f ca="1">U55</f>
        <v>1e-12</v>
      </c>
      <c r="V189" s="317">
        <f ca="1">V55</f>
        <v>1e-12</v>
      </c>
      <c r="W189" s="317">
        <f ca="1">W55</f>
        <v>1e-12</v>
      </c>
      <c r="X189" s="286">
        <f ca="1">X191/X196</f>
        <v>1e-12</v>
      </c>
      <c r="Y189" s="287">
        <f ca="1">SUM(U189:X189)</f>
        <v>1e-12</v>
      </c>
      <c r="Z189" s="286">
        <f t="shared" ref="Z189:AC189" si="197" ca="1">Z191/Z196</f>
        <v>1e-12</v>
      </c>
      <c r="AA189" s="286">
        <f ca="1">AA191/AA196</f>
        <v>1e-12</v>
      </c>
      <c r="AB189" s="286">
        <f ca="1">AB191/AB196</f>
        <v>1e-12</v>
      </c>
      <c r="AC189" s="286">
        <f ca="1">AC191/AC196</f>
        <v>1e-12</v>
      </c>
      <c r="AD189" s="287">
        <f ca="1">SUM(Z189:AC189)</f>
        <v>1e-12</v>
      </c>
      <c r="AE189" s="287">
        <f t="shared" ref="AE189:AG189" si="198" ca="1">AE191/AE196</f>
        <v>1e-12</v>
      </c>
      <c r="AF189" s="287">
        <f ca="1">AF191/AF196</f>
        <v>1e-12</v>
      </c>
      <c r="AG189" s="287">
        <f ca="1">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 ca="1">W190+X191-X189</f>
        <v>1e-12</v>
      </c>
      <c r="Y190" s="326">
        <f ca="1">T190+Y191-Y189</f>
        <v>1e-12</v>
      </c>
      <c r="Z190" s="327">
        <f ca="1">X190+Z191-Z189</f>
        <v>1e-12</v>
      </c>
      <c r="AA190" s="327">
        <f t="shared" ref="AA190:AC190" si="199" ca="1">Z190+AA191-AA189</f>
        <v>1e-12</v>
      </c>
      <c r="AB190" s="327">
        <f ca="1">AA190+AB191-AB189</f>
        <v>1e-12</v>
      </c>
      <c r="AC190" s="327">
        <f ca="1">AB190+AC191-AC189</f>
        <v>1e-12</v>
      </c>
      <c r="AD190" s="326">
        <f ca="1">Y190+AD191-AD189</f>
        <v>1e-12</v>
      </c>
      <c r="AE190" s="326">
        <f t="shared" ref="AE190:AG190" si="200" ca="1">AD190+AE191-AE189</f>
        <v>1e-12</v>
      </c>
      <c r="AF190" s="326">
        <f ca="1">AE190+AF191-AF189</f>
        <v>1e-12</v>
      </c>
      <c r="AG190" s="326">
        <f ca="1">AF190+AG191-AG189</f>
        <v>1e-12</v>
      </c>
      <c r="AH190" s="16"/>
      <c r="AI190" s="16"/>
      <c r="AJ190" s="16"/>
    </row>
    <row r="191" ht="12.75" customHeight="1" hidden="1" spans="1:36" x14ac:dyDescent="0.25" outlineLevel="1" collapsed="1">
      <c r="A191" s="16"/>
      <c r="B191" s="16"/>
      <c r="C191" s="139" t="s">
        <v>259</v>
      </c>
      <c r="D191" s="16"/>
      <c r="E191" s="16"/>
      <c r="F191" s="325">
        <f ca="1">F190+F189-(0)</f>
        <v>1e-12</v>
      </c>
      <c r="G191" s="325">
        <f t="shared" ref="G191:I191" si="201" ca="1">G190+G189-F190</f>
        <v>1e-12</v>
      </c>
      <c r="H191" s="325">
        <f ca="1">H190+H189-G190</f>
        <v>1e-12</v>
      </c>
      <c r="I191" s="325">
        <f ca="1">I190+I189-H190</f>
        <v>1e-12</v>
      </c>
      <c r="J191" s="326">
        <f ca="1">SUM(F191:I191)</f>
        <v>1e-12</v>
      </c>
      <c r="K191" s="325">
        <f t="shared" ref="K191:N191" si="202" ca="1">K190+K189-J190</f>
        <v>1e-12</v>
      </c>
      <c r="L191" s="325">
        <f ca="1">L190+L189-K190</f>
        <v>1e-12</v>
      </c>
      <c r="M191" s="325">
        <f ca="1">M190+M189-L190</f>
        <v>1e-12</v>
      </c>
      <c r="N191" s="325">
        <f ca="1">N190+N189-M190</f>
        <v>1e-12</v>
      </c>
      <c r="O191" s="326">
        <f ca="1">SUM(K191:N191)</f>
        <v>1e-12</v>
      </c>
      <c r="P191" s="325">
        <f t="shared" ref="P191:S191" si="203" ca="1">P190+P189-O190</f>
        <v>1e-12</v>
      </c>
      <c r="Q191" s="325">
        <f ca="1">Q190+Q189-P190</f>
        <v>1e-12</v>
      </c>
      <c r="R191" s="325">
        <f ca="1">R190+R189-Q190</f>
        <v>1e-12</v>
      </c>
      <c r="S191" s="325">
        <f ca="1">S190+S189-R190</f>
        <v>1e-12</v>
      </c>
      <c r="T191" s="326">
        <f ca="1">SUM(P191:S191)</f>
        <v>1e-12</v>
      </c>
      <c r="U191" s="325">
        <f t="shared" ref="U191:W191" si="204" ca="1">U190+U189-T190</f>
        <v>1e-12</v>
      </c>
      <c r="V191" s="325">
        <f ca="1">V190+V189-U190</f>
        <v>1e-12</v>
      </c>
      <c r="W191" s="325">
        <f ca="1">W190+W189-V190</f>
        <v>1e-12</v>
      </c>
      <c r="X191" s="327">
        <f ca="1">W191*(1+X192)</f>
        <v>1e-12</v>
      </c>
      <c r="Y191" s="326">
        <f ca="1">SUM(U191:X191)</f>
        <v>1e-12</v>
      </c>
      <c r="Z191" s="327">
        <f ca="1">X191*(1+Z192)</f>
        <v>1e-12</v>
      </c>
      <c r="AA191" s="327">
        <f t="shared" ref="AA191:AC191" si="205" ca="1">Z191*(1+AA192)</f>
        <v>1e-12</v>
      </c>
      <c r="AB191" s="327">
        <f ca="1">AA191*(1+AB192)</f>
        <v>1e-12</v>
      </c>
      <c r="AC191" s="327">
        <f ca="1">AB191*(1+AC192)</f>
        <v>1e-12</v>
      </c>
      <c r="AD191" s="326">
        <f ca="1">SUM(Z191:AC191)</f>
        <v>1e-12</v>
      </c>
      <c r="AE191" s="326">
        <f t="shared" ref="AE191:AG191" si="206" ca="1">AD191*(1+AE192)</f>
        <v>1e-12</v>
      </c>
      <c r="AF191" s="326">
        <f ca="1">AE191*(1+AF192)</f>
        <v>1e-12</v>
      </c>
      <c r="AG191" s="326">
        <f ca="1">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7" ca="1">IFERROR(G191/F191-1,"--")</f>
        <v>--</v>
      </c>
      <c r="H192" s="318" t="str">
        <f ca="1">IFERROR(H191/G191-1,"--")</f>
        <v>--</v>
      </c>
      <c r="I192" s="318" t="str">
        <f ca="1">IFERROR(I191/H191-1,"--")</f>
        <v>--</v>
      </c>
      <c r="J192" s="168"/>
      <c r="K192" s="318" t="str">
        <f ca="1">IFERROR(K191/I191-1,"--")</f>
        <v>--</v>
      </c>
      <c r="L192" s="318" t="str">
        <f t="shared" ref="L192:N192" si="208" ca="1">IFERROR(L191/K191-1,"--")</f>
        <v>--</v>
      </c>
      <c r="M192" s="318" t="str">
        <f ca="1">IFERROR(M191/L191-1,"--")</f>
        <v>--</v>
      </c>
      <c r="N192" s="318" t="str">
        <f ca="1">IFERROR(N191/M191-1,"--")</f>
        <v>--</v>
      </c>
      <c r="O192" s="306" t="str">
        <f ca="1">IFERROR(O191/J191-1,"--")</f>
        <v>--</v>
      </c>
      <c r="P192" s="318" t="str">
        <f ca="1">IFERROR(P191/N191-1,"--")</f>
        <v>--</v>
      </c>
      <c r="Q192" s="318" t="str">
        <f t="shared" ref="Q192:S192" si="209" ca="1">IFERROR(Q191/P191-1,"--")</f>
        <v>--</v>
      </c>
      <c r="R192" s="318" t="str">
        <f ca="1">IFERROR(R191/Q191-1,"--")</f>
        <v>--</v>
      </c>
      <c r="S192" s="318" t="str">
        <f ca="1">IFERROR(S191/R191-1,"--")</f>
        <v>--</v>
      </c>
      <c r="T192" s="306" t="str">
        <f ca="1">IFERROR(T191/O191-1,"--")</f>
        <v>--</v>
      </c>
      <c r="U192" s="318" t="str">
        <f ca="1">IFERROR(U191/S191-1,"--")</f>
        <v>--</v>
      </c>
      <c r="V192" s="318" t="str">
        <f t="shared" ref="V192:W192" si="210" ca="1">IFERROR(V191/U191-1,"--")</f>
        <v>--</v>
      </c>
      <c r="W192" s="318" t="str">
        <f ca="1">IFERROR(W191/V191-1,"--")</f>
        <v>--</v>
      </c>
      <c r="X192" s="305">
        <f ca="1">IF(Case_Scenario="Bull",X193,IF(Case_Scenario="Base",X194,IF(Case_Scenario="bear",X195,"N/A")))</f>
        <v>0.05</v>
      </c>
      <c r="Y192" s="306"/>
      <c r="Z192" s="305">
        <f ca="1">IF(Case_Scenario="Bull",Z193,IF(Case_Scenario="Base",Z194,IF(Case_Scenario="bear",Z195,"N/A")))</f>
        <v>0.05</v>
      </c>
      <c r="AA192" s="305">
        <f ca="1">IF(Case_Scenario="Bull",AA193,IF(Case_Scenario="Base",AA194,IF(Case_Scenario="bear",AA195,"N/A")))</f>
        <v>0.05</v>
      </c>
      <c r="AB192" s="305">
        <f ca="1">IF(Case_Scenario="Bull",AB193,IF(Case_Scenario="Base",AB194,IF(Case_Scenario="bear",AB195,"N/A")))</f>
        <v>0.05</v>
      </c>
      <c r="AC192" s="305">
        <f ca="1">IF(Case_Scenario="Bull",AC193,IF(Case_Scenario="Base",AC194,IF(Case_Scenario="bear",AC195,"N/A")))</f>
        <v>0.05</v>
      </c>
      <c r="AD192" s="306"/>
      <c r="AE192" s="306">
        <f ca="1">IF(Case_Scenario="Bull",AE193,IF(Case_Scenario="Base",AE194,IF(Case_Scenario="bear",AE195,"N/A")))</f>
        <v>0.05</v>
      </c>
      <c r="AF192" s="306">
        <f ca="1">IF(Case_Scenario="Bull",AF193,IF(Case_Scenario="Base",AF194,IF(Case_Scenario="bear",AF195,"N/A")))</f>
        <v>0.05</v>
      </c>
      <c r="AG192" s="306">
        <f ca="1">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f ca="1">F191/F189</f>
      </c>
      <c r="G196" s="339">
        <f ca="1">G191/G189</f>
      </c>
      <c r="H196" s="339">
        <f ca="1">H191/H189</f>
      </c>
      <c r="I196" s="339">
        <f ca="1">I191/I189</f>
      </c>
      <c r="J196" s="340">
        <f ca="1">J191/J189</f>
      </c>
      <c r="K196" s="339">
        <f ca="1">K191/K189</f>
      </c>
      <c r="L196" s="339">
        <f ca="1">L191/L189</f>
      </c>
      <c r="M196" s="339">
        <f ca="1">M191/M189</f>
      </c>
      <c r="N196" s="339">
        <f ca="1">N191/N189</f>
      </c>
      <c r="O196" s="340">
        <f ca="1">O191/O189</f>
      </c>
      <c r="P196" s="339">
        <f ca="1">P191/P189</f>
      </c>
      <c r="Q196" s="339">
        <f ca="1">Q191/Q189</f>
      </c>
      <c r="R196" s="339">
        <f ca="1">R191/R189</f>
      </c>
      <c r="S196" s="339">
        <f ca="1">S191/S189</f>
      </c>
      <c r="T196" s="340">
        <f ca="1">T191/T189</f>
      </c>
      <c r="U196" s="339">
        <f ca="1">U191/U189</f>
      </c>
      <c r="V196" s="339">
        <f ca="1">V191/V189</f>
      </c>
      <c r="W196" s="339">
        <f ca="1">W191/W189</f>
      </c>
      <c r="X196" s="334">
        <f ca="1">IF(Case_Scenario="Bull",X197,IF(Case_Scenario="Base",X198,IF(Case_Scenario="bear",X199,"N/A")))</f>
        <v>1.25</v>
      </c>
      <c r="Y196" s="333">
        <f ca="1">AVERAGE(U196:X196)</f>
      </c>
      <c r="Z196" s="334">
        <f ca="1">IF(Case_Scenario="Bull",Z197,IF(Case_Scenario="Base",Z198,IF(Case_Scenario="bear",Z199,"N/A")))</f>
        <v>1.25</v>
      </c>
      <c r="AA196" s="334">
        <f ca="1">IF(Case_Scenario="Bull",AA197,IF(Case_Scenario="Base",AA198,IF(Case_Scenario="bear",AA199,"N/A")))</f>
        <v>1.25</v>
      </c>
      <c r="AB196" s="334">
        <f ca="1">IF(Case_Scenario="Bull",AB197,IF(Case_Scenario="Base",AB198,IF(Case_Scenario="bear",AB199,"N/A")))</f>
        <v>1.25</v>
      </c>
      <c r="AC196" s="334">
        <f ca="1">IF(Case_Scenario="Bull",AC197,IF(Case_Scenario="Base",AC198,IF(Case_Scenario="bear",AC199,"N/A")))</f>
        <v>1.25</v>
      </c>
      <c r="AD196" s="333">
        <f ca="1">AVERAGE(Z196:AC196)</f>
        <v>1.25</v>
      </c>
      <c r="AE196" s="333">
        <f ca="1">IF(Case_Scenario="Bull",AE197,IF(Case_Scenario="Base",AE198,IF(Case_Scenario="bear",AE199,"N/A")))</f>
        <v>1.25</v>
      </c>
      <c r="AF196" s="333">
        <f ca="1">IF(Case_Scenario="Bull",AF197,IF(Case_Scenario="Base",AF198,IF(Case_Scenario="bear",AF199,"N/A")))</f>
        <v>1.25</v>
      </c>
      <c r="AG196" s="333">
        <f ca="1">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 ca="1">C41</f>
        <v>Segment 4 Revenue</v>
      </c>
      <c r="D201" s="16"/>
      <c r="E201" s="16"/>
      <c r="F201" s="317">
        <f t="shared" ref="F201:W201" si="211" ca="1">F67</f>
        <v>1e-12</v>
      </c>
      <c r="G201" s="317">
        <f ca="1">G67</f>
        <v>1e-12</v>
      </c>
      <c r="H201" s="317">
        <f ca="1">H67</f>
        <v>1e-12</v>
      </c>
      <c r="I201" s="317">
        <f ca="1">I67</f>
        <v>1e-12</v>
      </c>
      <c r="J201" s="287">
        <f ca="1">J67</f>
        <v>1e-12</v>
      </c>
      <c r="K201" s="317">
        <f ca="1">K67</f>
        <v>1e-12</v>
      </c>
      <c r="L201" s="317">
        <f ca="1">L67</f>
        <v>1e-12</v>
      </c>
      <c r="M201" s="317">
        <f ca="1">M67</f>
        <v>1e-12</v>
      </c>
      <c r="N201" s="317">
        <f ca="1">N67</f>
        <v>1e-12</v>
      </c>
      <c r="O201" s="287">
        <f ca="1">O67</f>
        <v>1e-12</v>
      </c>
      <c r="P201" s="317">
        <f ca="1">P67</f>
        <v>1e-12</v>
      </c>
      <c r="Q201" s="317">
        <f ca="1">Q67</f>
        <v>1e-12</v>
      </c>
      <c r="R201" s="317">
        <f ca="1">R67</f>
        <v>1e-12</v>
      </c>
      <c r="S201" s="317">
        <f ca="1">S67</f>
        <v>1e-12</v>
      </c>
      <c r="T201" s="287">
        <f ca="1">T67</f>
        <v>1e-12</v>
      </c>
      <c r="U201" s="317">
        <f ca="1">U67</f>
        <v>1e-12</v>
      </c>
      <c r="V201" s="317">
        <f ca="1">V67</f>
        <v>1e-12</v>
      </c>
      <c r="W201" s="317">
        <f ca="1">W67</f>
        <v>1e-12</v>
      </c>
      <c r="X201" s="286">
        <f ca="1">X203/X208</f>
        <v>1e-12</v>
      </c>
      <c r="Y201" s="287">
        <f ca="1">SUM(U201:X201)</f>
        <v>1e-12</v>
      </c>
      <c r="Z201" s="286">
        <f t="shared" ref="Z201:AC201" si="212" ca="1">Z203/Z208</f>
        <v>1e-12</v>
      </c>
      <c r="AA201" s="286">
        <f ca="1">AA203/AA208</f>
        <v>1e-12</v>
      </c>
      <c r="AB201" s="286">
        <f ca="1">AB203/AB208</f>
        <v>1e-12</v>
      </c>
      <c r="AC201" s="286">
        <f ca="1">AC203/AC208</f>
        <v>1e-12</v>
      </c>
      <c r="AD201" s="287">
        <f ca="1">SUM(Z201:AC201)</f>
        <v>1e-12</v>
      </c>
      <c r="AE201" s="287">
        <f t="shared" ref="AE201:AG201" si="213" ca="1">AE203/AE208</f>
        <v>1e-12</v>
      </c>
      <c r="AF201" s="287">
        <f ca="1">AF203/AF208</f>
        <v>1e-12</v>
      </c>
      <c r="AG201" s="287">
        <f ca="1">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 ca="1">W202+X203-X201</f>
        <v>1e-12</v>
      </c>
      <c r="Y202" s="326">
        <f ca="1">T202+Y203-Y201</f>
        <v>1e-12</v>
      </c>
      <c r="Z202" s="327">
        <f ca="1">X202+Z203-Z201</f>
        <v>1e-12</v>
      </c>
      <c r="AA202" s="327">
        <f t="shared" ref="AA202:AC202" si="214" ca="1">Z202+AA203-AA201</f>
        <v>1e-12</v>
      </c>
      <c r="AB202" s="327">
        <f ca="1">AA202+AB203-AB201</f>
        <v>1e-12</v>
      </c>
      <c r="AC202" s="327">
        <f ca="1">AB202+AC203-AC201</f>
        <v>1e-12</v>
      </c>
      <c r="AD202" s="326">
        <f ca="1">Y202+AD203-AD201</f>
        <v>1e-12</v>
      </c>
      <c r="AE202" s="326">
        <f t="shared" ref="AE202:AG202" si="215" ca="1">AD202+AE203-AE201</f>
        <v>1e-12</v>
      </c>
      <c r="AF202" s="326">
        <f ca="1">AE202+AF203-AF201</f>
        <v>1e-12</v>
      </c>
      <c r="AG202" s="326">
        <f ca="1">AF202+AG203-AG201</f>
        <v>1e-12</v>
      </c>
      <c r="AH202" s="16"/>
      <c r="AI202" s="16"/>
      <c r="AJ202" s="16"/>
    </row>
    <row r="203" ht="12.75" customHeight="1" hidden="1" spans="1:36" x14ac:dyDescent="0.25" outlineLevel="1" collapsed="1">
      <c r="A203" s="16"/>
      <c r="B203" s="16"/>
      <c r="C203" s="139" t="s">
        <v>259</v>
      </c>
      <c r="D203" s="16"/>
      <c r="E203" s="16"/>
      <c r="F203" s="325">
        <f ca="1">F202+F201-(0)</f>
        <v>1e-12</v>
      </c>
      <c r="G203" s="325">
        <f t="shared" ref="G203:I203" si="216" ca="1">G202+G201-F202</f>
        <v>1e-12</v>
      </c>
      <c r="H203" s="325">
        <f ca="1">H202+H201-G202</f>
        <v>1e-12</v>
      </c>
      <c r="I203" s="325">
        <f ca="1">I202+I201-H202</f>
        <v>1e-12</v>
      </c>
      <c r="J203" s="326">
        <f ca="1">SUM(F203:I203)</f>
        <v>1e-12</v>
      </c>
      <c r="K203" s="325">
        <f t="shared" ref="K203:N203" si="217" ca="1">K202+K201-J202</f>
        <v>1e-12</v>
      </c>
      <c r="L203" s="325">
        <f ca="1">L202+L201-K202</f>
        <v>1e-12</v>
      </c>
      <c r="M203" s="325">
        <f ca="1">M202+M201-L202</f>
        <v>1e-12</v>
      </c>
      <c r="N203" s="325">
        <f ca="1">N202+N201-M202</f>
        <v>1e-12</v>
      </c>
      <c r="O203" s="326">
        <f ca="1">SUM(K203:N203)</f>
        <v>1e-12</v>
      </c>
      <c r="P203" s="325">
        <f t="shared" ref="P203:S203" si="218" ca="1">P202+P201-O202</f>
        <v>1e-12</v>
      </c>
      <c r="Q203" s="325">
        <f ca="1">Q202+Q201-P202</f>
        <v>1e-12</v>
      </c>
      <c r="R203" s="325">
        <f ca="1">R202+R201-Q202</f>
        <v>1e-12</v>
      </c>
      <c r="S203" s="325">
        <f ca="1">S202+S201-R202</f>
        <v>1e-12</v>
      </c>
      <c r="T203" s="326">
        <f ca="1">SUM(P203:S203)</f>
        <v>1e-12</v>
      </c>
      <c r="U203" s="325">
        <f t="shared" ref="U203:W203" si="219" ca="1">U202+U201-T202</f>
        <v>1e-12</v>
      </c>
      <c r="V203" s="325">
        <f ca="1">V202+V201-U202</f>
        <v>1e-12</v>
      </c>
      <c r="W203" s="325">
        <f ca="1">W202+W201-V202</f>
        <v>1e-12</v>
      </c>
      <c r="X203" s="327">
        <f ca="1">W203*(1+X204)</f>
        <v>1e-12</v>
      </c>
      <c r="Y203" s="326">
        <f ca="1">SUM(U203:X203)</f>
        <v>1e-12</v>
      </c>
      <c r="Z203" s="327">
        <f ca="1">X203*(1+Z204)</f>
        <v>1e-12</v>
      </c>
      <c r="AA203" s="327">
        <f t="shared" ref="AA203:AC203" si="220" ca="1">Z203*(1+AA204)</f>
        <v>1e-12</v>
      </c>
      <c r="AB203" s="327">
        <f ca="1">AA203*(1+AB204)</f>
        <v>1e-12</v>
      </c>
      <c r="AC203" s="327">
        <f ca="1">AB203*(1+AC204)</f>
        <v>1e-12</v>
      </c>
      <c r="AD203" s="326">
        <f ca="1">SUM(Z203:AC203)</f>
        <v>1e-12</v>
      </c>
      <c r="AE203" s="326">
        <f t="shared" ref="AE203:AG203" si="221" ca="1">AD203*(1+AE204)</f>
        <v>1e-12</v>
      </c>
      <c r="AF203" s="326">
        <f ca="1">AE203*(1+AF204)</f>
        <v>1e-12</v>
      </c>
      <c r="AG203" s="326">
        <f ca="1">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2" ca="1">IFERROR(G203/F203-1,"--")</f>
        <v>--</v>
      </c>
      <c r="H204" s="318" t="str">
        <f ca="1">IFERROR(H203/G203-1,"--")</f>
        <v>--</v>
      </c>
      <c r="I204" s="318" t="str">
        <f ca="1">IFERROR(I203/H203-1,"--")</f>
        <v>--</v>
      </c>
      <c r="J204" s="168"/>
      <c r="K204" s="318" t="str">
        <f ca="1">IFERROR(K203/I203-1,"--")</f>
        <v>--</v>
      </c>
      <c r="L204" s="318" t="str">
        <f t="shared" ref="L204:N204" si="223" ca="1">IFERROR(L203/K203-1,"--")</f>
        <v>--</v>
      </c>
      <c r="M204" s="318" t="str">
        <f ca="1">IFERROR(M203/L203-1,"--")</f>
        <v>--</v>
      </c>
      <c r="N204" s="318" t="str">
        <f ca="1">IFERROR(N203/M203-1,"--")</f>
        <v>--</v>
      </c>
      <c r="O204" s="306" t="str">
        <f ca="1">IFERROR(O203/J203-1,"--")</f>
        <v>--</v>
      </c>
      <c r="P204" s="318" t="str">
        <f ca="1">IFERROR(P203/N203-1,"--")</f>
        <v>--</v>
      </c>
      <c r="Q204" s="318" t="str">
        <f t="shared" ref="Q204:S204" si="224" ca="1">IFERROR(Q203/P203-1,"--")</f>
        <v>--</v>
      </c>
      <c r="R204" s="318" t="str">
        <f ca="1">IFERROR(R203/Q203-1,"--")</f>
        <v>--</v>
      </c>
      <c r="S204" s="318" t="str">
        <f ca="1">IFERROR(S203/R203-1,"--")</f>
        <v>--</v>
      </c>
      <c r="T204" s="306" t="str">
        <f ca="1">IFERROR(T203/O203-1,"--")</f>
        <v>--</v>
      </c>
      <c r="U204" s="318" t="str">
        <f ca="1">IFERROR(U203/S203-1,"--")</f>
        <v>--</v>
      </c>
      <c r="V204" s="318" t="str">
        <f t="shared" ref="V204:W204" si="225" ca="1">IFERROR(V203/U203-1,"--")</f>
        <v>--</v>
      </c>
      <c r="W204" s="318" t="str">
        <f ca="1">IFERROR(W203/V203-1,"--")</f>
        <v>--</v>
      </c>
      <c r="X204" s="305">
        <f ca="1">IF(Case_Scenario="Bull",X205,IF(Case_Scenario="Base",X206,IF(Case_Scenario="bear",X207,"N/A")))</f>
        <v>0.05</v>
      </c>
      <c r="Y204" s="306"/>
      <c r="Z204" s="305">
        <f ca="1">IF(Case_Scenario="Bull",Z205,IF(Case_Scenario="Base",Z206,IF(Case_Scenario="bear",Z207,"N/A")))</f>
        <v>0.05</v>
      </c>
      <c r="AA204" s="305">
        <f ca="1">IF(Case_Scenario="Bull",AA205,IF(Case_Scenario="Base",AA206,IF(Case_Scenario="bear",AA207,"N/A")))</f>
        <v>0.05</v>
      </c>
      <c r="AB204" s="305">
        <f ca="1">IF(Case_Scenario="Bull",AB205,IF(Case_Scenario="Base",AB206,IF(Case_Scenario="bear",AB207,"N/A")))</f>
        <v>0.05</v>
      </c>
      <c r="AC204" s="305">
        <f ca="1">IF(Case_Scenario="Bull",AC205,IF(Case_Scenario="Base",AC206,IF(Case_Scenario="bear",AC207,"N/A")))</f>
        <v>0.05</v>
      </c>
      <c r="AD204" s="306"/>
      <c r="AE204" s="306">
        <f ca="1">IF(Case_Scenario="Bull",AE205,IF(Case_Scenario="Base",AE206,IF(Case_Scenario="bear",AE207,"N/A")))</f>
        <v>0.05</v>
      </c>
      <c r="AF204" s="306">
        <f ca="1">IF(Case_Scenario="Bull",AF205,IF(Case_Scenario="Base",AF206,IF(Case_Scenario="bear",AF207,"N/A")))</f>
        <v>0.05</v>
      </c>
      <c r="AG204" s="306">
        <f ca="1">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f ca="1">F203/F201</f>
      </c>
      <c r="G208" s="339">
        <f ca="1">G203/G201</f>
      </c>
      <c r="H208" s="339">
        <f ca="1">H203/H201</f>
      </c>
      <c r="I208" s="339">
        <f ca="1">I203/I201</f>
      </c>
      <c r="J208" s="340">
        <f ca="1">J203/J201</f>
      </c>
      <c r="K208" s="339">
        <f ca="1">K203/K201</f>
      </c>
      <c r="L208" s="339">
        <f ca="1">L203/L201</f>
      </c>
      <c r="M208" s="339">
        <f ca="1">M203/M201</f>
      </c>
      <c r="N208" s="339">
        <f ca="1">N203/N201</f>
      </c>
      <c r="O208" s="340">
        <f ca="1">O203/O201</f>
      </c>
      <c r="P208" s="339">
        <f ca="1">P203/P201</f>
      </c>
      <c r="Q208" s="339">
        <f ca="1">Q203/Q201</f>
      </c>
      <c r="R208" s="339">
        <f ca="1">R203/R201</f>
      </c>
      <c r="S208" s="339">
        <f ca="1">S203/S201</f>
      </c>
      <c r="T208" s="340">
        <f ca="1">T203/T201</f>
      </c>
      <c r="U208" s="339">
        <f ca="1">U203/U201</f>
      </c>
      <c r="V208" s="339">
        <f ca="1">V203/V201</f>
      </c>
      <c r="W208" s="339">
        <f ca="1">W203/W201</f>
      </c>
      <c r="X208" s="334">
        <f ca="1">IF(Case_Scenario="Bull",X209,IF(Case_Scenario="Base",X210,IF(Case_Scenario="bear",X211,"N/A")))</f>
        <v>1.25</v>
      </c>
      <c r="Y208" s="333">
        <f ca="1">AVERAGE(U208:X208)</f>
      </c>
      <c r="Z208" s="334">
        <f ca="1">IF(Case_Scenario="Bull",Z209,IF(Case_Scenario="Base",Z210,IF(Case_Scenario="bear",Z211,"N/A")))</f>
        <v>1.25</v>
      </c>
      <c r="AA208" s="334">
        <f ca="1">IF(Case_Scenario="Bull",AA209,IF(Case_Scenario="Base",AA210,IF(Case_Scenario="bear",AA211,"N/A")))</f>
        <v>1.25</v>
      </c>
      <c r="AB208" s="334">
        <f ca="1">IF(Case_Scenario="Bull",AB209,IF(Case_Scenario="Base",AB210,IF(Case_Scenario="bear",AB211,"N/A")))</f>
        <v>1.25</v>
      </c>
      <c r="AC208" s="334">
        <f ca="1">IF(Case_Scenario="Bull",AC209,IF(Case_Scenario="Base",AC210,IF(Case_Scenario="bear",AC211,"N/A")))</f>
        <v>1.25</v>
      </c>
      <c r="AD208" s="333">
        <f ca="1">AVERAGE(Z208:AC208)</f>
        <v>1.25</v>
      </c>
      <c r="AE208" s="333">
        <f ca="1">IF(Case_Scenario="Bull",AE209,IF(Case_Scenario="Base",AE210,IF(Case_Scenario="bear",AE211,"N/A")))</f>
        <v>1.25</v>
      </c>
      <c r="AF208" s="333">
        <f ca="1">IF(Case_Scenario="Bull",AF209,IF(Case_Scenario="Base",AF210,IF(Case_Scenario="bear",AF211,"N/A")))</f>
        <v>1.25</v>
      </c>
      <c r="AG208" s="333">
        <f ca="1">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 ca="1">C44</f>
        <v>Segment 5 Revenue</v>
      </c>
      <c r="D213" s="16"/>
      <c r="E213" s="16"/>
      <c r="F213" s="317">
        <f t="shared" ref="F213:W213" si="226" ca="1">F44</f>
        <v>1e-12</v>
      </c>
      <c r="G213" s="317">
        <f ca="1">G44</f>
        <v>1e-12</v>
      </c>
      <c r="H213" s="317">
        <f ca="1">H44</f>
        <v>1e-12</v>
      </c>
      <c r="I213" s="317">
        <f ca="1">I44</f>
        <v>1e-12</v>
      </c>
      <c r="J213" s="287">
        <f ca="1">J44</f>
        <v>1e-12</v>
      </c>
      <c r="K213" s="317">
        <f ca="1">K44</f>
        <v>1e-12</v>
      </c>
      <c r="L213" s="317">
        <f ca="1">L44</f>
        <v>1e-12</v>
      </c>
      <c r="M213" s="317">
        <f ca="1">M44</f>
        <v>1e-12</v>
      </c>
      <c r="N213" s="317">
        <f ca="1">N44</f>
        <v>1e-12</v>
      </c>
      <c r="O213" s="287">
        <f ca="1">O44</f>
        <v>1e-12</v>
      </c>
      <c r="P213" s="317">
        <f ca="1">P44</f>
        <v>1e-12</v>
      </c>
      <c r="Q213" s="317">
        <f ca="1">Q44</f>
        <v>1e-12</v>
      </c>
      <c r="R213" s="317">
        <f ca="1">R44</f>
        <v>1e-12</v>
      </c>
      <c r="S213" s="317">
        <f ca="1">S44</f>
        <v>1e-12</v>
      </c>
      <c r="T213" s="287">
        <f ca="1">T44</f>
        <v>1e-12</v>
      </c>
      <c r="U213" s="317">
        <f ca="1">U44</f>
        <v>1e-12</v>
      </c>
      <c r="V213" s="317">
        <f ca="1">V44</f>
        <v>1e-12</v>
      </c>
      <c r="W213" s="317">
        <f ca="1">W44</f>
        <v>1e-12</v>
      </c>
      <c r="X213" s="286">
        <f ca="1">X215/X220</f>
        <v>-124.32000000000001</v>
      </c>
      <c r="Y213" s="287">
        <f ca="1">SUM(U213:X213)</f>
        <v>-124.32000000000001</v>
      </c>
      <c r="Z213" s="286">
        <f t="shared" ref="Z213:AC213" si="227" ca="1">Z215/Z220</f>
        <v>-130.536</v>
      </c>
      <c r="AA213" s="286">
        <f ca="1">AA215/AA220</f>
        <v>-137.0628</v>
      </c>
      <c r="AB213" s="286">
        <f ca="1">AB215/AB220</f>
        <v>-143.91594000000003</v>
      </c>
      <c r="AC213" s="286">
        <f ca="1">AC215/AC220</f>
        <v>-151.11173700000003</v>
      </c>
      <c r="AD213" s="287">
        <f ca="1">SUM(Z213:AC213)</f>
        <v>-562.626477</v>
      </c>
      <c r="AE213" s="287">
        <f t="shared" ref="AE213:AG213" si="228" ca="1">AE215/AE220</f>
        <v>-590.7578008500002</v>
      </c>
      <c r="AF213" s="287">
        <f ca="1">AF215/AF220</f>
        <v>-620.2956908925001</v>
      </c>
      <c r="AG213" s="287">
        <f ca="1">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 ca="1">0+J215-J213</f>
        <v>1e-12</v>
      </c>
      <c r="K214" s="325">
        <v>0</v>
      </c>
      <c r="L214" s="325">
        <v>0</v>
      </c>
      <c r="M214" s="325">
        <v>16251</v>
      </c>
      <c r="N214" s="325">
        <v>17223</v>
      </c>
      <c r="O214" s="326">
        <f ca="1">15631+O215-O213</f>
        <v>17223</v>
      </c>
      <c r="P214" s="325">
        <v>20464</v>
      </c>
      <c r="Q214" s="325">
        <v>20388</v>
      </c>
      <c r="R214" s="325">
        <v>20240</v>
      </c>
      <c r="S214" s="325">
        <v>21008</v>
      </c>
      <c r="T214" s="326">
        <f ca="1">O214+T215-T213</f>
        <v>21008</v>
      </c>
      <c r="U214" s="325">
        <v>20464</v>
      </c>
      <c r="V214" s="325">
        <v>20388</v>
      </c>
      <c r="W214" s="325">
        <v>20240</v>
      </c>
      <c r="X214" s="327">
        <f ca="1">W214+X215-X213</f>
        <v>20208.92</v>
      </c>
      <c r="Y214" s="326">
        <f ca="1">T214+Y215-Y213</f>
        <v>20208.92</v>
      </c>
      <c r="Z214" s="327">
        <f ca="1">X214+Z215-Z213</f>
        <v>20176.286</v>
      </c>
      <c r="AA214" s="327">
        <f t="shared" ref="AA214:AC214" si="229" ca="1">Z214+AA215-AA213</f>
        <v>20142.0203</v>
      </c>
      <c r="AB214" s="327">
        <f ca="1">AA214+AB215-AB213</f>
        <v>20106.041315</v>
      </c>
      <c r="AC214" s="327">
        <f ca="1">AB214+AC215-AC213</f>
        <v>20068.26338075</v>
      </c>
      <c r="AD214" s="326">
        <f ca="1">Y214+AD215-AD213</f>
        <v>20068.26338075</v>
      </c>
      <c r="AE214" s="326">
        <f t="shared" ref="AE214:AG214" si="230" ca="1">AD214+AE215-AE213</f>
        <v>19920.573930537495</v>
      </c>
      <c r="AF214" s="326">
        <f ca="1">AE214+AF215-AF213</f>
        <v>19765.50000781437</v>
      </c>
      <c r="AG214" s="326">
        <f ca="1">AF214+AG215-AG213</f>
        <v>19602.672388955092</v>
      </c>
      <c r="AH214" s="16"/>
      <c r="AI214" s="16"/>
      <c r="AJ214" s="16"/>
    </row>
    <row r="215" ht="12.75" customHeight="1" hidden="1" spans="1:36" x14ac:dyDescent="0.25" outlineLevel="1" collapsed="1">
      <c r="A215" s="16"/>
      <c r="B215" s="16"/>
      <c r="C215" s="139" t="s">
        <v>259</v>
      </c>
      <c r="D215" s="16"/>
      <c r="E215" s="16"/>
      <c r="F215" s="325">
        <f ca="1">F214+F213-(0)</f>
        <v>1e-12</v>
      </c>
      <c r="G215" s="325">
        <f t="shared" ref="G215:I215" si="231" ca="1">G214+G213-F214</f>
        <v>1e-12</v>
      </c>
      <c r="H215" s="325">
        <f ca="1">H214+H213-G214</f>
        <v>1e-12</v>
      </c>
      <c r="I215" s="325">
        <f ca="1">I214+I213-H214</f>
        <v>1e-12</v>
      </c>
      <c r="J215" s="326">
        <f ca="1">SUM(F215:I215)</f>
        <v>1e-12</v>
      </c>
      <c r="K215" s="325">
        <f t="shared" ref="K215:L215" si="232" ca="1">K214+K213-J214</f>
        <v>1e-12</v>
      </c>
      <c r="L215" s="325">
        <f ca="1">L214+L213-K214</f>
        <v>1e-12</v>
      </c>
      <c r="M215" s="325">
        <f ca="1">M214+M213-15631</f>
        <v>620</v>
      </c>
      <c r="N215" s="325">
        <f ca="1">N214+N213-M214</f>
        <v>972</v>
      </c>
      <c r="O215" s="326">
        <f ca="1">SUM(M215:N215)</f>
        <v>1592</v>
      </c>
      <c r="P215" s="325">
        <f t="shared" ref="P215:S215" si="233" ca="1">P214+P213-O214</f>
        <v>3241</v>
      </c>
      <c r="Q215" s="325">
        <f ca="1">Q214+Q213-P214</f>
        <v>-76</v>
      </c>
      <c r="R215" s="325">
        <f ca="1">R214+R213-Q214</f>
        <v>-148</v>
      </c>
      <c r="S215" s="325">
        <f ca="1">S214+S213-R214</f>
        <v>768</v>
      </c>
      <c r="T215" s="326">
        <f ca="1">SUM(P215:S215)</f>
        <v>3785</v>
      </c>
      <c r="U215" s="325">
        <f t="shared" ref="U215:W215" si="234" ca="1">U214+U213-T214</f>
        <v>-544</v>
      </c>
      <c r="V215" s="325">
        <f ca="1">V214+V213-U214</f>
        <v>-76</v>
      </c>
      <c r="W215" s="325">
        <f ca="1">W214+W213-V214</f>
        <v>-148</v>
      </c>
      <c r="X215" s="327">
        <f ca="1">W215*(1+X216)</f>
        <v>-155.4</v>
      </c>
      <c r="Y215" s="326">
        <f ca="1">SUM(U215:X215)</f>
        <v>-923.4</v>
      </c>
      <c r="Z215" s="327">
        <f ca="1">X215*(1+Z216)</f>
        <v>-163.17000000000002</v>
      </c>
      <c r="AA215" s="327">
        <f t="shared" ref="AA215:AC215" si="235" ca="1">Z215*(1+AA216)</f>
        <v>-171.32850000000002</v>
      </c>
      <c r="AB215" s="327">
        <f ca="1">AA215*(1+AB216)</f>
        <v>-179.89492500000003</v>
      </c>
      <c r="AC215" s="327">
        <f ca="1">AB215*(1+AC216)</f>
        <v>-188.88967125000005</v>
      </c>
      <c r="AD215" s="326">
        <f ca="1">SUM(Z215:AC215)</f>
        <v>-703.2830962500002</v>
      </c>
      <c r="AE215" s="326">
        <f t="shared" ref="AE215:AG215" si="236" ca="1">AD215*(1+AE216)</f>
        <v>-738.4472510625002</v>
      </c>
      <c r="AF215" s="326">
        <f ca="1">AE215*(1+AF216)</f>
        <v>-775.3696136156252</v>
      </c>
      <c r="AG215" s="326">
        <f ca="1">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37" ca="1">IFERROR(G215/F215-1,"--")</f>
        <v>--</v>
      </c>
      <c r="H216" s="318" t="str">
        <f ca="1">IFERROR(H215/G215-1,"--")</f>
        <v>--</v>
      </c>
      <c r="I216" s="318" t="str">
        <f ca="1">IFERROR(I215/H215-1,"--")</f>
        <v>--</v>
      </c>
      <c r="J216" s="168"/>
      <c r="K216" s="318" t="str">
        <f ca="1">IFERROR(K215/I215-1,"--")</f>
        <v>--</v>
      </c>
      <c r="L216" s="318" t="str">
        <f t="shared" ref="L216:N216" si="238" ca="1">IFERROR(L215/K215-1,"--")</f>
        <v>--</v>
      </c>
      <c r="M216" s="318" t="str">
        <f ca="1">IFERROR(M215/L215-1,"--")</f>
        <v>--</v>
      </c>
      <c r="N216" s="318">
        <f ca="1">IFERROR(N215/M215-1,"--")</f>
        <v>0.5677419354838709</v>
      </c>
      <c r="O216" s="306" t="str">
        <f ca="1">IFERROR(O215/J215-1,"--")</f>
        <v>--</v>
      </c>
      <c r="P216" s="318">
        <f ca="1">IFERROR(P215/N215-1,"--")</f>
        <v>2.3343621399176953</v>
      </c>
      <c r="Q216" s="318">
        <f t="shared" ref="Q216:S216" si="239" ca="1">IFERROR(Q215/P215-1,"--")</f>
        <v>-1.02344955260722</v>
      </c>
      <c r="R216" s="318">
        <f ca="1">IFERROR(R215/Q215-1,"--")</f>
        <v>0.9473684210526316</v>
      </c>
      <c r="S216" s="318">
        <f ca="1">IFERROR(S215/R215-1,"--")</f>
        <v>-6.1891891891891895</v>
      </c>
      <c r="T216" s="306">
        <f ca="1">IFERROR(T215/O215-1,"--")</f>
        <v>1.3775125628140703</v>
      </c>
      <c r="U216" s="318">
        <f ca="1">IFERROR(U215/S215-1,"--")</f>
        <v>-1.7083333333333335</v>
      </c>
      <c r="V216" s="318">
        <f t="shared" ref="V216:W216" si="240" ca="1">IFERROR(V215/U215-1,"--")</f>
        <v>-0.8602941176470589</v>
      </c>
      <c r="W216" s="318">
        <f ca="1">IFERROR(W215/V215-1,"--")</f>
        <v>0.9473684210526316</v>
      </c>
      <c r="X216" s="305">
        <f ca="1">IF(Case_Scenario="Bull",X217,IF(Case_Scenario="Base",X218,IF(Case_Scenario="bear",X219,"N/A")))</f>
        <v>0.05</v>
      </c>
      <c r="Y216" s="306"/>
      <c r="Z216" s="305">
        <f ca="1">IF(Case_Scenario="Bull",Z217,IF(Case_Scenario="Base",Z218,IF(Case_Scenario="bear",Z219,"N/A")))</f>
        <v>0.05</v>
      </c>
      <c r="AA216" s="305">
        <f ca="1">IF(Case_Scenario="Bull",AA217,IF(Case_Scenario="Base",AA218,IF(Case_Scenario="bear",AA219,"N/A")))</f>
        <v>0.05</v>
      </c>
      <c r="AB216" s="305">
        <f ca="1">IF(Case_Scenario="Bull",AB217,IF(Case_Scenario="Base",AB218,IF(Case_Scenario="bear",AB219,"N/A")))</f>
        <v>0.05</v>
      </c>
      <c r="AC216" s="305">
        <f ca="1">IF(Case_Scenario="Bull",AC217,IF(Case_Scenario="Base",AC218,IF(Case_Scenario="bear",AC219,"N/A")))</f>
        <v>0.05</v>
      </c>
      <c r="AD216" s="306"/>
      <c r="AE216" s="306">
        <f ca="1">IF(Case_Scenario="Bull",AE217,IF(Case_Scenario="Base",AE218,IF(Case_Scenario="bear",AE219,"N/A")))</f>
        <v>0.05</v>
      </c>
      <c r="AF216" s="306">
        <f ca="1">IF(Case_Scenario="Bull",AF217,IF(Case_Scenario="Base",AF218,IF(Case_Scenario="bear",AF219,"N/A")))</f>
        <v>0.05</v>
      </c>
      <c r="AG216" s="306">
        <f ca="1">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f ca="1">F215/F213</f>
      </c>
      <c r="G220" s="339">
        <f ca="1">G215/G213</f>
      </c>
      <c r="H220" s="339">
        <f ca="1">H215/H213</f>
      </c>
      <c r="I220" s="339">
        <f ca="1">I215/I213</f>
      </c>
      <c r="J220" s="340">
        <f ca="1">J215/J213</f>
      </c>
      <c r="K220" s="339">
        <f ca="1">K215/K213</f>
      </c>
      <c r="L220" s="339">
        <f ca="1">L215/L213</f>
      </c>
      <c r="M220" s="339">
        <f ca="1">M215/M213</f>
      </c>
      <c r="N220" s="339">
        <f ca="1">N215/N213</f>
      </c>
      <c r="O220" s="340">
        <f ca="1">O215/O213</f>
      </c>
      <c r="P220" s="339">
        <f ca="1">P215/P213</f>
      </c>
      <c r="Q220" s="339">
        <f ca="1">Q215/Q213</f>
      </c>
      <c r="R220" s="339">
        <f ca="1">R215/R213</f>
      </c>
      <c r="S220" s="339">
        <f ca="1">S215/S213</f>
      </c>
      <c r="T220" s="340">
        <f ca="1">T215/T213</f>
      </c>
      <c r="U220" s="339">
        <f ca="1">U215/U213</f>
      </c>
      <c r="V220" s="339">
        <f ca="1">V215/V213</f>
      </c>
      <c r="W220" s="339">
        <f ca="1">W215/W213</f>
      </c>
      <c r="X220" s="334">
        <f ca="1">IF(Case_Scenario="Bull",X221,IF(Case_Scenario="Base",X222,IF(Case_Scenario="bear",X223,"N/A")))</f>
        <v>1.25</v>
      </c>
      <c r="Y220" s="333">
        <f ca="1">AVERAGE(U220:X220)</f>
      </c>
      <c r="Z220" s="334">
        <f ca="1">IF(Case_Scenario="Bull",Z221,IF(Case_Scenario="Base",Z222,IF(Case_Scenario="bear",Z223,"N/A")))</f>
        <v>1.25</v>
      </c>
      <c r="AA220" s="334">
        <f ca="1">IF(Case_Scenario="Bull",AA221,IF(Case_Scenario="Base",AA222,IF(Case_Scenario="bear",AA223,"N/A")))</f>
        <v>1.25</v>
      </c>
      <c r="AB220" s="334">
        <f ca="1">IF(Case_Scenario="Bull",AB221,IF(Case_Scenario="Base",AB222,IF(Case_Scenario="bear",AB223,"N/A")))</f>
        <v>1.25</v>
      </c>
      <c r="AC220" s="334">
        <f ca="1">IF(Case_Scenario="Bull",AC221,IF(Case_Scenario="Base",AC222,IF(Case_Scenario="bear",AC223,"N/A")))</f>
        <v>1.25</v>
      </c>
      <c r="AD220" s="333">
        <f ca="1">AVERAGE(Z220:AC220)</f>
        <v>1.25</v>
      </c>
      <c r="AE220" s="333">
        <f ca="1">IF(Case_Scenario="Bull",AE221,IF(Case_Scenario="Base",AE222,IF(Case_Scenario="bear",AE223,"N/A")))</f>
        <v>1.25</v>
      </c>
      <c r="AF220" s="333">
        <f ca="1">IF(Case_Scenario="Bull",AF221,IF(Case_Scenario="Base",AF222,IF(Case_Scenario="bear",AF223,"N/A")))</f>
        <v>1.25</v>
      </c>
      <c r="AG220" s="333">
        <f ca="1">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 ca="1">C47</f>
        <v>Segment 6 Revenue</v>
      </c>
      <c r="D225" s="16"/>
      <c r="E225" s="16"/>
      <c r="F225" s="317">
        <f t="shared" ref="F225:W225" si="241" ca="1">F47</f>
        <v>1e-12</v>
      </c>
      <c r="G225" s="317">
        <f ca="1">G47</f>
        <v>1e-12</v>
      </c>
      <c r="H225" s="317">
        <f ca="1">H47</f>
        <v>1e-12</v>
      </c>
      <c r="I225" s="317">
        <f ca="1">I47</f>
        <v>1e-12</v>
      </c>
      <c r="J225" s="287">
        <f ca="1">J47</f>
        <v>1e-12</v>
      </c>
      <c r="K225" s="317">
        <f ca="1">K47</f>
        <v>1e-12</v>
      </c>
      <c r="L225" s="317">
        <f ca="1">L47</f>
        <v>1e-12</v>
      </c>
      <c r="M225" s="317">
        <f ca="1">M47</f>
        <v>1e-12</v>
      </c>
      <c r="N225" s="317">
        <f ca="1">N47</f>
        <v>1e-12</v>
      </c>
      <c r="O225" s="287">
        <f ca="1">O47</f>
        <v>1e-12</v>
      </c>
      <c r="P225" s="317">
        <f ca="1">P47</f>
        <v>1e-12</v>
      </c>
      <c r="Q225" s="317">
        <f ca="1">Q47</f>
        <v>1e-12</v>
      </c>
      <c r="R225" s="317">
        <f ca="1">R47</f>
        <v>1e-12</v>
      </c>
      <c r="S225" s="317">
        <f ca="1">S47</f>
        <v>1e-12</v>
      </c>
      <c r="T225" s="287">
        <f ca="1">T47</f>
        <v>1e-12</v>
      </c>
      <c r="U225" s="317">
        <f ca="1">U47</f>
        <v>1e-12</v>
      </c>
      <c r="V225" s="317">
        <f ca="1">V47</f>
        <v>1e-12</v>
      </c>
      <c r="W225" s="317">
        <f ca="1">W47</f>
        <v>1e-12</v>
      </c>
      <c r="X225" s="286">
        <f ca="1">X227/X232</f>
        <v>1e-12</v>
      </c>
      <c r="Y225" s="287">
        <f ca="1">SUM(U225:X225)</f>
        <v>1e-12</v>
      </c>
      <c r="Z225" s="286">
        <f t="shared" ref="Z225:AC225" si="242" ca="1">Z227/Z232</f>
        <v>1e-12</v>
      </c>
      <c r="AA225" s="286">
        <f ca="1">AA227/AA232</f>
        <v>1e-12</v>
      </c>
      <c r="AB225" s="286">
        <f ca="1">AB227/AB232</f>
        <v>1e-12</v>
      </c>
      <c r="AC225" s="286">
        <f ca="1">AC227/AC232</f>
        <v>1e-12</v>
      </c>
      <c r="AD225" s="287">
        <f ca="1">SUM(Z225:AC225)</f>
        <v>1e-12</v>
      </c>
      <c r="AE225" s="287">
        <f t="shared" ref="AE225:AG225" si="243" ca="1">AE227/AE232</f>
        <v>1e-12</v>
      </c>
      <c r="AF225" s="287">
        <f ca="1">AF227/AF232</f>
        <v>1e-12</v>
      </c>
      <c r="AG225" s="287">
        <f ca="1">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 ca="1">W226+X227-X225</f>
        <v>1e-12</v>
      </c>
      <c r="Y226" s="326">
        <f ca="1">T226+Y227-Y225</f>
        <v>1e-12</v>
      </c>
      <c r="Z226" s="327">
        <f ca="1">X226+Z227-Z225</f>
        <v>1e-12</v>
      </c>
      <c r="AA226" s="327">
        <f t="shared" ref="AA226:AC226" si="244" ca="1">Z226+AA227-AA225</f>
        <v>1e-12</v>
      </c>
      <c r="AB226" s="327">
        <f ca="1">AA226+AB227-AB225</f>
        <v>1e-12</v>
      </c>
      <c r="AC226" s="327">
        <f ca="1">AB226+AC227-AC225</f>
        <v>1e-12</v>
      </c>
      <c r="AD226" s="326">
        <f ca="1">Y226+AD227-AD225</f>
        <v>1e-12</v>
      </c>
      <c r="AE226" s="326">
        <f t="shared" ref="AE226:AG226" si="245" ca="1">AD226+AE227-AE225</f>
        <v>1e-12</v>
      </c>
      <c r="AF226" s="326">
        <f ca="1">AE226+AF227-AF225</f>
        <v>1e-12</v>
      </c>
      <c r="AG226" s="326">
        <f ca="1">AF226+AG227-AG225</f>
        <v>1e-12</v>
      </c>
      <c r="AH226" s="16"/>
      <c r="AI226" s="16"/>
      <c r="AJ226" s="16"/>
    </row>
    <row r="227" ht="12.75" customHeight="1" hidden="1" spans="1:36" x14ac:dyDescent="0.25" outlineLevel="1" collapsed="1">
      <c r="A227" s="16"/>
      <c r="B227" s="16"/>
      <c r="C227" s="139" t="s">
        <v>259</v>
      </c>
      <c r="D227" s="16"/>
      <c r="E227" s="16"/>
      <c r="F227" s="325">
        <f ca="1">F226+F225-(0)</f>
        <v>1e-12</v>
      </c>
      <c r="G227" s="325">
        <f t="shared" ref="G227:I227" si="246" ca="1">G226+G225-F226</f>
        <v>1e-12</v>
      </c>
      <c r="H227" s="325">
        <f ca="1">H226+H225-G226</f>
        <v>1e-12</v>
      </c>
      <c r="I227" s="325">
        <f ca="1">I226+I225-H226</f>
        <v>1e-12</v>
      </c>
      <c r="J227" s="326">
        <f ca="1">SUM(F227:I227)</f>
        <v>1e-12</v>
      </c>
      <c r="K227" s="325">
        <f t="shared" ref="K227:N227" si="247" ca="1">K226+K225-J226</f>
        <v>1e-12</v>
      </c>
      <c r="L227" s="325">
        <f ca="1">L226+L225-K226</f>
        <v>1e-12</v>
      </c>
      <c r="M227" s="325">
        <f ca="1">M226+M225-L226</f>
        <v>1e-12</v>
      </c>
      <c r="N227" s="325">
        <f ca="1">N226+N225-M226</f>
        <v>1e-12</v>
      </c>
      <c r="O227" s="326">
        <f ca="1">SUM(K227:N227)</f>
        <v>1e-12</v>
      </c>
      <c r="P227" s="325">
        <f t="shared" ref="P227:S227" si="248" ca="1">P226+P225-O226</f>
        <v>1e-12</v>
      </c>
      <c r="Q227" s="325">
        <f ca="1">Q226+Q225-P226</f>
        <v>1e-12</v>
      </c>
      <c r="R227" s="325">
        <f ca="1">R226+R225-Q226</f>
        <v>1e-12</v>
      </c>
      <c r="S227" s="325">
        <f ca="1">S226+S225-R226</f>
        <v>1e-12</v>
      </c>
      <c r="T227" s="326">
        <f ca="1">SUM(P227:S227)</f>
        <v>1e-12</v>
      </c>
      <c r="U227" s="325">
        <f t="shared" ref="U227:W227" si="249" ca="1">U226+U225-T226</f>
        <v>1e-12</v>
      </c>
      <c r="V227" s="325">
        <f ca="1">V226+V225-U226</f>
        <v>1e-12</v>
      </c>
      <c r="W227" s="325">
        <f ca="1">W226+W225-V226</f>
        <v>1e-12</v>
      </c>
      <c r="X227" s="327">
        <f ca="1">W227*(1+X228)</f>
        <v>1e-12</v>
      </c>
      <c r="Y227" s="326">
        <f ca="1">SUM(U227:X227)</f>
        <v>1e-12</v>
      </c>
      <c r="Z227" s="327">
        <f ca="1">X227*(1+Z228)</f>
        <v>1e-12</v>
      </c>
      <c r="AA227" s="327">
        <f t="shared" ref="AA227:AC227" si="250" ca="1">Z227*(1+AA228)</f>
        <v>1e-12</v>
      </c>
      <c r="AB227" s="327">
        <f ca="1">AA227*(1+AB228)</f>
        <v>1e-12</v>
      </c>
      <c r="AC227" s="327">
        <f ca="1">AB227*(1+AC228)</f>
        <v>1e-12</v>
      </c>
      <c r="AD227" s="326">
        <f ca="1">SUM(Z227:AC227)</f>
        <v>1e-12</v>
      </c>
      <c r="AE227" s="326">
        <f t="shared" ref="AE227:AG227" si="251" ca="1">AD227*(1+AE228)</f>
        <v>1e-12</v>
      </c>
      <c r="AF227" s="326">
        <f ca="1">AE227*(1+AF228)</f>
        <v>1e-12</v>
      </c>
      <c r="AG227" s="326">
        <f ca="1">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2" ca="1">IFERROR(G227/F227-1,"--")</f>
        <v>--</v>
      </c>
      <c r="H228" s="318" t="str">
        <f ca="1">IFERROR(H227/G227-1,"--")</f>
        <v>--</v>
      </c>
      <c r="I228" s="318" t="str">
        <f ca="1">IFERROR(I227/H227-1,"--")</f>
        <v>--</v>
      </c>
      <c r="J228" s="168"/>
      <c r="K228" s="318" t="str">
        <f ca="1">IFERROR(K227/I227-1,"--")</f>
        <v>--</v>
      </c>
      <c r="L228" s="318" t="str">
        <f t="shared" ref="L228:N228" si="253" ca="1">IFERROR(L227/K227-1,"--")</f>
        <v>--</v>
      </c>
      <c r="M228" s="318" t="str">
        <f ca="1">IFERROR(M227/L227-1,"--")</f>
        <v>--</v>
      </c>
      <c r="N228" s="318" t="str">
        <f ca="1">IFERROR(N227/M227-1,"--")</f>
        <v>--</v>
      </c>
      <c r="O228" s="306" t="str">
        <f ca="1">IFERROR(O227/J227-1,"--")</f>
        <v>--</v>
      </c>
      <c r="P228" s="318" t="str">
        <f ca="1">IFERROR(P227/N227-1,"--")</f>
        <v>--</v>
      </c>
      <c r="Q228" s="318" t="str">
        <f t="shared" ref="Q228:S228" si="254" ca="1">IFERROR(Q227/P227-1,"--")</f>
        <v>--</v>
      </c>
      <c r="R228" s="318" t="str">
        <f ca="1">IFERROR(R227/Q227-1,"--")</f>
        <v>--</v>
      </c>
      <c r="S228" s="318" t="str">
        <f ca="1">IFERROR(S227/R227-1,"--")</f>
        <v>--</v>
      </c>
      <c r="T228" s="306" t="str">
        <f ca="1">IFERROR(T227/O227-1,"--")</f>
        <v>--</v>
      </c>
      <c r="U228" s="318" t="str">
        <f ca="1">IFERROR(U227/S227-1,"--")</f>
        <v>--</v>
      </c>
      <c r="V228" s="318" t="str">
        <f t="shared" ref="V228:W228" si="255" ca="1">IFERROR(V227/U227-1,"--")</f>
        <v>--</v>
      </c>
      <c r="W228" s="318" t="str">
        <f ca="1">IFERROR(W227/V227-1,"--")</f>
        <v>--</v>
      </c>
      <c r="X228" s="305">
        <f ca="1">IF(Case_Scenario="Bull",X229,IF(Case_Scenario="Base",X230,IF(Case_Scenario="bear",X231,"N/A")))</f>
        <v>0.05</v>
      </c>
      <c r="Y228" s="306"/>
      <c r="Z228" s="305">
        <f ca="1">IF(Case_Scenario="Bull",Z229,IF(Case_Scenario="Base",Z230,IF(Case_Scenario="bear",Z231,"N/A")))</f>
        <v>0.05</v>
      </c>
      <c r="AA228" s="305">
        <f ca="1">IF(Case_Scenario="Bull",AA229,IF(Case_Scenario="Base",AA230,IF(Case_Scenario="bear",AA231,"N/A")))</f>
        <v>0.05</v>
      </c>
      <c r="AB228" s="305">
        <f ca="1">IF(Case_Scenario="Bull",AB229,IF(Case_Scenario="Base",AB230,IF(Case_Scenario="bear",AB231,"N/A")))</f>
        <v>0.05</v>
      </c>
      <c r="AC228" s="305">
        <f ca="1">IF(Case_Scenario="Bull",AC229,IF(Case_Scenario="Base",AC230,IF(Case_Scenario="bear",AC231,"N/A")))</f>
        <v>0.05</v>
      </c>
      <c r="AD228" s="306"/>
      <c r="AE228" s="306">
        <f ca="1">IF(Case_Scenario="Bull",AE229,IF(Case_Scenario="Base",AE230,IF(Case_Scenario="bear",AE231,"N/A")))</f>
        <v>0.05</v>
      </c>
      <c r="AF228" s="306">
        <f ca="1">IF(Case_Scenario="Bull",AF229,IF(Case_Scenario="Base",AF230,IF(Case_Scenario="bear",AF231,"N/A")))</f>
        <v>0.05</v>
      </c>
      <c r="AG228" s="306">
        <f ca="1">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f ca="1">F227/F225</f>
      </c>
      <c r="G232" s="339">
        <f ca="1">G227/G225</f>
      </c>
      <c r="H232" s="339">
        <f ca="1">H227/H225</f>
      </c>
      <c r="I232" s="339">
        <f ca="1">I227/I225</f>
      </c>
      <c r="J232" s="340">
        <f ca="1">J227/J225</f>
      </c>
      <c r="K232" s="339">
        <f ca="1">K227/K225</f>
      </c>
      <c r="L232" s="339">
        <f ca="1">L227/L225</f>
      </c>
      <c r="M232" s="339">
        <f ca="1">M227/M225</f>
      </c>
      <c r="N232" s="339">
        <f ca="1">N227/N225</f>
      </c>
      <c r="O232" s="340">
        <f ca="1">O227/O225</f>
      </c>
      <c r="P232" s="339">
        <f ca="1">P227/P225</f>
      </c>
      <c r="Q232" s="339">
        <f ca="1">Q227/Q225</f>
      </c>
      <c r="R232" s="339">
        <f ca="1">R227/R225</f>
      </c>
      <c r="S232" s="339">
        <f ca="1">S227/S225</f>
      </c>
      <c r="T232" s="340">
        <f ca="1">T227/T225</f>
      </c>
      <c r="U232" s="339">
        <f ca="1">U227/U225</f>
      </c>
      <c r="V232" s="339">
        <f ca="1">V227/V225</f>
      </c>
      <c r="W232" s="339">
        <f ca="1">W227/W225</f>
      </c>
      <c r="X232" s="334">
        <f ca="1">IF(Case_Scenario="Bull",X233,IF(Case_Scenario="Base",X234,IF(Case_Scenario="bear",X235,"N/A")))</f>
        <v>1.25</v>
      </c>
      <c r="Y232" s="333">
        <f ca="1">AVERAGE(U232:X232)</f>
      </c>
      <c r="Z232" s="334">
        <f ca="1">IF(Case_Scenario="Bull",Z233,IF(Case_Scenario="Base",Z234,IF(Case_Scenario="bear",Z235,"N/A")))</f>
        <v>1.25</v>
      </c>
      <c r="AA232" s="334">
        <f ca="1">IF(Case_Scenario="Bull",AA233,IF(Case_Scenario="Base",AA234,IF(Case_Scenario="bear",AA235,"N/A")))</f>
        <v>1.25</v>
      </c>
      <c r="AB232" s="334">
        <f ca="1">IF(Case_Scenario="Bull",AB233,IF(Case_Scenario="Base",AB234,IF(Case_Scenario="bear",AB235,"N/A")))</f>
        <v>1.25</v>
      </c>
      <c r="AC232" s="334">
        <f ca="1">IF(Case_Scenario="Bull",AC233,IF(Case_Scenario="Base",AC234,IF(Case_Scenario="bear",AC235,"N/A")))</f>
        <v>1.25</v>
      </c>
      <c r="AD232" s="333">
        <f ca="1">AVERAGE(Z232:AC232)</f>
        <v>1.25</v>
      </c>
      <c r="AE232" s="333">
        <f ca="1">IF(Case_Scenario="Bull",AE233,IF(Case_Scenario="Base",AE234,IF(Case_Scenario="bear",AE235,"N/A")))</f>
        <v>1.25</v>
      </c>
      <c r="AF232" s="333">
        <f ca="1">IF(Case_Scenario="Bull",AF233,IF(Case_Scenario="Base",AF234,IF(Case_Scenario="bear",AF235,"N/A")))</f>
        <v>1.25</v>
      </c>
      <c r="AG232" s="333">
        <f ca="1">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 ca="1">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 ca="1">$C$25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 ca="1">$C$73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 ca="1">$C$118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 ca="1">$C$160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 ca="1">$C$190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 ca="1">$C$204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 ca="1">$C$216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 ca="1">$C$234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 ca="1">$C$275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 ca="1">$C$286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 ca="1">G24</f>
        <v>2023</v>
      </c>
      <c r="G24" s="16">
        <f ca="1">H24</f>
        <v>2023</v>
      </c>
      <c r="H24" s="16">
        <f ca="1">I24</f>
        <v>2023</v>
      </c>
      <c r="I24" s="16">
        <f ca="1">J24</f>
        <v>2023</v>
      </c>
      <c r="J24" s="16">
        <f ca="1">O24-1</f>
        <v>2023</v>
      </c>
      <c r="K24" s="16">
        <f t="shared" ref="K24:N24" si="1" ca="1">L24</f>
        <v>2024</v>
      </c>
      <c r="L24" s="16">
        <f ca="1">M24</f>
        <v>2024</v>
      </c>
      <c r="M24" s="16">
        <f ca="1">N24</f>
        <v>2024</v>
      </c>
      <c r="N24" s="16">
        <f ca="1">O24</f>
        <v>2024</v>
      </c>
      <c r="O24" s="16">
        <f ca="1">T24-1</f>
        <v>2024</v>
      </c>
      <c r="P24" s="16">
        <f t="shared" ref="P24:S24" si="2" ca="1">Q24</f>
        <v>2025</v>
      </c>
      <c r="Q24" s="16">
        <f ca="1">R24</f>
        <v>2025</v>
      </c>
      <c r="R24" s="16">
        <f ca="1">S24</f>
        <v>2025</v>
      </c>
      <c r="S24" s="16">
        <f ca="1">T24</f>
        <v>2025</v>
      </c>
      <c r="T24" s="16">
        <f ca="1">YEAR(Last_FYE)</f>
        <v>2025</v>
      </c>
      <c r="U24" s="16">
        <f t="shared" ref="U24:X24" si="3" ca="1">V24</f>
        <v>2026</v>
      </c>
      <c r="V24" s="16">
        <f ca="1">W24</f>
        <v>2026</v>
      </c>
      <c r="W24" s="16">
        <f ca="1">X24</f>
        <v>2026</v>
      </c>
      <c r="X24" s="16">
        <f ca="1">Y24</f>
        <v>2026</v>
      </c>
      <c r="Y24" s="16">
        <f ca="1">T24+1</f>
        <v>2026</v>
      </c>
      <c r="Z24" s="16">
        <f t="shared" ref="Z24:AC24" si="4" ca="1">AA24</f>
        <v>2027</v>
      </c>
      <c r="AA24" s="16">
        <f ca="1">AB24</f>
        <v>2027</v>
      </c>
      <c r="AB24" s="16">
        <f ca="1">AC24</f>
        <v>2027</v>
      </c>
      <c r="AC24" s="16">
        <f ca="1">AD24</f>
        <v>2027</v>
      </c>
      <c r="AD24" s="16">
        <f ca="1">Y24+1</f>
        <v>2027</v>
      </c>
      <c r="AE24" s="16">
        <f t="shared" ref="AE24:AG24" si="5" ca="1">AD24+1</f>
        <v>2028</v>
      </c>
      <c r="AF24" s="16">
        <f ca="1">AE24+1</f>
        <v>2029</v>
      </c>
      <c r="AG24" s="16">
        <f ca="1">AF24+1</f>
        <v>2030</v>
      </c>
      <c r="AH24" s="16"/>
      <c r="AI24" s="16"/>
      <c r="AJ24" s="16"/>
      <c r="AK24" s="16"/>
    </row>
    <row r="25" ht="13.5" customHeight="1" spans="1:37" x14ac:dyDescent="0.25">
      <c r="A25" s="264" t="s">
        <v>1</v>
      </c>
      <c r="B25" s="16"/>
      <c r="C25" s="350" t="s">
        <v>266</v>
      </c>
      <c r="D25" s="194"/>
      <c r="E25" s="194"/>
      <c r="F25" s="194" t="str">
        <f ca="1">"1Q"&amp;RIGHT(F24,2)</f>
        <v>1Q23</v>
      </c>
      <c r="G25" s="194" t="str">
        <f ca="1">"2Q"&amp;RIGHT(G24,2)</f>
        <v>2Q23</v>
      </c>
      <c r="H25" s="194" t="str">
        <f ca="1">"3Q"&amp;RIGHT(H24,2)</f>
        <v>3Q23</v>
      </c>
      <c r="I25" s="194" t="str">
        <f ca="1">"4Q"&amp;RIGHT(I24,2)</f>
        <v>4Q23</v>
      </c>
      <c r="J25" s="194">
        <f ca="1">J24</f>
        <v>2023</v>
      </c>
      <c r="K25" s="194" t="str">
        <f ca="1">"1Q"&amp;RIGHT(K24,2)</f>
        <v>1Q24</v>
      </c>
      <c r="L25" s="194" t="str">
        <f ca="1">"2Q"&amp;RIGHT(L24,2)</f>
        <v>2Q24</v>
      </c>
      <c r="M25" s="194" t="str">
        <f ca="1">"3Q"&amp;RIGHT(M24,2)</f>
        <v>3Q24</v>
      </c>
      <c r="N25" s="194" t="str">
        <f ca="1">"4Q"&amp;RIGHT(N24,2)</f>
        <v>4Q24</v>
      </c>
      <c r="O25" s="194">
        <f ca="1">O24</f>
        <v>2024</v>
      </c>
      <c r="P25" s="194" t="str">
        <f ca="1">"1Q"&amp;RIGHT(P24,2)</f>
        <v>1Q25</v>
      </c>
      <c r="Q25" s="194" t="str">
        <f ca="1">"2Q"&amp;RIGHT(Q24,2)</f>
        <v>2Q25</v>
      </c>
      <c r="R25" s="194" t="str">
        <f ca="1">"3Q"&amp;RIGHT(R24,2)</f>
        <v>3Q25</v>
      </c>
      <c r="S25" s="194" t="str">
        <f ca="1">"4Q"&amp;RIGHT(S24,2)</f>
        <v>4Q25</v>
      </c>
      <c r="T25" s="194">
        <f ca="1">T24</f>
        <v>2025</v>
      </c>
      <c r="U25" s="351" t="str">
        <f ca="1">IF(Last_FQR="4Q","1Q"&amp;RIGHT(U24,2)&amp;"e","1Q"&amp;RIGHT(U24,2))</f>
        <v>1Q26</v>
      </c>
      <c r="V25" s="351" t="str">
        <f ca="1">IF(Last_FQR="4Q","2Q"&amp;RIGHT(W24,2)&amp;"e",IF(Last_FQR="1Q","2Q"&amp;RIGHT(W24,2)&amp;"e","2Q"&amp;RIGHT(W24,2)))</f>
        <v>2Q26</v>
      </c>
      <c r="W25" s="351" t="str">
        <f ca="1">IF(Last_FQR="4Q","3Q"&amp;RIGHT(W24,2)&amp;"e",IF(Last_FQR="1Q","3Q"&amp;RIGHT(W24,2)&amp;"e",IF(Last_FQR="2Q","3Q"&amp;RIGHT(W24,2)&amp;"e","3Q"&amp;RIGHT(W24,2))))</f>
        <v>3Q26e</v>
      </c>
      <c r="X25" s="351" t="str">
        <f ca="1">"4Q"&amp;RIGHT(U24,2)&amp;"e"</f>
        <v>4Q26e</v>
      </c>
      <c r="Y25" s="194" t="str">
        <f ca="1">Y24&amp;"e"</f>
        <v>2026e</v>
      </c>
      <c r="Z25" s="194" t="str">
        <f ca="1">"1Q"&amp;RIGHT(Z24,2)&amp;"e"</f>
        <v>1Q27e</v>
      </c>
      <c r="AA25" s="194" t="str">
        <f ca="1">"2Q"&amp;RIGHT(AA24,2)&amp;"e"</f>
        <v>2Q27e</v>
      </c>
      <c r="AB25" s="194" t="str">
        <f ca="1">"3Q"&amp;RIGHT(AB24,2)&amp;"e"</f>
        <v>3Q27e</v>
      </c>
      <c r="AC25" s="194" t="str">
        <f ca="1">"4Q"&amp;RIGHT(AC24,2)&amp;"e"</f>
        <v>4Q27e</v>
      </c>
      <c r="AD25" s="194" t="str">
        <f t="shared" ref="AD25:AG25" si="6" ca="1">AD24&amp;"e"</f>
        <v>2027e</v>
      </c>
      <c r="AE25" s="194" t="str">
        <f ca="1">AE24&amp;"e"</f>
        <v>2028e</v>
      </c>
      <c r="AF25" s="194" t="str">
        <f ca="1">AF24&amp;"e"</f>
        <v>2029e</v>
      </c>
      <c r="AG25" s="352" t="str">
        <f ca="1">AG24&amp;"e"</f>
        <v>2030e</v>
      </c>
      <c r="AH25" s="264" t="s">
        <v>1</v>
      </c>
      <c r="AI25" s="16"/>
      <c r="AJ25" s="16"/>
      <c r="AK25" s="16"/>
    </row>
    <row r="26" ht="13.5" customHeight="1" spans="1:37" x14ac:dyDescent="0.25">
      <c r="A26" s="264"/>
      <c r="B26" s="16"/>
      <c r="C26" s="274" t="s">
        <v>267</v>
      </c>
      <c r="D26" s="201"/>
      <c r="E26" s="201"/>
      <c r="F26" s="201"/>
      <c r="G26" s="201"/>
      <c r="H26" s="201"/>
      <c r="I26" s="201"/>
      <c r="J26" s="201">
        <f ca="1">SUM(F26:I26)</f>
        <v>1e-12</v>
      </c>
      <c r="K26" s="201"/>
      <c r="L26" s="201"/>
      <c r="M26" s="201"/>
      <c r="N26" s="201"/>
      <c r="O26" s="201">
        <f ca="1">SUM(K26:N26)</f>
        <v>1e-12</v>
      </c>
      <c r="P26" s="201"/>
      <c r="Q26" s="201"/>
      <c r="R26" s="201"/>
      <c r="S26" s="201"/>
      <c r="T26" s="201">
        <f ca="1">SUM(P26:S26)</f>
        <v>1e-12</v>
      </c>
      <c r="U26" s="201"/>
      <c r="V26" s="201">
        <v>91</v>
      </c>
      <c r="W26" s="201">
        <v>92</v>
      </c>
      <c r="X26" s="201">
        <v>92</v>
      </c>
      <c r="Y26" s="201">
        <f ca="1">SUM(U26:X26)</f>
        <v>365</v>
      </c>
      <c r="Z26" s="201">
        <v>91</v>
      </c>
      <c r="AA26" s="201">
        <v>91</v>
      </c>
      <c r="AB26" s="201">
        <v>92</v>
      </c>
      <c r="AC26" s="201">
        <v>92</v>
      </c>
      <c r="AD26" s="201">
        <f ca="1">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 ca="1">'Segment Analysis'!F7</f>
        <v>10980</v>
      </c>
      <c r="G28" s="353">
        <f ca="1">'Segment Analysis'!G7</f>
        <v>11972</v>
      </c>
      <c r="H28" s="353">
        <f ca="1">'Segment Analysis'!H7</f>
        <v>11953</v>
      </c>
      <c r="I28" s="353">
        <f ca="1">'Segment Analysis'!I7</f>
        <v>10849</v>
      </c>
      <c r="J28" s="282">
        <f t="shared" ref="J28:J30" si="7" ca="1">SUM(F28:I28)</f>
        <v>45754</v>
      </c>
      <c r="K28" s="353">
        <f ca="1">'Segment Analysis'!K7</f>
        <v>11300</v>
      </c>
      <c r="L28" s="353">
        <f ca="1">'Segment Analysis'!L7</f>
        <v>12363</v>
      </c>
      <c r="M28" s="353">
        <f ca="1">'Segment Analysis'!M7</f>
        <v>11854</v>
      </c>
      <c r="N28" s="353">
        <f ca="1">'Segment Analysis'!N7</f>
        <v>11544</v>
      </c>
      <c r="O28" s="282">
        <f t="shared" ref="O28:O30" si="8" ca="1">SUM(K28:N28)</f>
        <v>47061</v>
      </c>
      <c r="P28" s="353">
        <f ca="1">'Segment Analysis'!P7</f>
        <v>11129</v>
      </c>
      <c r="Q28" s="353">
        <f ca="1">'Segment Analysis'!Q7</f>
        <v>12535</v>
      </c>
      <c r="R28" s="353">
        <f ca="1">'Segment Analysis'!R7</f>
        <v>12455</v>
      </c>
      <c r="S28" s="353">
        <f ca="1">'Segment Analysis'!S7</f>
        <v>11822</v>
      </c>
      <c r="T28" s="282">
        <f t="shared" ref="T28:T30" si="9" ca="1">SUM(P28:S28)</f>
        <v>47941</v>
      </c>
      <c r="U28" s="353">
        <f ca="1">'Segment Analysis'!U7</f>
        <v>12472</v>
      </c>
      <c r="V28" s="353">
        <f ca="1">'Segment Analysis'!V7</f>
        <v>27570</v>
      </c>
      <c r="W28" s="353">
        <f ca="1">'Segment Analysis'!W7</f>
        <v>22918</v>
      </c>
      <c r="X28" s="281">
        <f ca="1">'Segment Analysis'!X7</f>
        <v>21772.1</v>
      </c>
      <c r="Y28" s="282">
        <f t="shared" ref="Y28:Y30" si="10" ca="1">SUM(U28:X28)</f>
        <v>96682.1</v>
      </c>
      <c r="Z28" s="281">
        <f ca="1">'Segment Analysis'!Z7</f>
        <v>25691.077999999998</v>
      </c>
      <c r="AA28" s="281">
        <f ca="1">'Segment Analysis'!AA7</f>
        <v>29287.82892</v>
      </c>
      <c r="AB28" s="281">
        <f ca="1">'Segment Analysis'!AB7</f>
        <v>25773.2894496</v>
      </c>
      <c r="AC28" s="281">
        <f ca="1">'Segment Analysis'!AC7</f>
        <v>24484.62497712</v>
      </c>
      <c r="AD28" s="282">
        <f t="shared" ref="AD28:AD30" si="11" ca="1">SUM(Z28:AC28)</f>
        <v>105236.82134671998</v>
      </c>
      <c r="AE28" s="282">
        <f ca="1">'Segment Analysis'!AE7</f>
        <v>107341.55777365438</v>
      </c>
      <c r="AF28" s="282">
        <f ca="1">'Segment Analysis'!AF7</f>
        <v>109488.38892912747</v>
      </c>
      <c r="AG28" s="282">
        <f ca="1">'Segment Analysis'!AG7</f>
        <v>111678.15670771002</v>
      </c>
      <c r="AH28" s="16"/>
      <c r="AI28" s="16"/>
      <c r="AJ28" s="16"/>
      <c r="AK28" s="16"/>
    </row>
    <row r="29" ht="13.5" customHeight="1" spans="1:37" x14ac:dyDescent="0.25">
      <c r="A29" s="264"/>
      <c r="B29" s="16"/>
      <c r="C29" s="139" t="s">
        <v>269</v>
      </c>
      <c r="D29" s="16"/>
      <c r="E29" s="16"/>
      <c r="F29" s="354">
        <v>-4317</v>
      </c>
      <c r="G29" s="354">
        <v>-4912</v>
      </c>
      <c r="H29" s="354">
        <v>-4657</v>
      </c>
      <c r="I29" s="354">
        <f ca="1">-48401-SUM(F29:H29)</f>
        <v>-11609</v>
      </c>
      <c r="J29" s="355">
        <f ca="1">SUM(F29:I29)</f>
        <v>-25495</v>
      </c>
      <c r="K29" s="354">
        <v>-4235</v>
      </c>
      <c r="L29" s="354">
        <v>-4812</v>
      </c>
      <c r="M29" s="354">
        <v>-4664</v>
      </c>
      <c r="N29" s="354">
        <v>-4613</v>
      </c>
      <c r="O29" s="355">
        <f ca="1">SUM(K29:N29)</f>
        <v>-18324</v>
      </c>
      <c r="P29" s="354">
        <v>-4163</v>
      </c>
      <c r="Q29" s="354">
        <v>-4714</v>
      </c>
      <c r="R29" s="354">
        <v>-4797</v>
      </c>
      <c r="S29" s="354">
        <v>-4723</v>
      </c>
      <c r="T29" s="355">
        <f ca="1">SUM(P29:S29)</f>
        <v>-18397</v>
      </c>
      <c r="U29" s="354">
        <v>-4620</v>
      </c>
      <c r="V29" s="354">
        <f ca="1">-18258</f>
        <v>-18258</v>
      </c>
      <c r="W29" s="354">
        <v>-15331</v>
      </c>
      <c r="X29" s="356">
        <f ca="1">IF(Cover!$F$37="Bottom Up",(X30-X28),(-X28*(1-X66)))</f>
        <v>-18941.727</v>
      </c>
      <c r="Y29" s="355">
        <f ca="1">SUM(U29:X29)</f>
        <v>-68822.727</v>
      </c>
      <c r="Z29" s="356">
        <f ca="1">IF(Cover!$F$37="Bottom Up",(Z30-Z28),(-Z28*(1-Z66)))</f>
        <v>-22094.32708</v>
      </c>
      <c r="AA29" s="356">
        <f ca="1">IF(Cover!$F$37="Bottom Up",(AA30-AA28),(-AA28*(1-AA66)))</f>
        <v>-25041.0937266</v>
      </c>
      <c r="AB29" s="356">
        <f ca="1">IF(Cover!$F$37="Bottom Up",(AB30-AB28),(-AB28*(1-AB66)))</f>
        <v>-22680.494715648</v>
      </c>
      <c r="AC29" s="356">
        <f ca="1">IF(Cover!$F$37="Bottom Up",(AC30-AC28),(-AC28*(1-AC66)))</f>
        <v>-21179.2006052088</v>
      </c>
      <c r="AD29" s="355">
        <f ca="1">SUM(Z29:AC29)</f>
        <v>-90995.1161274568</v>
      </c>
      <c r="AE29" s="355">
        <f ca="1">IF(Cover!$F$37="Bottom Up",(AE30-AE28),(-AE28*(1-AE66)))</f>
        <v>-92421.08124311642</v>
      </c>
      <c r="AF29" s="355">
        <f ca="1">IF(Cover!$F$37="Bottom Up",(AF30-AF28),(-AF28*(1-AF66)))</f>
        <v>-94160.01447904963</v>
      </c>
      <c r="AG29" s="355">
        <f ca="1">IF(Cover!$F$37="Bottom Up",(AG30-AG28),(-AG28*(1-AG66)))</f>
        <v>-95819.85845521519</v>
      </c>
      <c r="AH29" s="16"/>
      <c r="AI29" s="16"/>
      <c r="AJ29" s="16"/>
      <c r="AK29" s="16"/>
    </row>
    <row r="30" ht="13.5" customHeight="1" spans="1:37" x14ac:dyDescent="0.25">
      <c r="A30" s="264"/>
      <c r="B30" s="16"/>
      <c r="C30" s="139" t="s">
        <v>270</v>
      </c>
      <c r="D30" s="16"/>
      <c r="E30" s="16"/>
      <c r="F30" s="353">
        <f t="shared" ref="F30:I30" si="12" ca="1">SUM(F28:F29)</f>
        <v>6663</v>
      </c>
      <c r="G30" s="353">
        <f ca="1">SUM(G28:G29)</f>
        <v>7060</v>
      </c>
      <c r="H30" s="353">
        <f ca="1">SUM(H28:H29)</f>
        <v>7296</v>
      </c>
      <c r="I30" s="353">
        <f ca="1">SUM(I28:I29)</f>
        <v>6215</v>
      </c>
      <c r="J30" s="282">
        <f ca="1">SUM(F30:I30)</f>
        <v>27234</v>
      </c>
      <c r="K30" s="353">
        <f t="shared" ref="K30:N30" si="13" ca="1">SUM(K28:K29)</f>
        <v>7065</v>
      </c>
      <c r="L30" s="353">
        <f ca="1">SUM(L28:L29)</f>
        <v>7551</v>
      </c>
      <c r="M30" s="353">
        <f ca="1">SUM(M28:M29)</f>
        <v>7190</v>
      </c>
      <c r="N30" s="353">
        <f ca="1">SUM(N28:N29)</f>
        <v>6931</v>
      </c>
      <c r="O30" s="282">
        <f ca="1">SUM(K30:N30)</f>
        <v>28737</v>
      </c>
      <c r="P30" s="353">
        <f t="shared" ref="P30:S30" si="14" ca="1">SUM(P28:P29)</f>
        <v>6966</v>
      </c>
      <c r="Q30" s="353">
        <f ca="1">SUM(Q28:Q29)</f>
        <v>7821</v>
      </c>
      <c r="R30" s="353">
        <f ca="1">SUM(R28:R29)</f>
        <v>7658</v>
      </c>
      <c r="S30" s="353">
        <f ca="1">SUM(S28:S29)</f>
        <v>7099</v>
      </c>
      <c r="T30" s="282">
        <f ca="1">SUM(P30:S30)</f>
        <v>29544</v>
      </c>
      <c r="U30" s="353">
        <f t="shared" ref="U30:W30" si="15" ca="1">SUM(U28:U29)</f>
        <v>7852</v>
      </c>
      <c r="V30" s="353">
        <f ca="1">SUM(V28:V29)</f>
        <v>9312</v>
      </c>
      <c r="W30" s="353">
        <f ca="1">SUM(W28:W29)</f>
        <v>7587</v>
      </c>
      <c r="X30" s="281">
        <f ca="1">IF(Cover!$F$37="Bottom Up",(X36-SUM(X32:X33,X35)),X28+X29)</f>
        <v>2830.3729999999996</v>
      </c>
      <c r="Y30" s="282">
        <f ca="1">SUM(U30:X30)</f>
        <v>27859.373</v>
      </c>
      <c r="Z30" s="281">
        <f ca="1">IF(Cover!$F$37="Bottom Up",(Z36-SUM(Z32:Z33,Z35)),Z28+Z29)</f>
        <v>3596.7509199999986</v>
      </c>
      <c r="AA30" s="281">
        <f ca="1">IF(Cover!$F$37="Bottom Up",(AA36-SUM(AA32:AA33,AA35)),AA28+AA29)</f>
        <v>4246.7351934</v>
      </c>
      <c r="AB30" s="281">
        <f ca="1">IF(Cover!$F$37="Bottom Up",(AB36-SUM(AB32:AB33,AB35)),AB28+AB29)</f>
        <v>3092.7947339519997</v>
      </c>
      <c r="AC30" s="281">
        <f ca="1">IF(Cover!$F$37="Bottom Up",(AC36-SUM(AC32:AC33,AC35)),AC28+AC29)</f>
        <v>3305.4243719111983</v>
      </c>
      <c r="AD30" s="282">
        <f ca="1">SUM(Z30:AC30)</f>
        <v>14241.705219263196</v>
      </c>
      <c r="AE30" s="282">
        <f ca="1">IF(Cover!$F$37="Bottom Up",(AE36-SUM(AE32:AE33,AE35)),AE28+AE29)</f>
        <v>14920.476530537955</v>
      </c>
      <c r="AF30" s="282">
        <f ca="1">IF(Cover!$F$37="Bottom Up",(AF36-SUM(AF32:AF33,AF35)),AF28+AF29)</f>
        <v>15328.374450077841</v>
      </c>
      <c r="AG30" s="282">
        <f ca="1">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-3185</v>
      </c>
      <c r="G32" s="358">
        <v>-3321</v>
      </c>
      <c r="H32" s="358">
        <v>-3667</v>
      </c>
      <c r="I32" s="358">
        <f ca="1">-17413-SUM(F32:H32)</f>
        <v>-4265</v>
      </c>
      <c r="J32" s="162">
        <f t="shared" ref="J32:J36" si="16" ca="1">SUM(F32:I32)</f>
        <v>-14438</v>
      </c>
      <c r="K32" s="358">
        <v>-3351</v>
      </c>
      <c r="L32" s="358">
        <v>-3549</v>
      </c>
      <c r="M32" s="358">
        <v>-3636</v>
      </c>
      <c r="N32" s="358">
        <v>-4046</v>
      </c>
      <c r="O32" s="162">
        <f t="shared" ref="O32:O36" si="17" ca="1">SUM(K32:N32)</f>
        <v>-14582</v>
      </c>
      <c r="P32" s="358">
        <v>-3234</v>
      </c>
      <c r="Q32" s="358">
        <v>-3470</v>
      </c>
      <c r="R32" s="358">
        <v>-3618</v>
      </c>
      <c r="S32" s="358">
        <v>-4199</v>
      </c>
      <c r="T32" s="162">
        <f t="shared" ref="T32:T36" si="18" ca="1">SUM(P32:S32)</f>
        <v>-14521</v>
      </c>
      <c r="U32" s="358">
        <v>-3472</v>
      </c>
      <c r="V32" s="358">
        <f ca="1">-4693</f>
        <v>-4693</v>
      </c>
      <c r="W32" s="358">
        <v>-4373</v>
      </c>
      <c r="X32" s="359">
        <f t="shared" ref="X32:X33" si="19" ca="1">X67*X$28</f>
        <v>-4789.862</v>
      </c>
      <c r="Y32" s="162">
        <f t="shared" ref="Y32:Y36" si="20" ca="1">SUM(U32:X32)</f>
        <v>-18349.862</v>
      </c>
      <c r="Z32" s="359">
        <f t="shared" ref="Z32:AC32" si="21" ca="1">Z67*Z$28</f>
        <v>-5780.49255</v>
      </c>
      <c r="AA32" s="359">
        <f ca="1">AA67*AA$28</f>
        <v>-6589.761507</v>
      </c>
      <c r="AB32" s="359">
        <f ca="1">AB67*AB$28</f>
        <v>-5670.123678912</v>
      </c>
      <c r="AC32" s="359">
        <f ca="1">AC67*AC$28</f>
        <v>-5386.6174949664</v>
      </c>
      <c r="AD32" s="162">
        <f t="shared" ref="AD32:AD36" si="22" ca="1">SUM(Z32:AC32)</f>
        <v>-23426.995230878398</v>
      </c>
      <c r="AE32" s="162">
        <f t="shared" ref="AE32:AG32" si="23" ca="1">AE67*AE$28</f>
        <v>-23078.43492133569</v>
      </c>
      <c r="AF32" s="162">
        <f ca="1">AF67*AF$28</f>
        <v>-23102.050064045896</v>
      </c>
      <c r="AG32" s="162">
        <f ca="1">AG67*AG$28</f>
        <v>-23005.700281788264</v>
      </c>
      <c r="AH32" s="16"/>
      <c r="AI32" s="16"/>
      <c r="AJ32" s="16"/>
      <c r="AK32" s="16"/>
    </row>
    <row r="33" ht="13.5" customHeight="1" spans="1:37" x14ac:dyDescent="0.25">
      <c r="A33" s="264"/>
      <c r="B33" s="16"/>
      <c r="C33" s="139" t="s">
        <v>272</v>
      </c>
      <c r="D33" s="16"/>
      <c r="E33" s="16"/>
      <c r="F33" s="358">
        <v>0</v>
      </c>
      <c r="G33" s="358">
        <v>0</v>
      </c>
      <c r="H33" s="358">
        <v>0</v>
      </c>
      <c r="I33" s="358">
        <v>0</v>
      </c>
      <c r="J33" s="162">
        <f ca="1">SUM(F33:I33)</f>
        <v>1e-12</v>
      </c>
      <c r="K33" s="358">
        <v>0</v>
      </c>
      <c r="L33" s="358">
        <v>0</v>
      </c>
      <c r="M33" s="358">
        <v>0</v>
      </c>
      <c r="N33" s="358">
        <v>0</v>
      </c>
      <c r="O33" s="162">
        <f ca="1">SUM(K33:N33)</f>
        <v>1e-12</v>
      </c>
      <c r="P33" s="358">
        <v>0</v>
      </c>
      <c r="Q33" s="358">
        <v>0</v>
      </c>
      <c r="R33" s="358">
        <v>0</v>
      </c>
      <c r="S33" s="358">
        <v>0</v>
      </c>
      <c r="T33" s="162">
        <f ca="1">SUM(P33:S33)</f>
        <v>1e-12</v>
      </c>
      <c r="U33" s="358">
        <v>0</v>
      </c>
      <c r="V33" s="358">
        <v>0</v>
      </c>
      <c r="W33" s="358">
        <v>0</v>
      </c>
      <c r="X33" s="359">
        <f ca="1">X68*X$28</f>
        <v>1e-12</v>
      </c>
      <c r="Y33" s="162">
        <f ca="1">SUM(U33:X33)</f>
        <v>1e-12</v>
      </c>
      <c r="Z33" s="359">
        <f t="shared" ref="Z33:AC33" si="24" ca="1">Z68*Z$28</f>
        <v>1e-12</v>
      </c>
      <c r="AA33" s="359">
        <f ca="1">AA68*AA$28</f>
        <v>1e-12</v>
      </c>
      <c r="AB33" s="359">
        <f ca="1">AB68*AB$28</f>
        <v>1e-12</v>
      </c>
      <c r="AC33" s="359">
        <f ca="1">AC68*AC$28</f>
        <v>1e-12</v>
      </c>
      <c r="AD33" s="162">
        <f ca="1">SUM(Z33:AC33)</f>
        <v>1e-12</v>
      </c>
      <c r="AE33" s="162">
        <f t="shared" ref="AE33:AG33" si="25" ca="1">AE68*AE$28</f>
        <v>1e-12</v>
      </c>
      <c r="AF33" s="162">
        <f ca="1">AF68*AF$28</f>
        <v>1e-12</v>
      </c>
      <c r="AG33" s="162">
        <f ca="1">AG68*AG$28</f>
        <v>1e-12</v>
      </c>
      <c r="AH33" s="16"/>
      <c r="AI33" s="16"/>
      <c r="AJ33" s="16"/>
      <c r="AK33" s="16"/>
    </row>
    <row r="34" ht="13.5" customHeight="1" spans="1:37" x14ac:dyDescent="0.25">
      <c r="A34" s="264"/>
      <c r="B34" s="16"/>
      <c r="C34" s="139" t="s">
        <v>273</v>
      </c>
      <c r="D34" s="16"/>
      <c r="E34" s="16"/>
      <c r="F34" s="358">
        <v>0</v>
      </c>
      <c r="G34" s="358">
        <v>0</v>
      </c>
      <c r="H34" s="358">
        <v>0</v>
      </c>
      <c r="I34" s="358">
        <f ca="1">-1477-SUM(F34:H34)</f>
        <v>-1477</v>
      </c>
      <c r="J34" s="162">
        <f ca="1">SUM(F34:I34)</f>
        <v>-1477</v>
      </c>
      <c r="K34" s="358">
        <v>0</v>
      </c>
      <c r="L34" s="358">
        <v>0</v>
      </c>
      <c r="M34" s="358">
        <v>0</v>
      </c>
      <c r="N34" s="358">
        <v>0</v>
      </c>
      <c r="O34" s="162">
        <f ca="1">SUM(K34:N34)</f>
        <v>1e-12</v>
      </c>
      <c r="P34" s="358">
        <v>0</v>
      </c>
      <c r="Q34" s="358">
        <v>0</v>
      </c>
      <c r="R34" s="358">
        <v>0</v>
      </c>
      <c r="S34" s="358">
        <v>0</v>
      </c>
      <c r="T34" s="162">
        <f ca="1">SUM(P34:S34)</f>
        <v>1e-12</v>
      </c>
      <c r="U34" s="358">
        <v>0</v>
      </c>
      <c r="V34" s="358">
        <v>-409</v>
      </c>
      <c r="W34" s="358">
        <v>-425</v>
      </c>
      <c r="X34" s="359">
        <f ca="1">-X76</f>
        <v>-331.18750000000006</v>
      </c>
      <c r="Y34" s="162">
        <f ca="1">SUM(U34:X34)</f>
        <v>-1556.1875</v>
      </c>
      <c r="Z34" s="359">
        <f t="shared" ref="Z34:AC34" si="26" ca="1">-Z76</f>
        <v>-331.86891850000006</v>
      </c>
      <c r="AA34" s="359">
        <f ca="1">-AA76</f>
        <v>-336.85146518625004</v>
      </c>
      <c r="AB34" s="359">
        <f ca="1">-AB76</f>
        <v>-342.23237867969067</v>
      </c>
      <c r="AC34" s="359">
        <f ca="1">-AC76</f>
        <v>-343.91086566405204</v>
      </c>
      <c r="AD34" s="162">
        <f ca="1">SUM(Z34:AC34)</f>
        <v>-1354.863628029993</v>
      </c>
      <c r="AE34" s="162">
        <f t="shared" ref="AE34:AG34" si="27" ca="1">-AE76</f>
        <v>-1420.1551602334257</v>
      </c>
      <c r="AF34" s="162">
        <f ca="1">-AF76</f>
        <v>-1472.475831890681</v>
      </c>
      <c r="AG34" s="162">
        <f ca="1">-AG76</f>
        <v>-1524.1208520524956</v>
      </c>
      <c r="AH34" s="16"/>
      <c r="AI34" s="16"/>
      <c r="AJ34" s="16"/>
      <c r="AK34" s="16"/>
    </row>
    <row r="35" ht="13.5" customHeight="1" spans="1:37" x14ac:dyDescent="0.25">
      <c r="A35" s="264"/>
      <c r="B35" s="16"/>
      <c r="C35" s="139" t="s">
        <v>274</v>
      </c>
      <c r="D35" s="16"/>
      <c r="E35" s="16"/>
      <c r="F35" s="354">
        <v>-111</v>
      </c>
      <c r="G35" s="354">
        <v>-1338</v>
      </c>
      <c r="H35" s="354">
        <v>-359</v>
      </c>
      <c r="I35" s="354">
        <v>-143</v>
      </c>
      <c r="J35" s="355">
        <f ca="1">SUM(F35:I35)</f>
        <v>-1951</v>
      </c>
      <c r="K35" s="354">
        <v>-1573</v>
      </c>
      <c r="L35" s="354">
        <v>0</v>
      </c>
      <c r="M35" s="354">
        <v>0</v>
      </c>
      <c r="N35" s="354">
        <v>-5196</v>
      </c>
      <c r="O35" s="355">
        <f ca="1">SUM(K35:N35)</f>
        <v>-6769</v>
      </c>
      <c r="P35" s="354">
        <v>0</v>
      </c>
      <c r="Q35" s="354">
        <v>0</v>
      </c>
      <c r="R35" s="354">
        <v>0</v>
      </c>
      <c r="S35" s="354">
        <v>-4974</v>
      </c>
      <c r="T35" s="355">
        <f ca="1">SUM(P35:S35)</f>
        <v>-4974</v>
      </c>
      <c r="U35" s="354">
        <v>0</v>
      </c>
      <c r="V35" s="354">
        <v>0</v>
      </c>
      <c r="W35" s="354">
        <v>0</v>
      </c>
      <c r="X35" s="356">
        <f ca="1">X69*X$28</f>
        <v>1e-12</v>
      </c>
      <c r="Y35" s="355">
        <f ca="1">SUM(U35:X35)</f>
        <v>1e-12</v>
      </c>
      <c r="Z35" s="356">
        <f t="shared" ref="Z35:AC35" si="28" ca="1">Z69*Z$28</f>
        <v>1e-12</v>
      </c>
      <c r="AA35" s="356">
        <f ca="1">AA69*AA$28</f>
        <v>1e-12</v>
      </c>
      <c r="AB35" s="356">
        <f ca="1">AB69*AB$28</f>
        <v>1e-12</v>
      </c>
      <c r="AC35" s="356">
        <f ca="1">AC69*AC$28</f>
        <v>1e-12</v>
      </c>
      <c r="AD35" s="355">
        <f ca="1">SUM(Z35:AC35)</f>
        <v>1e-12</v>
      </c>
      <c r="AE35" s="355">
        <f t="shared" ref="AE35:AG35" si="29" ca="1">AE69*AE$28</f>
        <v>1e-12</v>
      </c>
      <c r="AF35" s="355">
        <f ca="1">AF69*AF$28</f>
        <v>1e-12</v>
      </c>
      <c r="AG35" s="355">
        <f ca="1">AG69*AG$28</f>
        <v>1e-12</v>
      </c>
      <c r="AH35" s="16"/>
      <c r="AI35" s="16"/>
      <c r="AJ35" s="16"/>
      <c r="AK35" s="16"/>
    </row>
    <row r="36" ht="13.5" customHeight="1" spans="1:37" x14ac:dyDescent="0.25">
      <c r="A36" s="264"/>
      <c r="B36" s="16"/>
      <c r="C36" s="139" t="s">
        <v>275</v>
      </c>
      <c r="D36" s="16"/>
      <c r="E36" s="16"/>
      <c r="F36" s="353">
        <f t="shared" ref="F36:I36" si="30" ca="1">IF($C$34="Depreciation &amp; Amortization (incl. in SG&amp;A)",F30+SUM(F32:F33,F35),F30+SUM(F32:F35))</f>
        <v>3367</v>
      </c>
      <c r="G36" s="353">
        <f ca="1">IF($C$34="Depreciation &amp; Amortization (incl. in SG&amp;A)",G30+SUM(G32:G33,G35),G30+SUM(G32:G35))</f>
        <v>2401</v>
      </c>
      <c r="H36" s="353">
        <f ca="1">IF($C$34="Depreciation &amp; Amortization (incl. in SG&amp;A)",H30+SUM(H32:H33,H35),H30+SUM(H32:H35))</f>
        <v>3270</v>
      </c>
      <c r="I36" s="353">
        <f ca="1">IF($C$34="Depreciation &amp; Amortization (incl. in SG&amp;A)",I30+SUM(I32:I33,I35),I30+SUM(I32:I35))</f>
        <v>2273</v>
      </c>
      <c r="J36" s="282">
        <f ca="1">SUM(F36:I36)</f>
        <v>11311</v>
      </c>
      <c r="K36" s="353">
        <f t="shared" ref="K36:N36" si="31" ca="1">IF($C$34="Depreciation &amp; Amortization (incl. in SG&amp;A)",K30+SUM(K32:K33,K35),K30+SUM(K32:K35))</f>
        <v>2141</v>
      </c>
      <c r="L36" s="353">
        <f ca="1">IF($C$34="Depreciation &amp; Amortization (incl. in SG&amp;A)",L30+SUM(L32:L33,L35),L30+SUM(L32:L35))</f>
        <v>2632</v>
      </c>
      <c r="M36" s="353">
        <f ca="1">IF($C$34="Depreciation &amp; Amortization (incl. in SG&amp;A)",M30+SUM(M32:M33,M35),M30+SUM(M32:M35))</f>
        <v>2510</v>
      </c>
      <c r="N36" s="353">
        <f ca="1">IF($C$34="Depreciation &amp; Amortization (incl. in SG&amp;A)",N30+SUM(N32:N33,N35),N30+SUM(N32:N35))</f>
        <v>2709</v>
      </c>
      <c r="O36" s="282">
        <f ca="1">SUM(K36:N36)</f>
        <v>9992</v>
      </c>
      <c r="P36" s="353">
        <f t="shared" ref="P36:S36" si="32" ca="1">IF($C$34="Depreciation &amp; Amortization (incl. in SG&amp;A)",P30+SUM(P32:P33,P35),P30+SUM(P32:P35))</f>
        <v>3659</v>
      </c>
      <c r="Q36" s="353">
        <f ca="1">IF($C$34="Depreciation &amp; Amortization (incl. in SG&amp;A)",Q30+SUM(Q32:Q33,Q35),Q30+SUM(Q32:Q35))</f>
        <v>4280</v>
      </c>
      <c r="R36" s="353">
        <f ca="1">IF($C$34="Depreciation &amp; Amortization (incl. in SG&amp;A)",R30+SUM(R32:R33,R35),R30+SUM(R32:R35))</f>
        <v>3982</v>
      </c>
      <c r="S36" s="353">
        <f ca="1">IF($C$34="Depreciation &amp; Amortization (incl. in SG&amp;A)",S30+SUM(S32:S33,S35),S30+SUM(S32:S35))</f>
        <v>1841</v>
      </c>
      <c r="T36" s="282">
        <f ca="1">SUM(P36:S36)</f>
        <v>13762</v>
      </c>
      <c r="U36" s="353">
        <f t="shared" ref="U36:W36" si="33" ca="1">IF($C$34="Depreciation &amp; Amortization (incl. in SG&amp;A)",U30+SUM(U32:U33,U35),U30+SUM(U32:U35))</f>
        <v>4359</v>
      </c>
      <c r="V36" s="353">
        <f ca="1">IF($C$34="Depreciation &amp; Amortization (incl. in SG&amp;A)",V30+SUM(V32:V33,V35),V30+SUM(V32:V35))</f>
        <v>4210</v>
      </c>
      <c r="W36" s="353">
        <f ca="1">IF($C$34="Depreciation &amp; Amortization (incl. in SG&amp;A)",W30+SUM(W32:W33,W35),W30+SUM(W32:W35))</f>
        <v>2789</v>
      </c>
      <c r="X36" s="281">
        <f ca="1">IF(Cover!$F$37="Bottom Up",'Segment Analysis'!X33,IF($C$34="Depreciation &amp; Amortization (incl. in SG&amp;A)",X30+SUM(X32:X33,X35),X30+SUM(X32:X35)))</f>
        <v>-2290.6765000000005</v>
      </c>
      <c r="Y36" s="282">
        <f ca="1">SUM(U36:X36)</f>
        <v>7953.3234999999995</v>
      </c>
      <c r="Z36" s="281">
        <f ca="1">IF(Cover!$F$37="Bottom Up",'Segment Analysis'!Z33,IF($C$34="Depreciation &amp; Amortization (incl. in SG&amp;A)",Z30+SUM(Z32:Z33,Z35),Z30+SUM(Z32:Z35)))</f>
        <v>-2515.6105485000016</v>
      </c>
      <c r="AA36" s="281">
        <f ca="1">IF(Cover!$F$37="Bottom Up",'Segment Analysis'!AA33,IF($C$34="Depreciation &amp; Amortization (incl. in SG&amp;A)",AA30+SUM(AA32:AA33,AA35),AA30+SUM(AA32:AA35)))</f>
        <v>-2679.87777878625</v>
      </c>
      <c r="AB36" s="281">
        <f ca="1">IF(Cover!$F$37="Bottom Up",'Segment Analysis'!AB33,IF($C$34="Depreciation &amp; Amortization (incl. in SG&amp;A)",AB30+SUM(AB32:AB33,AB35),AB30+SUM(AB32:AB35)))</f>
        <v>-2919.561323639691</v>
      </c>
      <c r="AC36" s="281">
        <f ca="1">IF(Cover!$F$37="Bottom Up",'Segment Analysis'!AC33,IF($C$34="Depreciation &amp; Amortization (incl. in SG&amp;A)",AC30+SUM(AC32:AC33,AC35),AC30+SUM(AC32:AC35)))</f>
        <v>-2425.1039887192537</v>
      </c>
      <c r="AD36" s="282">
        <f ca="1">SUM(Z36:AC36)</f>
        <v>-10540.153639645196</v>
      </c>
      <c r="AE36" s="282">
        <f ca="1">IF(Cover!$F$37="Bottom Up",'Segment Analysis'!AE33,IF($C$34="Depreciation &amp; Amortization (incl. in SG&amp;A)",AE30+SUM(AE32:AE33,AE35),AE30+SUM(AE32:AE35)))</f>
        <v>-9578.113551031161</v>
      </c>
      <c r="AF36" s="282">
        <f ca="1">IF(Cover!$F$37="Bottom Up",'Segment Analysis'!AF33,IF($C$34="Depreciation &amp; Amortization (incl. in SG&amp;A)",AF30+SUM(AF32:AF33,AF35),AF30+SUM(AF32:AF35)))</f>
        <v>-9246.151445858737</v>
      </c>
      <c r="AG36" s="282">
        <f ca="1">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168</v>
      </c>
      <c r="G38" s="358">
        <v>224</v>
      </c>
      <c r="H38" s="358">
        <v>248</v>
      </c>
      <c r="I38" s="358">
        <v>267</v>
      </c>
      <c r="J38" s="162">
        <f t="shared" ref="J38:J42" si="34" ca="1">SUM(F38:I38)</f>
        <v>907</v>
      </c>
      <c r="K38" s="358">
        <v>246</v>
      </c>
      <c r="L38" s="358">
        <v>275</v>
      </c>
      <c r="M38" s="358">
        <v>263</v>
      </c>
      <c r="N38" s="358">
        <v>204</v>
      </c>
      <c r="O38" s="162">
        <f t="shared" ref="O38:O42" si="35" ca="1">SUM(K38:N38)</f>
        <v>988</v>
      </c>
      <c r="P38" s="358">
        <v>180</v>
      </c>
      <c r="Q38" s="358">
        <v>188</v>
      </c>
      <c r="R38" s="358">
        <v>185</v>
      </c>
      <c r="S38" s="358">
        <v>233</v>
      </c>
      <c r="T38" s="162">
        <f t="shared" ref="T38:T42" si="36" ca="1">SUM(P38:S38)</f>
        <v>786</v>
      </c>
      <c r="U38" s="358">
        <v>222</v>
      </c>
      <c r="V38" s="358">
        <v>0</v>
      </c>
      <c r="W38" s="358">
        <v>0</v>
      </c>
      <c r="X38" s="359">
        <f ca="1">X329</f>
        <v>1e-12</v>
      </c>
      <c r="Y38" s="162">
        <f ca="1">SUM(U38:X38)</f>
        <v>222</v>
      </c>
      <c r="Z38" s="359">
        <f ca="1">Z329</f>
        <v>1e-12</v>
      </c>
      <c r="AA38" s="359">
        <f ca="1">AA329</f>
        <v>1e-12</v>
      </c>
      <c r="AB38" s="359">
        <f ca="1">AB329</f>
        <v>1e-12</v>
      </c>
      <c r="AC38" s="359">
        <f ca="1">AC329</f>
        <v>1e-12</v>
      </c>
      <c r="AD38" s="162">
        <f ca="1">SUM(Z38:AC38)</f>
        <v>1e-12</v>
      </c>
      <c r="AE38" s="162">
        <f ca="1">AE329</f>
        <v>1e-12</v>
      </c>
      <c r="AF38" s="162">
        <f ca="1">AF329</f>
        <v>1e-12</v>
      </c>
      <c r="AG38" s="162">
        <f ca="1">AG329</f>
        <v>1e-12</v>
      </c>
      <c r="AH38" s="16"/>
      <c r="AI38" s="16"/>
      <c r="AJ38" s="16"/>
      <c r="AK38" s="16"/>
    </row>
    <row r="39" ht="13.5" customHeight="1" spans="1:37" x14ac:dyDescent="0.25">
      <c r="A39" s="264"/>
      <c r="B39" s="16"/>
      <c r="C39" s="139" t="s">
        <v>277</v>
      </c>
      <c r="D39" s="16"/>
      <c r="E39" s="16"/>
      <c r="F39" s="358">
        <v>-372</v>
      </c>
      <c r="G39" s="358">
        <v>-374</v>
      </c>
      <c r="H39" s="358">
        <v>-368</v>
      </c>
      <c r="I39" s="358">
        <f ca="1">-624-SUM(F39:H39)</f>
        <v>-159</v>
      </c>
      <c r="J39" s="162">
        <f ca="1">SUM(F39:I39)</f>
        <v>-1273</v>
      </c>
      <c r="K39" s="358">
        <v>-382</v>
      </c>
      <c r="L39" s="358">
        <v>-418</v>
      </c>
      <c r="M39" s="358">
        <v>-425</v>
      </c>
      <c r="N39" s="358">
        <v>-431</v>
      </c>
      <c r="O39" s="162">
        <f ca="1">SUM(K39:N39)</f>
        <v>-1656</v>
      </c>
      <c r="P39" s="358">
        <v>-387</v>
      </c>
      <c r="Q39" s="358">
        <v>-445</v>
      </c>
      <c r="R39" s="358">
        <v>-391</v>
      </c>
      <c r="S39" s="358">
        <v>-431</v>
      </c>
      <c r="T39" s="162">
        <f ca="1">SUM(P39:S39)</f>
        <v>-1654</v>
      </c>
      <c r="U39" s="358">
        <v>-375</v>
      </c>
      <c r="V39" s="358">
        <f ca="1">-216</f>
        <v>-216</v>
      </c>
      <c r="W39" s="358">
        <v>-223</v>
      </c>
      <c r="X39" s="359">
        <f ca="1">X322</f>
        <v>-217.976675</v>
      </c>
      <c r="Y39" s="162">
        <f ca="1">SUM(U39:X39)</f>
        <v>-1031.976675</v>
      </c>
      <c r="Z39" s="359">
        <f ca="1">Z322</f>
        <v>-233.07209743085127</v>
      </c>
      <c r="AA39" s="359">
        <f ca="1">AA322</f>
        <v>-279.58221377494914</v>
      </c>
      <c r="AB39" s="359">
        <f ca="1">AB322</f>
        <v>-324.67993911413714</v>
      </c>
      <c r="AC39" s="359">
        <f ca="1">AC322</f>
        <v>-388.66651481594283</v>
      </c>
      <c r="AD39" s="162">
        <f ca="1">SUM(Z39:AC39)</f>
        <v>-1226.0007651358806</v>
      </c>
      <c r="AE39" s="162">
        <f ca="1">AE322</f>
        <v>-2118.329846020336</v>
      </c>
      <c r="AF39" s="162">
        <f ca="1">AF322</f>
        <v>-3013.5492208336664</v>
      </c>
      <c r="AG39" s="162">
        <f ca="1">AG322</f>
        <v>-4115.965145754286</v>
      </c>
      <c r="AH39" s="16"/>
      <c r="AI39" s="16"/>
      <c r="AJ39" s="16"/>
      <c r="AK39" s="16"/>
    </row>
    <row r="40" ht="13.5" customHeight="1" spans="1:37" x14ac:dyDescent="0.25">
      <c r="A40" s="264"/>
      <c r="B40" s="16"/>
      <c r="C40" s="139" t="s">
        <v>278</v>
      </c>
      <c r="D40" s="16"/>
      <c r="E40" s="16"/>
      <c r="F40" s="358">
        <v>0</v>
      </c>
      <c r="G40" s="358">
        <v>0</v>
      </c>
      <c r="H40" s="358">
        <v>0</v>
      </c>
      <c r="I40" s="358">
        <v>0</v>
      </c>
      <c r="J40" s="162">
        <f ca="1">SUM(F40:I40)</f>
        <v>1e-12</v>
      </c>
      <c r="K40" s="358">
        <v>0</v>
      </c>
      <c r="L40" s="358">
        <v>0</v>
      </c>
      <c r="M40" s="358">
        <v>0</v>
      </c>
      <c r="N40" s="358">
        <v>0</v>
      </c>
      <c r="O40" s="162">
        <f ca="1">SUM(K40:N40)</f>
        <v>1e-12</v>
      </c>
      <c r="P40" s="358">
        <v>0</v>
      </c>
      <c r="Q40" s="358">
        <v>0</v>
      </c>
      <c r="R40" s="358">
        <v>0</v>
      </c>
      <c r="S40" s="358">
        <v>0</v>
      </c>
      <c r="T40" s="162">
        <f ca="1">SUM(P40:S40)</f>
        <v>1e-12</v>
      </c>
      <c r="U40" s="358">
        <v>0</v>
      </c>
      <c r="V40" s="358">
        <v>0</v>
      </c>
      <c r="W40" s="358">
        <v>0</v>
      </c>
      <c r="X40" s="361">
        <f ca="1">Drivers!X62</f>
        <v>1e-12</v>
      </c>
      <c r="Y40" s="162">
        <f ca="1">SUM(U40:X40)</f>
        <v>1e-12</v>
      </c>
      <c r="Z40" s="361">
        <f ca="1">Drivers!Z62</f>
        <v>1e-12</v>
      </c>
      <c r="AA40" s="361">
        <f ca="1">Drivers!AA62</f>
        <v>1e-12</v>
      </c>
      <c r="AB40" s="361">
        <f ca="1">Drivers!AB62</f>
        <v>1e-12</v>
      </c>
      <c r="AC40" s="361">
        <f ca="1">Drivers!AC62</f>
        <v>1e-12</v>
      </c>
      <c r="AD40" s="162">
        <f ca="1">SUM(Z40:AC40)</f>
        <v>1e-12</v>
      </c>
      <c r="AE40" s="362">
        <f ca="1">Drivers!AE62</f>
        <v>1e-12</v>
      </c>
      <c r="AF40" s="362">
        <f ca="1">Drivers!AF62</f>
        <v>1e-12</v>
      </c>
      <c r="AG40" s="362">
        <f ca="1">Drivers!AG62</f>
        <v>1e-12</v>
      </c>
      <c r="AH40" s="16"/>
      <c r="AI40" s="16"/>
      <c r="AJ40" s="16"/>
      <c r="AK40" s="16"/>
    </row>
    <row r="41" ht="13.5" customHeight="1" spans="1:37" x14ac:dyDescent="0.25">
      <c r="A41" s="264"/>
      <c r="B41" s="16"/>
      <c r="C41" s="139" t="s">
        <v>279</v>
      </c>
      <c r="D41" s="16"/>
      <c r="E41" s="16"/>
      <c r="F41" s="354">
        <v>615</v>
      </c>
      <c r="G41" s="354">
        <v>91</v>
      </c>
      <c r="H41" s="354">
        <v>-130</v>
      </c>
      <c r="I41" s="354">
        <v>-6</v>
      </c>
      <c r="J41" s="355">
        <f ca="1">SUM(F41:I41)</f>
        <v>570</v>
      </c>
      <c r="K41" s="354">
        <v>1513</v>
      </c>
      <c r="L41" s="354">
        <v>2</v>
      </c>
      <c r="M41" s="354">
        <v>491</v>
      </c>
      <c r="N41" s="354">
        <v>-14</v>
      </c>
      <c r="O41" s="355">
        <f ca="1">SUM(K41:N41)</f>
        <v>1992</v>
      </c>
      <c r="P41" s="354">
        <v>254</v>
      </c>
      <c r="Q41" s="354">
        <v>212</v>
      </c>
      <c r="R41" s="354">
        <v>-237</v>
      </c>
      <c r="S41" s="354">
        <f ca="1">-1200-45</f>
        <v>-1245</v>
      </c>
      <c r="T41" s="355">
        <f ca="1">SUM(P41:S41)</f>
        <v>-1016</v>
      </c>
      <c r="U41" s="354">
        <v>21</v>
      </c>
      <c r="V41" s="354">
        <v>0</v>
      </c>
      <c r="W41" s="354">
        <v>0</v>
      </c>
      <c r="X41" s="356">
        <f ca="1">X70*X28</f>
        <v>1e-12</v>
      </c>
      <c r="Y41" s="355">
        <f ca="1">SUM(U41:X41)</f>
        <v>21</v>
      </c>
      <c r="Z41" s="356">
        <f t="shared" ref="Z41:AC41" si="37" ca="1">Z70*Z28</f>
        <v>1e-12</v>
      </c>
      <c r="AA41" s="356">
        <f ca="1">AA70*AA28</f>
        <v>1e-12</v>
      </c>
      <c r="AB41" s="356">
        <f ca="1">AB70*AB28</f>
        <v>1e-12</v>
      </c>
      <c r="AC41" s="356">
        <f ca="1">AC70*AC28</f>
        <v>1e-12</v>
      </c>
      <c r="AD41" s="355">
        <f ca="1">SUM(Z41:AC41)</f>
        <v>1e-12</v>
      </c>
      <c r="AE41" s="355">
        <f t="shared" ref="AE41:AG41" si="38" ca="1">AE70*AE28</f>
        <v>1e-12</v>
      </c>
      <c r="AF41" s="355">
        <f ca="1">AF70*AF28</f>
        <v>1e-12</v>
      </c>
      <c r="AG41" s="355">
        <f ca="1">AG70*AG28</f>
        <v>1e-12</v>
      </c>
      <c r="AH41" s="16"/>
      <c r="AI41" s="16"/>
      <c r="AJ41" s="16"/>
      <c r="AK41" s="16"/>
    </row>
    <row r="42" ht="13.5" customHeight="1" spans="1:37" x14ac:dyDescent="0.25">
      <c r="A42" s="264"/>
      <c r="B42" s="16"/>
      <c r="C42" s="139" t="s">
        <v>280</v>
      </c>
      <c r="D42" s="16"/>
      <c r="E42" s="16"/>
      <c r="F42" s="353">
        <f t="shared" ref="F42:I42" si="39" ca="1">F36+SUM(F38:F41)</f>
        <v>4053</v>
      </c>
      <c r="G42" s="353">
        <f ca="1">G36+SUM(G38:G41)</f>
        <v>2880</v>
      </c>
      <c r="H42" s="353">
        <f ca="1">H36+SUM(H38:H41)</f>
        <v>3537</v>
      </c>
      <c r="I42" s="353">
        <f ca="1">I36+SUM(I38:I41)</f>
        <v>2482</v>
      </c>
      <c r="J42" s="282">
        <f ca="1">SUM(F42:I42)</f>
        <v>12952</v>
      </c>
      <c r="K42" s="353">
        <f t="shared" ref="K42:N42" si="40" ca="1">K36+SUM(K38:K41)</f>
        <v>3872</v>
      </c>
      <c r="L42" s="353">
        <f ca="1">L36+SUM(L38:L41)</f>
        <v>3028</v>
      </c>
      <c r="M42" s="353">
        <f ca="1">M36+SUM(M38:M41)</f>
        <v>3380</v>
      </c>
      <c r="N42" s="353">
        <f ca="1">N36+SUM(N38:N41)</f>
        <v>2806</v>
      </c>
      <c r="O42" s="282">
        <f ca="1">SUM(K42:N42)</f>
        <v>13086</v>
      </c>
      <c r="P42" s="353">
        <f t="shared" ref="P42:Q42" si="41" ca="1">P36+SUM(P38:P41)</f>
        <v>4057</v>
      </c>
      <c r="Q42" s="353">
        <f ca="1">Q36+SUM(Q38:Q41)</f>
        <v>4796</v>
      </c>
      <c r="R42" s="353">
        <f t="shared" ref="R42:S42" si="42" ca="1">IF($C$8="On",R36+SUM(R38:R41),IF($C$8="off",R36+SUM(R40:R41),"N/A"))</f>
        <v>3597</v>
      </c>
      <c r="S42" s="353">
        <f ca="1">IF($C$8="On",S36+SUM(S38:S41),IF($C$8="off",S36+SUM(S40:S41),"N/A"))</f>
        <v>-3517</v>
      </c>
      <c r="T42" s="282">
        <f ca="1">SUM(P42:S42)</f>
        <v>15998</v>
      </c>
      <c r="U42" s="353">
        <f t="shared" ref="U42:V42" si="43" ca="1">U36+SUM(U38:U41)</f>
        <v>4611</v>
      </c>
      <c r="V42" s="353">
        <f ca="1">V36+SUM(V38:V41)</f>
        <v>3994</v>
      </c>
      <c r="W42" s="353">
        <f t="shared" ref="W42:X42" si="44" ca="1">IF($C$8="On",W36+SUM(W38:W41),IF($C$8="off",W36+SUM(W40:W41),"N/A"))</f>
        <v>2566</v>
      </c>
      <c r="X42" s="281">
        <f ca="1">IF($C$8="On",X36+SUM(X38:X41),IF($C$8="off",X36+SUM(X40:X41),"N/A"))</f>
        <v>-2508.6531750000004</v>
      </c>
      <c r="Y42" s="282">
        <f ca="1">SUM(U42:X42)</f>
        <v>8299.346825</v>
      </c>
      <c r="Z42" s="281">
        <f ca="1">IF($C$8="On",Z36+SUM(Z38:Z41),IF($C$8="off",Z36+SUM(Z40:Z41),"N/A"))</f>
        <v>-2748.682645930853</v>
      </c>
      <c r="AA42" s="281">
        <f ca="1">IF($C$8="On",AA36+SUM(AA38:AA41),IF($C$8="off",AA36+SUM(AA40:AA41),"N/A"))</f>
        <v>-2959.459992561199</v>
      </c>
      <c r="AB42" s="281">
        <f ca="1">IF($C$8="On",AB36+SUM(AB38:AB41),IF($C$8="off",AB36+SUM(AB40:AB41),"N/A"))</f>
        <v>-3244.2412627538283</v>
      </c>
      <c r="AC42" s="281">
        <f ca="1">IF($C$8="On",AC36+SUM(AC38:AC41),IF($C$8="off",AC36+SUM(AC40:AC41),"N/A"))</f>
        <v>-2813.7705035351964</v>
      </c>
      <c r="AD42" s="282">
        <f ca="1">SUM(Z42:AC42)</f>
        <v>-11766.154404781078</v>
      </c>
      <c r="AE42" s="282">
        <f ca="1">IF($C$8="On",AE36+SUM(AE38:AE41),IF($C$8="off",AE36+SUM(AE40:AE41),"N/A"))</f>
        <v>-11696.443397051498</v>
      </c>
      <c r="AF42" s="282">
        <f ca="1">IF($C$8="On",AF36+SUM(AF38:AF41),IF($C$8="off",AF36+SUM(AF40:AF41),"N/A"))</f>
        <v>-12259.700666692403</v>
      </c>
      <c r="AG42" s="282">
        <f ca="1">IF($C$8="On",AG36+SUM(AG38:AG41),IF($C$8="off",AG36+SUM(AG40:AG41),"N/A"))</f>
        <v>-12787.488027100215</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-940</v>
      </c>
      <c r="G44" s="354">
        <v>-359</v>
      </c>
      <c r="H44" s="354">
        <v>-454</v>
      </c>
      <c r="I44" s="354">
        <f ca="1">-1080-SUM(F44:H44)</f>
        <v>-496</v>
      </c>
      <c r="J44" s="355">
        <f t="shared" ref="J44:J45" si="45" ca="1">SUM(F44:I44)</f>
        <v>-2249</v>
      </c>
      <c r="K44" s="354">
        <v>-687</v>
      </c>
      <c r="L44" s="354">
        <v>-627</v>
      </c>
      <c r="M44" s="354">
        <v>-530</v>
      </c>
      <c r="N44" s="354">
        <v>-593</v>
      </c>
      <c r="O44" s="355">
        <f t="shared" ref="O44:O45" si="46" ca="1">SUM(K44:N44)</f>
        <v>-2437</v>
      </c>
      <c r="P44" s="354">
        <v>-722</v>
      </c>
      <c r="Q44" s="354">
        <v>-993</v>
      </c>
      <c r="R44" s="354">
        <v>-500</v>
      </c>
      <c r="S44" s="354">
        <v>-646</v>
      </c>
      <c r="T44" s="355">
        <f t="shared" ref="T44:T45" si="47" ca="1">SUM(P44:S44)</f>
        <v>-2861</v>
      </c>
      <c r="U44" s="354">
        <v>-645</v>
      </c>
      <c r="V44" s="354">
        <f ca="1">-976</f>
        <v>-976</v>
      </c>
      <c r="W44" s="354">
        <v>-670</v>
      </c>
      <c r="X44" s="356">
        <f ca="1">-X71*X42</f>
        <v>602.076762</v>
      </c>
      <c r="Y44" s="355">
        <f ca="1">SUM(U44:X44)</f>
        <v>-1688.9232379999999</v>
      </c>
      <c r="Z44" s="356">
        <f ca="1">-Z71*Z42</f>
        <v>659.6838350234048</v>
      </c>
      <c r="AA44" s="356">
        <f ca="1">-AA71*AA42</f>
        <v>710.2703982146878</v>
      </c>
      <c r="AB44" s="356">
        <f ca="1">-AB71*AB42</f>
        <v>778.6179030609188</v>
      </c>
      <c r="AC44" s="356">
        <f ca="1">-AC71*AC42</f>
        <v>675.3049208484471</v>
      </c>
      <c r="AD44" s="355">
        <f ca="1">SUM(Z44:AC44)</f>
        <v>2823.8770571474583</v>
      </c>
      <c r="AE44" s="355">
        <f ca="1">-AE71*AE42</f>
        <v>2807.1464152923595</v>
      </c>
      <c r="AF44" s="355">
        <f ca="1">-AF71*AF42</f>
        <v>2942.3281600061764</v>
      </c>
      <c r="AG44" s="355">
        <f ca="1">-AG71*AG42</f>
        <v>3068.9971265040513</v>
      </c>
      <c r="AH44" s="16"/>
      <c r="AI44" s="16"/>
      <c r="AJ44" s="16"/>
      <c r="AK44" s="16"/>
    </row>
    <row r="45" ht="13.5" customHeight="1" spans="1:37" x14ac:dyDescent="0.25">
      <c r="A45" s="264"/>
      <c r="B45" s="16"/>
      <c r="C45" s="139" t="s">
        <v>282</v>
      </c>
      <c r="D45" s="16"/>
      <c r="E45" s="16"/>
      <c r="F45" s="353">
        <f ca="1">F42+F44+F48</f>
        <v>3113</v>
      </c>
      <c r="G45" s="353">
        <f ca="1">G42+G44+G48</f>
        <v>2521</v>
      </c>
      <c r="H45" s="353">
        <f ca="1">H42+H44+H48</f>
        <v>3083</v>
      </c>
      <c r="I45" s="353">
        <f ca="1">I42+I44+I48</f>
        <v>1986</v>
      </c>
      <c r="J45" s="282">
        <f ca="1">J42+J44+J48</f>
        <v>10703</v>
      </c>
      <c r="K45" s="353">
        <f ca="1">K42+K44+K48</f>
        <v>3185</v>
      </c>
      <c r="L45" s="353">
        <f ca="1">L42+L44+L48</f>
        <v>2401</v>
      </c>
      <c r="M45" s="353">
        <f ca="1">M42+M44+M48</f>
        <v>2850</v>
      </c>
      <c r="N45" s="353">
        <f ca="1">N42+N44+N48</f>
        <v>2213</v>
      </c>
      <c r="O45" s="282">
        <f ca="1">O42+O44+O48</f>
        <v>10649</v>
      </c>
      <c r="P45" s="353">
        <f ca="1">P42+P44+P48</f>
        <v>3335</v>
      </c>
      <c r="Q45" s="353">
        <f ca="1">Q42+Q44+Q48</f>
        <v>3803</v>
      </c>
      <c r="R45" s="353">
        <f ca="1">R42+R44+R48</f>
        <v>3683</v>
      </c>
      <c r="S45" s="353">
        <f ca="1">S42+S44+S48</f>
        <v>2316</v>
      </c>
      <c r="T45" s="282">
        <f ca="1">T42+T44+T48</f>
        <v>13137</v>
      </c>
      <c r="U45" s="353">
        <f ca="1">U42+U44+U48</f>
        <v>3966</v>
      </c>
      <c r="V45" s="353">
        <f ca="1">V42+V44</f>
        <v>3018</v>
      </c>
      <c r="W45" s="353">
        <f ca="1">W42+W44</f>
        <v>1896</v>
      </c>
      <c r="X45" s="281">
        <f ca="1">X42+X44</f>
        <v>-1906.5764130000002</v>
      </c>
      <c r="Y45" s="282">
        <f ca="1">SUM(U45:X45)</f>
        <v>6994.423586999999</v>
      </c>
      <c r="Z45" s="281">
        <f ca="1">Z42+Z44</f>
        <v>-2088.9988109074484</v>
      </c>
      <c r="AA45" s="281">
        <f ca="1">AA42+AA44</f>
        <v>-2249.1895943465115</v>
      </c>
      <c r="AB45" s="281">
        <f ca="1">AB42+AB44</f>
        <v>-2465.6233596929096</v>
      </c>
      <c r="AC45" s="281">
        <f ca="1">AC42+AC44</f>
        <v>-2138.4655826867493</v>
      </c>
      <c r="AD45" s="282">
        <f ca="1">SUM(Z45:AC45)</f>
        <v>-8942.277347633619</v>
      </c>
      <c r="AE45" s="282">
        <f ca="1">AE42+AE44</f>
        <v>-8889.296981759138</v>
      </c>
      <c r="AF45" s="282">
        <f ca="1">AF42+AF44</f>
        <v>-9317.372506686226</v>
      </c>
      <c r="AG45" s="282">
        <f ca="1">AG42+AG44</f>
        <v>-9718.490900596164</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t="shared" ref="J47:J51" si="48" ca="1">SUM(F47:I47)</f>
        <v>1e-12</v>
      </c>
      <c r="K47" s="358">
        <v>0</v>
      </c>
      <c r="L47" s="358">
        <v>0</v>
      </c>
      <c r="M47" s="358">
        <v>0</v>
      </c>
      <c r="N47" s="358">
        <v>0</v>
      </c>
      <c r="O47" s="162">
        <f t="shared" ref="O47:O51" si="49" ca="1">SUM(K47:N47)</f>
        <v>1e-12</v>
      </c>
      <c r="P47" s="358">
        <v>0</v>
      </c>
      <c r="Q47" s="358">
        <v>0</v>
      </c>
      <c r="R47" s="358">
        <v>0</v>
      </c>
      <c r="S47" s="358">
        <v>0</v>
      </c>
      <c r="T47" s="162">
        <f t="shared" ref="T47:T51" si="50" ca="1">SUM(P47:S47)</f>
        <v>1e-12</v>
      </c>
      <c r="U47" s="358">
        <v>0</v>
      </c>
      <c r="V47" s="358">
        <v>0</v>
      </c>
      <c r="W47" s="358">
        <v>0</v>
      </c>
      <c r="X47" s="365">
        <v>0</v>
      </c>
      <c r="Y47" s="162">
        <f t="shared" ref="Y47:Y51" si="51" ca="1">SUM(U47:X47)</f>
        <v>1e-12</v>
      </c>
      <c r="Z47" s="365">
        <v>0</v>
      </c>
      <c r="AA47" s="365">
        <v>0</v>
      </c>
      <c r="AB47" s="365">
        <v>0</v>
      </c>
      <c r="AC47" s="365">
        <v>0</v>
      </c>
      <c r="AD47" s="162">
        <f t="shared" ref="AD47:AD51" si="52" ca="1">SUM(Z47:AC47)</f>
        <v>1e-12</v>
      </c>
      <c r="AE47" s="366">
        <v>0</v>
      </c>
      <c r="AF47" s="366">
        <v>0</v>
      </c>
      <c r="AG47" s="366">
        <v>0</v>
      </c>
      <c r="AH47" s="16"/>
      <c r="AI47" s="16"/>
      <c r="AJ47" s="16"/>
      <c r="AK47" s="16"/>
    </row>
    <row r="48" ht="13.5" customHeight="1" spans="1:37" x14ac:dyDescent="0.25">
      <c r="A48" s="264"/>
      <c r="B48" s="16"/>
      <c r="C48" s="139" t="s">
        <v>284</v>
      </c>
      <c r="D48" s="16"/>
      <c r="E48" s="16"/>
      <c r="F48" s="358">
        <v>275</v>
      </c>
      <c r="G48" s="358">
        <v>538</v>
      </c>
      <c r="H48" s="358">
        <f ca="1">0.26*H284</f>
        <v>1e-12</v>
      </c>
      <c r="I48" s="358">
        <v>361</v>
      </c>
      <c r="J48" s="162">
        <f ca="1">SUM(F48:I48)</f>
        <v>1174</v>
      </c>
      <c r="K48" s="358">
        <v>354</v>
      </c>
      <c r="L48" s="358">
        <v>537</v>
      </c>
      <c r="M48" s="358">
        <v>541</v>
      </c>
      <c r="N48" s="358">
        <v>338</v>
      </c>
      <c r="O48" s="162">
        <f ca="1">SUM(K48:N48)</f>
        <v>1770</v>
      </c>
      <c r="P48" s="358">
        <v>351</v>
      </c>
      <c r="Q48" s="358">
        <v>561</v>
      </c>
      <c r="R48" s="358">
        <v>644</v>
      </c>
      <c r="S48" s="358">
        <v>475</v>
      </c>
      <c r="T48" s="162">
        <f ca="1">SUM(P48:S48)</f>
        <v>2031</v>
      </c>
      <c r="U48" s="358">
        <v>384</v>
      </c>
      <c r="V48" s="358">
        <v>0</v>
      </c>
      <c r="W48" s="358">
        <v>0</v>
      </c>
      <c r="X48" s="365">
        <v>0</v>
      </c>
      <c r="Y48" s="162">
        <f ca="1">SUM(U48:X48)</f>
        <v>384</v>
      </c>
      <c r="Z48" s="365">
        <v>0</v>
      </c>
      <c r="AA48" s="365">
        <v>0</v>
      </c>
      <c r="AB48" s="365">
        <v>0</v>
      </c>
      <c r="AC48" s="365">
        <v>0</v>
      </c>
      <c r="AD48" s="162">
        <f ca="1">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 ca="1">SUM(F49:I49)</f>
        <v>1e-12</v>
      </c>
      <c r="K49" s="358">
        <v>0</v>
      </c>
      <c r="L49" s="358">
        <v>0</v>
      </c>
      <c r="M49" s="358">
        <v>0</v>
      </c>
      <c r="N49" s="358">
        <v>0</v>
      </c>
      <c r="O49" s="162">
        <f ca="1">SUM(K49:N49)</f>
        <v>1e-12</v>
      </c>
      <c r="P49" s="358">
        <v>0</v>
      </c>
      <c r="Q49" s="358">
        <v>0</v>
      </c>
      <c r="R49" s="358">
        <v>0</v>
      </c>
      <c r="S49" s="358">
        <v>0</v>
      </c>
      <c r="T49" s="162">
        <f ca="1">SUM(P49:S49)</f>
        <v>1e-12</v>
      </c>
      <c r="U49" s="358"/>
      <c r="V49" s="358">
        <v>0</v>
      </c>
      <c r="W49" s="358">
        <v>0</v>
      </c>
      <c r="X49" s="365">
        <v>0</v>
      </c>
      <c r="Y49" s="162">
        <f ca="1">SUM(U49:X49)</f>
        <v>1e-12</v>
      </c>
      <c r="Z49" s="365">
        <v>0</v>
      </c>
      <c r="AA49" s="365">
        <v>0</v>
      </c>
      <c r="AB49" s="365">
        <v>0</v>
      </c>
      <c r="AC49" s="365">
        <v>0</v>
      </c>
      <c r="AD49" s="162">
        <f ca="1">SUM(Z49:AC49)</f>
        <v>1e-12</v>
      </c>
      <c r="AE49" s="366">
        <v>0</v>
      </c>
      <c r="AF49" s="366">
        <v>0</v>
      </c>
      <c r="AG49" s="366">
        <v>0</v>
      </c>
      <c r="AH49" s="16"/>
      <c r="AI49" s="16"/>
      <c r="AJ49" s="16"/>
      <c r="AK49" s="16"/>
    </row>
    <row r="50" ht="13.5" customHeight="1" spans="1:37" x14ac:dyDescent="0.25">
      <c r="A50" s="264"/>
      <c r="B50" s="16"/>
      <c r="C50" s="139" t="s">
        <v>286</v>
      </c>
      <c r="D50" s="16"/>
      <c r="E50" s="16"/>
      <c r="F50" s="354">
        <v>-6</v>
      </c>
      <c r="G50" s="367">
        <v>26</v>
      </c>
      <c r="H50" s="354">
        <v>4</v>
      </c>
      <c r="I50" s="354">
        <v>-13</v>
      </c>
      <c r="J50" s="355">
        <f ca="1">SUM(F50:I50)</f>
        <v>11</v>
      </c>
      <c r="K50" s="354">
        <v>-8</v>
      </c>
      <c r="L50" s="354">
        <v>10</v>
      </c>
      <c r="M50" s="354">
        <v>-2</v>
      </c>
      <c r="N50" s="354">
        <v>-18</v>
      </c>
      <c r="O50" s="355">
        <f ca="1">SUM(K50:N50)</f>
        <v>-18</v>
      </c>
      <c r="P50" s="354">
        <v>-5</v>
      </c>
      <c r="Q50" s="354">
        <v>7</v>
      </c>
      <c r="R50" s="354">
        <v>13</v>
      </c>
      <c r="S50" s="354">
        <v>-45</v>
      </c>
      <c r="T50" s="355">
        <f ca="1">SUM(P50:S50)</f>
        <v>-30</v>
      </c>
      <c r="U50" s="354">
        <v>-42</v>
      </c>
      <c r="V50" s="354">
        <v>0</v>
      </c>
      <c r="W50" s="354">
        <v>-7</v>
      </c>
      <c r="X50" s="368">
        <v>0</v>
      </c>
      <c r="Y50" s="355">
        <f ca="1">SUM(U50:X50)</f>
        <v>-7</v>
      </c>
      <c r="Z50" s="368">
        <v>0</v>
      </c>
      <c r="AA50" s="368">
        <v>0</v>
      </c>
      <c r="AB50" s="368">
        <v>0</v>
      </c>
      <c r="AC50" s="368">
        <v>0</v>
      </c>
      <c r="AD50" s="355">
        <f ca="1">SUM(Z50:AC50)</f>
        <v>1e-12</v>
      </c>
      <c r="AE50" s="369">
        <v>0</v>
      </c>
      <c r="AF50" s="369">
        <v>0</v>
      </c>
      <c r="AG50" s="369">
        <v>0</v>
      </c>
      <c r="AH50" s="16"/>
      <c r="AI50" s="16"/>
      <c r="AJ50" s="16"/>
      <c r="AK50" s="16"/>
    </row>
    <row r="51" ht="13.5" customHeight="1" spans="1:37" x14ac:dyDescent="0.25">
      <c r="A51" s="264"/>
      <c r="B51" s="16"/>
      <c r="C51" s="139" t="s">
        <v>287</v>
      </c>
      <c r="D51" s="16"/>
      <c r="E51" s="16"/>
      <c r="F51" s="353">
        <f ca="1">SUM(F45:F47,F49:F50)</f>
        <v>3107</v>
      </c>
      <c r="G51" s="353">
        <f ca="1">SUM(G45:G47,G49:G50)</f>
        <v>2547</v>
      </c>
      <c r="H51" s="353">
        <f ca="1">SUM(H45:H47,H49:H50)</f>
        <v>3087</v>
      </c>
      <c r="I51" s="353">
        <f ca="1">SUM(I45:I47,I49:I50)</f>
        <v>1973</v>
      </c>
      <c r="J51" s="282">
        <f ca="1">SUM(J45:J47,J49:J50)</f>
        <v>10714.000000000004</v>
      </c>
      <c r="K51" s="353">
        <f ca="1">SUM(K45:K47,K49:K50)</f>
        <v>3177</v>
      </c>
      <c r="L51" s="353">
        <f ca="1">SUM(L45:L47,L49:L50)</f>
        <v>2411</v>
      </c>
      <c r="M51" s="353">
        <f ca="1">SUM(M45:M47,M49:M50)</f>
        <v>2848</v>
      </c>
      <c r="N51" s="353">
        <f ca="1">SUM(N45:N47,N49:N50)</f>
        <v>2195</v>
      </c>
      <c r="O51" s="282">
        <f ca="1">SUM(O45:O47,O49:O50)</f>
        <v>10631.000000000004</v>
      </c>
      <c r="P51" s="353">
        <f ca="1">SUM(P45:P47,P49:P50)</f>
        <v>3330</v>
      </c>
      <c r="Q51" s="353">
        <f ca="1">SUM(Q45:Q47,Q49:Q50)</f>
        <v>3810</v>
      </c>
      <c r="R51" s="353">
        <f ca="1">SUM(R45:R47,R49:R50)</f>
        <v>3696</v>
      </c>
      <c r="S51" s="353">
        <f ca="1">SUM(S45:S47,S49:S50)</f>
        <v>2271</v>
      </c>
      <c r="T51" s="282">
        <f ca="1">SUM(T45:T47,T49:T50)</f>
        <v>13107.000000000004</v>
      </c>
      <c r="U51" s="353">
        <f ca="1">SUM(U45:U47,U49:U50)</f>
        <v>3924</v>
      </c>
      <c r="V51" s="353">
        <f ca="1">SUM(V45:V50)</f>
        <v>3018</v>
      </c>
      <c r="W51" s="353">
        <f ca="1">SUM(W45:W50)</f>
        <v>1889</v>
      </c>
      <c r="X51" s="281">
        <f ca="1">SUM(X45:X50)</f>
        <v>-1906.5764130000002</v>
      </c>
      <c r="Y51" s="282">
        <f ca="1">SUM(U51:X51)</f>
        <v>6945.423586999999</v>
      </c>
      <c r="Z51" s="281">
        <f ca="1">SUM(Z45:Z50)</f>
        <v>-2088.9988109074484</v>
      </c>
      <c r="AA51" s="281">
        <f ca="1">SUM(AA45:AA50)</f>
        <v>-2249.1895943465115</v>
      </c>
      <c r="AB51" s="281">
        <f ca="1">SUM(AB45:AB50)</f>
        <v>-2465.6233596929096</v>
      </c>
      <c r="AC51" s="281">
        <f ca="1">SUM(AC45:AC50)</f>
        <v>-2138.4655826867493</v>
      </c>
      <c r="AD51" s="282">
        <f ca="1">SUM(Z51:AC51)</f>
        <v>-8942.277347633619</v>
      </c>
      <c r="AE51" s="282">
        <f ca="1">SUM(AE45:AE50)</f>
        <v>-8889.296981759138</v>
      </c>
      <c r="AF51" s="282">
        <f ca="1">SUM(AF45:AF50)</f>
        <v>-9317.372506686226</v>
      </c>
      <c r="AG51" s="282">
        <f ca="1">SUM(AG45:AG50)</f>
        <v>-9718.490900596164</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53" ca="1">(F45)/F282</f>
        <v>1.1975757575757575</v>
      </c>
      <c r="G53" s="370">
        <f ca="1">(G45)/G282</f>
        <v>1.8708487084870848</v>
      </c>
      <c r="H53" s="370">
        <f ca="1">(H45)/H282</f>
        <v>0.7803970223325062</v>
      </c>
      <c r="I53" s="370">
        <f ca="1">(I45)/I282</f>
        <v>-1.0287141073657928</v>
      </c>
      <c r="J53" s="127">
        <f ca="1">J45/J282</f>
        <v>2.888888888888889</v>
      </c>
      <c r="K53" s="370">
        <f t="shared" ref="K53:N53" si="54" ca="1">(K45)/K282</f>
        <v>1.2678787878787878</v>
      </c>
      <c r="L53" s="370">
        <f ca="1">(L45)/L282</f>
        <v>2.06150061500615</v>
      </c>
      <c r="M53" s="370">
        <f ca="1">(M45)/M282</f>
        <v>1.3014888337468982</v>
      </c>
      <c r="N53" s="370">
        <f ca="1">(N45)/N282</f>
        <v>0.6367041198501873</v>
      </c>
      <c r="O53" s="127">
        <f ca="1">O45/O282</f>
        <v>5.344569288389513</v>
      </c>
      <c r="P53" s="370">
        <f t="shared" ref="P53:S53" si="55" ca="1">(P45)/P282</f>
        <v>1.770860927152318</v>
      </c>
      <c r="Q53" s="370">
        <f ca="1">(Q45)/Q282</f>
        <v>3.7606382978723403</v>
      </c>
      <c r="R53" s="370">
        <f ca="1">(R45)/R282</f>
        <v>0.9202127659574468</v>
      </c>
      <c r="S53" s="370">
        <f ca="1">(S45)/S282</f>
        <v>1.3074866310160427</v>
      </c>
      <c r="T53" s="127">
        <f ca="1">T45/T282</f>
        <v>7.800802139037433</v>
      </c>
      <c r="U53" s="370">
        <f t="shared" ref="U53:W53" si="56" ca="1">(U45)/U282</f>
        <v>3.232590529247911</v>
      </c>
      <c r="V53" s="370">
        <f ca="1">(V45)/V282</f>
        <v>4.280851063829787</v>
      </c>
      <c r="W53" s="370">
        <f ca="1">(W45)/W282</f>
        <v>2.747826086956522</v>
      </c>
      <c r="X53" s="371">
        <f ca="1">X45/X282</f>
        <v>-2.834320072259252</v>
      </c>
      <c r="Y53" s="127">
        <f ca="1">Y45/Y282</f>
        <v>10.043416330596425</v>
      </c>
      <c r="Z53" s="371">
        <f ca="1">Z45/Z282</f>
        <v>-3.11544054821415</v>
      </c>
      <c r="AA53" s="371">
        <f ca="1">AA45/AA282</f>
        <v>-3.365103148457663</v>
      </c>
      <c r="AB53" s="371">
        <f ca="1">AB45/AB282</f>
        <v>-3.70079101571967</v>
      </c>
      <c r="AC53" s="371">
        <f ca="1">AC45/AC282</f>
        <v>-3.2201054841465635</v>
      </c>
      <c r="AD53" s="127">
        <f ca="1">AD45/AD282</f>
        <v>-13.400396391217834</v>
      </c>
      <c r="AE53" s="127">
        <f ca="1">AE45/AE282</f>
        <v>-13.538518048543551</v>
      </c>
      <c r="AF53" s="127">
        <f ca="1">AF45/AF282</f>
        <v>-14.474095110603075</v>
      </c>
      <c r="AG53" s="127">
        <f ca="1">AG45/AG282</f>
        <v>-15.405101258553348</v>
      </c>
      <c r="AH53" s="16"/>
      <c r="AI53" s="16"/>
      <c r="AJ53" s="16"/>
      <c r="AK53" s="16"/>
    </row>
    <row r="54" ht="13.5" customHeight="1" spans="1:37" x14ac:dyDescent="0.25">
      <c r="A54" s="264"/>
      <c r="B54" s="16"/>
      <c r="C54" s="139" t="s">
        <v>289</v>
      </c>
      <c r="D54" s="16"/>
      <c r="E54" s="16"/>
      <c r="F54" s="370">
        <f t="shared" ref="F54:I54" si="57" ca="1">(F45)/F284</f>
        <v>1.1961259079903148</v>
      </c>
      <c r="G54" s="370">
        <f ca="1">(G45)/G284</f>
        <v>1.8685503685503686</v>
      </c>
      <c r="H54" s="370">
        <f ca="1">(H45)/H284</f>
        <v>0.7794299876084263</v>
      </c>
      <c r="I54" s="370">
        <f ca="1">(I45)/I284</f>
        <v>-1.0287141073657928</v>
      </c>
      <c r="J54" s="127">
        <f ca="1">J45/J284</f>
        <v>2.888888888888889</v>
      </c>
      <c r="K54" s="370">
        <f t="shared" ref="K54:N54" si="58" ca="1">(K45)/K284</f>
        <v>1.2663438256658595</v>
      </c>
      <c r="L54" s="370">
        <f ca="1">(L45)/L284</f>
        <v>2.058968058968059</v>
      </c>
      <c r="M54" s="370">
        <f ca="1">(M45)/M284</f>
        <v>1.2998760842627013</v>
      </c>
      <c r="N54" s="370">
        <f ca="1">(N45)/N284</f>
        <v>0.6367041198501873</v>
      </c>
      <c r="O54" s="127">
        <f ca="1">O45/O284</f>
        <v>5.344569288389513</v>
      </c>
      <c r="P54" s="370">
        <f t="shared" ref="P54:S54" si="59" ca="1">(P45)/P284</f>
        <v>1.7685185185185186</v>
      </c>
      <c r="Q54" s="370">
        <f ca="1">(Q45)/Q284</f>
        <v>3.755644090305445</v>
      </c>
      <c r="R54" s="370">
        <f ca="1">(R45)/R284</f>
        <v>0.9177718832891246</v>
      </c>
      <c r="S54" s="370">
        <f ca="1">(S45)/S284</f>
        <v>1.304</v>
      </c>
      <c r="T54" s="127">
        <f ca="1">T45/T284</f>
        <v>7.78</v>
      </c>
      <c r="U54" s="370">
        <f t="shared" ref="U54:W54" si="60" ca="1">(U45)/U284</f>
        <v>3.223611111111111</v>
      </c>
      <c r="V54" s="370">
        <f ca="1">(V45)/V284</f>
        <v>4.2687411598302685</v>
      </c>
      <c r="W54" s="370">
        <f ca="1">(W45)/W284</f>
        <v>2.739884393063584</v>
      </c>
      <c r="X54" s="371">
        <f ca="1">X45/X284</f>
        <v>-2.8259180421336656</v>
      </c>
      <c r="Y54" s="127">
        <f ca="1">Y45/Y284</f>
        <v>10.01465588815501</v>
      </c>
      <c r="Z54" s="371">
        <f ca="1">Z45/Z284</f>
        <v>-3.1061757216927446</v>
      </c>
      <c r="AA54" s="371">
        <f ca="1">AA45/AA284</f>
        <v>-3.355063856106463</v>
      </c>
      <c r="AB54" s="371">
        <f ca="1">AB45/AB284</f>
        <v>-3.6897148199959977</v>
      </c>
      <c r="AC54" s="371">
        <f ca="1">AC45/AC284</f>
        <v>-3.210436920277974</v>
      </c>
      <c r="AD54" s="127">
        <f ca="1">AD45/AD284</f>
        <v>-13.360354232897773</v>
      </c>
      <c r="AE54" s="127">
        <f ca="1">AE45/AE284</f>
        <v>-13.497404593548579</v>
      </c>
      <c r="AF54" s="127">
        <f ca="1">AF45/AF284</f>
        <v>-14.429264757341155</v>
      </c>
      <c r="AG54" s="127">
        <f ca="1">AG45/AG284</f>
        <v>-15.356417328848787</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61" ca="1">F51/F282</f>
        <v>1.1975757575757575</v>
      </c>
      <c r="G56" s="370">
        <f ca="1">G51/G282</f>
        <v>2.081107011070111</v>
      </c>
      <c r="H56" s="370">
        <f ca="1">H51/H282</f>
        <v>1.0407196029776675</v>
      </c>
      <c r="I56" s="370">
        <f ca="1">I51/I282</f>
        <v>0.8012858926342075</v>
      </c>
      <c r="J56" s="127">
        <f ca="1">J51/J282</f>
        <v>5.194244694132335</v>
      </c>
      <c r="K56" s="370">
        <f ca="1">K51/K282</f>
        <v>1.1809333333333334</v>
      </c>
      <c r="L56" s="370">
        <f ca="1">L51/L282</f>
        <v>2.0711070110701106</v>
      </c>
      <c r="M56" s="370">
        <f ca="1">M51/M282</f>
        <v>1.349255583126551</v>
      </c>
      <c r="N56" s="370">
        <f ca="1">N51/N282</f>
        <v>0.9037702871410738</v>
      </c>
      <c r="O56" s="127">
        <f ca="1">O51/O282</f>
        <v>5.579900124843945</v>
      </c>
      <c r="P56" s="370">
        <f ca="1">P51/P282</f>
        <v>1.7808741721854304</v>
      </c>
      <c r="Q56" s="370">
        <f ca="1">Q51/Q282</f>
        <v>3.770651595744681</v>
      </c>
      <c r="R56" s="370">
        <f ca="1">R51/R282</f>
        <v>1.993058510638298</v>
      </c>
      <c r="S56" s="370">
        <f ca="1">S51/S282</f>
        <v>1.3074866310160427</v>
      </c>
      <c r="T56" s="127">
        <f ca="1">T51/T282</f>
        <v>8.899558823529413</v>
      </c>
      <c r="U56" s="370">
        <f ca="1">U51/U282</f>
        <v>3.232590529247911</v>
      </c>
      <c r="V56" s="370">
        <f ca="1">V51/V282</f>
        <v>4.280851063829787</v>
      </c>
      <c r="W56" s="370">
        <f ca="1">W51/W282</f>
        <v>2.7376811594202897</v>
      </c>
      <c r="X56" s="371">
        <f ca="1">X51/X282</f>
        <v>-2.834320072259252</v>
      </c>
      <c r="Y56" s="127">
        <f ca="1">Y51/Y282</f>
        <v>9.973056365393017</v>
      </c>
      <c r="Z56" s="371">
        <f ca="1">Z51/Z282</f>
        <v>-3.11544054821415</v>
      </c>
      <c r="AA56" s="371">
        <f ca="1">AA51/AA282</f>
        <v>-3.365103148457663</v>
      </c>
      <c r="AB56" s="371">
        <f ca="1">AB51/AB282</f>
        <v>-3.70079101571967</v>
      </c>
      <c r="AC56" s="371">
        <f ca="1">AC51/AC282</f>
        <v>-3.2201054841465635</v>
      </c>
      <c r="AD56" s="127">
        <f ca="1">AD51/AD282</f>
        <v>-13.400396391217834</v>
      </c>
      <c r="AE56" s="127">
        <f ca="1">AE51/AE282</f>
        <v>-13.538518048543551</v>
      </c>
      <c r="AF56" s="127">
        <f ca="1">AF51/AF282</f>
        <v>-14.474095110603075</v>
      </c>
      <c r="AG56" s="127">
        <f ca="1">AG51/AG282</f>
        <v>-15.405101258553348</v>
      </c>
      <c r="AH56" s="16"/>
      <c r="AI56" s="16"/>
      <c r="AJ56" s="16"/>
      <c r="AK56" s="16"/>
    </row>
    <row r="57" ht="13.5" customHeight="1" spans="1:37" x14ac:dyDescent="0.25">
      <c r="A57" s="264"/>
      <c r="B57" s="16"/>
      <c r="C57" s="139" t="s">
        <v>291</v>
      </c>
      <c r="D57" s="16"/>
      <c r="E57" s="16"/>
      <c r="F57" s="370">
        <f t="shared" ref="F57:AG57" si="62" ca="1">F51/F284</f>
        <v>1.1961259079903148</v>
      </c>
      <c r="G57" s="370">
        <f ca="1">G51/G284</f>
        <v>2.078550368550369</v>
      </c>
      <c r="H57" s="370">
        <f ca="1">H51/H284</f>
        <v>1.039429987608426</v>
      </c>
      <c r="I57" s="370">
        <f ca="1">I51/I284</f>
        <v>0.8012858926342075</v>
      </c>
      <c r="J57" s="127">
        <f ca="1">J51/J284</f>
        <v>5.194244694132335</v>
      </c>
      <c r="K57" s="370">
        <f ca="1">K51/K284</f>
        <v>1.179503631961259</v>
      </c>
      <c r="L57" s="370">
        <f ca="1">L51/L284</f>
        <v>2.0685626535626533</v>
      </c>
      <c r="M57" s="370">
        <f ca="1">M51/M284</f>
        <v>1.3475836431226766</v>
      </c>
      <c r="N57" s="370">
        <f ca="1">N51/N284</f>
        <v>0.9037702871410738</v>
      </c>
      <c r="O57" s="127">
        <f ca="1">O51/O284</f>
        <v>5.579900124843945</v>
      </c>
      <c r="P57" s="370">
        <f ca="1">P51/P284</f>
        <v>1.7785185185185184</v>
      </c>
      <c r="Q57" s="370">
        <f ca="1">Q51/Q284</f>
        <v>3.7656440903054453</v>
      </c>
      <c r="R57" s="370">
        <f ca="1">R51/R284</f>
        <v>1.987771883289125</v>
      </c>
      <c r="S57" s="370">
        <f ca="1">S51/S284</f>
        <v>1.304</v>
      </c>
      <c r="T57" s="127">
        <f ca="1">T51/T284</f>
        <v>8.875826666666669</v>
      </c>
      <c r="U57" s="370">
        <f ca="1">U51/U284</f>
        <v>3.223611111111111</v>
      </c>
      <c r="V57" s="370">
        <f ca="1">V51/V284</f>
        <v>4.2687411598302685</v>
      </c>
      <c r="W57" s="370">
        <f ca="1">W51/W284</f>
        <v>2.729768786127168</v>
      </c>
      <c r="X57" s="371">
        <f ca="1">X51/X284</f>
        <v>-2.8259180421336656</v>
      </c>
      <c r="Y57" s="127">
        <f ca="1">Y51/Y284</f>
        <v>9.94449740655666</v>
      </c>
      <c r="Z57" s="371">
        <f ca="1">Z51/Z284</f>
        <v>-3.1061757216927446</v>
      </c>
      <c r="AA57" s="371">
        <f ca="1">AA51/AA284</f>
        <v>-3.355063856106463</v>
      </c>
      <c r="AB57" s="371">
        <f ca="1">AB51/AB284</f>
        <v>-3.6897148199959977</v>
      </c>
      <c r="AC57" s="371">
        <f ca="1">AC51/AC284</f>
        <v>-3.210436920277974</v>
      </c>
      <c r="AD57" s="127">
        <f ca="1">AD51/AD284</f>
        <v>-13.360354232897773</v>
      </c>
      <c r="AE57" s="127">
        <f ca="1">AE51/AE284</f>
        <v>-13.497404593548579</v>
      </c>
      <c r="AF57" s="127">
        <f ca="1">AF51/AF284</f>
        <v>-14.429264757341155</v>
      </c>
      <c r="AG57" s="127">
        <f ca="1">AG51/AG284</f>
        <v>-15.356417328848787</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63" ca="1">F51-F44-F41-F40-F39-F38</f>
        <v>3636</v>
      </c>
      <c r="G59" s="353">
        <f ca="1">G51-G44-G41-G40-G39-G38</f>
        <v>2965</v>
      </c>
      <c r="H59" s="353">
        <f ca="1">H51-H44-H41-H40-H39-H38</f>
        <v>3274</v>
      </c>
      <c r="I59" s="353">
        <f ca="1">I51-I44-I41-I40-I39-I38</f>
        <v>-6297</v>
      </c>
      <c r="J59" s="282">
        <f t="shared" ref="J59:J61" si="64" ca="1">SUM(F59:I59)</f>
        <v>3578</v>
      </c>
      <c r="K59" s="353">
        <f t="shared" ref="K59:N59" si="65" ca="1">K51-K44-K41-K40-K39-K38</f>
        <v>2487</v>
      </c>
      <c r="L59" s="353">
        <f ca="1">L51-L44-L41-L40-L39-L38</f>
        <v>4549</v>
      </c>
      <c r="M59" s="353">
        <f ca="1">M51-M44-M41-M40-M39-M38</f>
        <v>4093</v>
      </c>
      <c r="N59" s="353">
        <f ca="1">N51-N44-N41-N40-N39-N38</f>
        <v>-1991</v>
      </c>
      <c r="O59" s="282">
        <f t="shared" ref="O59:O61" si="66" ca="1">SUM(K59:N59)</f>
        <v>9138</v>
      </c>
      <c r="P59" s="353">
        <f t="shared" ref="P59:S59" si="67" ca="1">P51-P44-P41-P40-P39-P38</f>
        <v>4078</v>
      </c>
      <c r="Q59" s="353">
        <f ca="1">Q51-Q44-Q41-Q40-Q39-Q38</f>
        <v>4919</v>
      </c>
      <c r="R59" s="353">
        <f ca="1">R51-R44-R41-R40-R39-R38</f>
        <v>4697</v>
      </c>
      <c r="S59" s="353">
        <f ca="1">S51-S44-S41-S40-S39-S38</f>
        <v>-1644</v>
      </c>
      <c r="T59" s="282">
        <f t="shared" ref="T59:T61" si="68" ca="1">SUM(P59:S59)</f>
        <v>12050</v>
      </c>
      <c r="U59" s="353">
        <f t="shared" ref="U59:X59" si="69" ca="1">U51-U44-U41-U40-U39-U38</f>
        <v>4722</v>
      </c>
      <c r="V59" s="353">
        <f ca="1">V51-V44-V41-V40-V39-V38</f>
        <v>4210</v>
      </c>
      <c r="W59" s="353">
        <f ca="1">W51-W44-W41-W40-W39-W38</f>
        <v>2782</v>
      </c>
      <c r="X59" s="281">
        <f ca="1">X51-X44-X41-X40-X39-X38</f>
        <v>-2290.6765000000005</v>
      </c>
      <c r="Y59" s="282">
        <f ca="1">SUM(U59:X59)</f>
        <v>9423.323499999999</v>
      </c>
      <c r="Z59" s="281">
        <f ca="1">Z51-Z44-Z41-Z40-Z39-Z38</f>
        <v>-2515.6105485000016</v>
      </c>
      <c r="AA59" s="281">
        <f ca="1">AA51-AA44-AA41-AA40-AA39-AA38</f>
        <v>-2679.87777878625</v>
      </c>
      <c r="AB59" s="281">
        <f ca="1">AB51-AB44-AB41-AB40-AB39-AB38</f>
        <v>-2919.561323639691</v>
      </c>
      <c r="AC59" s="281">
        <f ca="1">AC51-AC44-AC41-AC40-AC39-AC38</f>
        <v>-2425.1039887192537</v>
      </c>
      <c r="AD59" s="282">
        <f ca="1">SUM(Z59:AC59)</f>
        <v>-10540.153639645196</v>
      </c>
      <c r="AE59" s="282">
        <f ca="1">AE51-AE44-AE41-AE40-AE39-AE38</f>
        <v>-9578.113551031161</v>
      </c>
      <c r="AF59" s="282">
        <f ca="1">AF51-AF44-AF41-AF40-AF39-AF38</f>
        <v>-9246.151445858737</v>
      </c>
      <c r="AG59" s="282">
        <f ca="1">AG51-AG44-AG41-AG40-AG39-AG38</f>
        <v>-8671.522881345929</v>
      </c>
      <c r="AH59" s="16"/>
      <c r="AI59" s="16"/>
      <c r="AJ59" s="16"/>
      <c r="AK59" s="16"/>
    </row>
    <row r="60" ht="13.5" customHeight="1" spans="1:37" x14ac:dyDescent="0.25">
      <c r="A60" s="264"/>
      <c r="B60" s="16"/>
      <c r="C60" s="139" t="s">
        <v>273</v>
      </c>
      <c r="D60" s="16"/>
      <c r="E60" s="16"/>
      <c r="F60" s="372">
        <f t="shared" ref="F60:I60" si="70" ca="1">-F34</f>
        <v>1e-12</v>
      </c>
      <c r="G60" s="372">
        <f ca="1">-G34</f>
        <v>1e-12</v>
      </c>
      <c r="H60" s="372">
        <f ca="1">-H34</f>
        <v>1e-12</v>
      </c>
      <c r="I60" s="372">
        <f ca="1">-I34</f>
        <v>1477</v>
      </c>
      <c r="J60" s="355">
        <f ca="1">SUM(F60:I60)</f>
        <v>1477</v>
      </c>
      <c r="K60" s="372">
        <f t="shared" ref="K60:N60" si="71" ca="1">-K34</f>
        <v>1e-12</v>
      </c>
      <c r="L60" s="372">
        <f ca="1">-L34</f>
        <v>1e-12</v>
      </c>
      <c r="M60" s="372">
        <f ca="1">-M34</f>
        <v>1e-12</v>
      </c>
      <c r="N60" s="372">
        <f ca="1">-N34</f>
        <v>1e-12</v>
      </c>
      <c r="O60" s="355">
        <f ca="1">SUM(K60:N60)</f>
        <v>1e-12</v>
      </c>
      <c r="P60" s="372">
        <f t="shared" ref="P60:S60" si="72" ca="1">-P34</f>
        <v>1e-12</v>
      </c>
      <c r="Q60" s="372">
        <f ca="1">-Q34</f>
        <v>1e-12</v>
      </c>
      <c r="R60" s="372">
        <f ca="1">-R34</f>
        <v>1e-12</v>
      </c>
      <c r="S60" s="372">
        <f ca="1">-S34</f>
        <v>1e-12</v>
      </c>
      <c r="T60" s="355">
        <f ca="1">SUM(P60:S60)</f>
        <v>1e-12</v>
      </c>
      <c r="U60" s="372">
        <f t="shared" ref="U60:X60" si="73" ca="1">-U34</f>
        <v>1e-12</v>
      </c>
      <c r="V60" s="372">
        <f ca="1">-V34</f>
        <v>409</v>
      </c>
      <c r="W60" s="372">
        <f ca="1">-W34</f>
        <v>425</v>
      </c>
      <c r="X60" s="356">
        <f ca="1">-X34</f>
        <v>331.18750000000006</v>
      </c>
      <c r="Y60" s="355">
        <f ca="1">SUM(U60:X60)</f>
        <v>1556.1875</v>
      </c>
      <c r="Z60" s="356">
        <f t="shared" ref="Z60:AC60" si="74" ca="1">-Z34</f>
        <v>331.86891850000006</v>
      </c>
      <c r="AA60" s="356">
        <f ca="1">-AA34</f>
        <v>336.85146518625004</v>
      </c>
      <c r="AB60" s="356">
        <f ca="1">-AB34</f>
        <v>342.23237867969067</v>
      </c>
      <c r="AC60" s="356">
        <f ca="1">-AC34</f>
        <v>343.91086566405204</v>
      </c>
      <c r="AD60" s="355">
        <f ca="1">SUM(Z60:AC60)</f>
        <v>1354.863628029993</v>
      </c>
      <c r="AE60" s="355">
        <f t="shared" ref="AE60:AG60" si="75" ca="1">-AE34</f>
        <v>1420.1551602334257</v>
      </c>
      <c r="AF60" s="355">
        <f ca="1">-AF34</f>
        <v>1472.475831890681</v>
      </c>
      <c r="AG60" s="355">
        <f ca="1">-AG34</f>
        <v>1524.1208520524956</v>
      </c>
      <c r="AH60" s="16"/>
      <c r="AI60" s="16"/>
      <c r="AJ60" s="16"/>
      <c r="AK60" s="16"/>
    </row>
    <row r="61" ht="13.5" customHeight="1" spans="1:37" x14ac:dyDescent="0.25">
      <c r="A61" s="264"/>
      <c r="B61" s="16"/>
      <c r="C61" s="139" t="s">
        <v>292</v>
      </c>
      <c r="D61" s="16"/>
      <c r="E61" s="16"/>
      <c r="F61" s="353">
        <f t="shared" ref="F61:I61" si="76" ca="1">SUM(F59:F60)</f>
        <v>3636</v>
      </c>
      <c r="G61" s="353">
        <f ca="1">SUM(G59:G60)</f>
        <v>2965</v>
      </c>
      <c r="H61" s="353">
        <f ca="1">SUM(H59:H60)</f>
        <v>3274</v>
      </c>
      <c r="I61" s="353">
        <f ca="1">SUM(I59:I60)</f>
        <v>-4820</v>
      </c>
      <c r="J61" s="282">
        <f ca="1">SUM(F61:I61)</f>
        <v>5055</v>
      </c>
      <c r="K61" s="353">
        <f t="shared" ref="K61:N61" si="77" ca="1">SUM(K59:K60)</f>
        <v>2487</v>
      </c>
      <c r="L61" s="353">
        <f ca="1">SUM(L59:L60)</f>
        <v>4549</v>
      </c>
      <c r="M61" s="353">
        <f ca="1">SUM(M59:M60)</f>
        <v>4093</v>
      </c>
      <c r="N61" s="353">
        <f ca="1">SUM(N59:N60)</f>
        <v>-1991</v>
      </c>
      <c r="O61" s="282">
        <f ca="1">SUM(K61:N61)</f>
        <v>9138</v>
      </c>
      <c r="P61" s="353">
        <f t="shared" ref="P61:S61" si="78" ca="1">SUM(P59:P60)</f>
        <v>4078</v>
      </c>
      <c r="Q61" s="353">
        <f ca="1">SUM(Q59:Q60)</f>
        <v>4919</v>
      </c>
      <c r="R61" s="353">
        <f ca="1">SUM(R59:R60)</f>
        <v>4697</v>
      </c>
      <c r="S61" s="353">
        <f ca="1">SUM(S59:S60)</f>
        <v>-1644</v>
      </c>
      <c r="T61" s="282">
        <f ca="1">SUM(P61:S61)</f>
        <v>12050</v>
      </c>
      <c r="U61" s="353">
        <f t="shared" ref="U61:X61" si="79" ca="1">SUM(U59:U60)</f>
        <v>4722</v>
      </c>
      <c r="V61" s="353">
        <f ca="1">SUM(V59:V60)</f>
        <v>4619</v>
      </c>
      <c r="W61" s="353">
        <f ca="1">SUM(W59:W60)</f>
        <v>3207</v>
      </c>
      <c r="X61" s="281">
        <f ca="1">SUM(X59:X60)</f>
        <v>-1959.4890000000005</v>
      </c>
      <c r="Y61" s="282">
        <f ca="1">SUM(U61:X61)</f>
        <v>10588.510999999999</v>
      </c>
      <c r="Z61" s="281">
        <f ca="1">SUM(Z59:Z60)</f>
        <v>-2183.7416300000014</v>
      </c>
      <c r="AA61" s="281">
        <f ca="1">SUM(AA59:AA60)</f>
        <v>-2343.0263136</v>
      </c>
      <c r="AB61" s="281">
        <f ca="1">SUM(AB59:AB60)</f>
        <v>-2577.3289449600006</v>
      </c>
      <c r="AC61" s="281">
        <f ca="1">SUM(AC59:AC60)</f>
        <v>-2081.193123055202</v>
      </c>
      <c r="AD61" s="282">
        <f ca="1">SUM(Z61:AC61)</f>
        <v>-9185.290011615205</v>
      </c>
      <c r="AE61" s="282">
        <f ca="1">SUM(AE59:AE60)</f>
        <v>-8157.958390797736</v>
      </c>
      <c r="AF61" s="282">
        <f ca="1">SUM(AF59:AF60)</f>
        <v>-7773.6756139680565</v>
      </c>
      <c r="AG61" s="282">
        <f ca="1">SUM(AG59:AG60)</f>
        <v>-7147.402029293433</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80" ca="1">F$25</f>
        <v>1e-12</v>
      </c>
      <c r="G63" s="194">
        <f ca="1">G$25</f>
        <v>1e-12</v>
      </c>
      <c r="H63" s="194">
        <f ca="1">H$25</f>
        <v>1e-12</v>
      </c>
      <c r="I63" s="194">
        <f ca="1">I$25</f>
        <v>1e-12</v>
      </c>
      <c r="J63" s="194">
        <f ca="1">J$25</f>
        <v>2023</v>
      </c>
      <c r="K63" s="194">
        <f ca="1">K$25</f>
        <v>1e-12</v>
      </c>
      <c r="L63" s="194">
        <f ca="1">L$25</f>
        <v>1e-12</v>
      </c>
      <c r="M63" s="194">
        <f ca="1">M$25</f>
        <v>1e-12</v>
      </c>
      <c r="N63" s="194">
        <f ca="1">N$25</f>
        <v>1e-12</v>
      </c>
      <c r="O63" s="194">
        <f ca="1">O$25</f>
        <v>2024</v>
      </c>
      <c r="P63" s="194">
        <f ca="1">P$25</f>
        <v>1e-12</v>
      </c>
      <c r="Q63" s="194">
        <f ca="1">Q$25</f>
        <v>1e-12</v>
      </c>
      <c r="R63" s="194">
        <f ca="1">R$25</f>
        <v>1e-12</v>
      </c>
      <c r="S63" s="194">
        <f ca="1">S$25</f>
        <v>1e-12</v>
      </c>
      <c r="T63" s="194">
        <f ca="1">T$25</f>
        <v>2025</v>
      </c>
      <c r="U63" s="194">
        <f ca="1">U$25</f>
        <v>1e-12</v>
      </c>
      <c r="V63" s="194" t="str">
        <f ca="1">V$25</f>
        <v>2Q26</v>
      </c>
      <c r="W63" s="194" t="str">
        <f ca="1">W$25</f>
        <v>3Q26e</v>
      </c>
      <c r="X63" s="194" t="str">
        <f ca="1">X$25</f>
        <v>4Q26e</v>
      </c>
      <c r="Y63" s="194" t="str">
        <f ca="1">Y$25</f>
        <v>2026e</v>
      </c>
      <c r="Z63" s="194" t="str">
        <f ca="1">Z$25</f>
        <v>1Q27e</v>
      </c>
      <c r="AA63" s="194" t="str">
        <f ca="1">AA$25</f>
        <v>2Q27e</v>
      </c>
      <c r="AB63" s="194" t="str">
        <f ca="1">AB$25</f>
        <v>3Q27e</v>
      </c>
      <c r="AC63" s="194" t="str">
        <f ca="1">AC$25</f>
        <v>4Q27e</v>
      </c>
      <c r="AD63" s="194" t="str">
        <f ca="1">AD$25</f>
        <v>2027e</v>
      </c>
      <c r="AE63" s="194" t="str">
        <f ca="1">AE$25</f>
        <v>2028e</v>
      </c>
      <c r="AF63" s="194" t="str">
        <f ca="1">AF$25</f>
        <v>2029e</v>
      </c>
      <c r="AG63" s="352" t="str">
        <f ca="1">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81" ca="1">F30/F28</f>
        <v>0.6068306010928962</v>
      </c>
      <c r="G66" s="377">
        <f ca="1">G30/G28</f>
        <v>0.5897093217507517</v>
      </c>
      <c r="H66" s="377">
        <f ca="1">H30/H28</f>
        <v>0.6103906968961766</v>
      </c>
      <c r="I66" s="377">
        <f ca="1">I30/I28</f>
        <v>-0.07005253940455342</v>
      </c>
      <c r="J66" s="378">
        <f ca="1">J30/J28</f>
        <v>0.4427809590418324</v>
      </c>
      <c r="K66" s="377">
        <f ca="1">K30/K28</f>
        <v>0.6252212389380531</v>
      </c>
      <c r="L66" s="377">
        <f ca="1">L30/L28</f>
        <v>0.6107740839602038</v>
      </c>
      <c r="M66" s="377">
        <f ca="1">M30/M28</f>
        <v>0.6065463134806817</v>
      </c>
      <c r="N66" s="377">
        <f ca="1">N30/N28</f>
        <v>0.6003984753984754</v>
      </c>
      <c r="O66" s="378">
        <f ca="1">O30/O28</f>
        <v>0.6106330082233696</v>
      </c>
      <c r="P66" s="377">
        <f ca="1">P30/P28</f>
        <v>0.6259322490789828</v>
      </c>
      <c r="Q66" s="377">
        <f ca="1">Q30/Q28</f>
        <v>0.623932987634623</v>
      </c>
      <c r="R66" s="377">
        <f ca="1">R30/R28</f>
        <v>0.6148534725010036</v>
      </c>
      <c r="S66" s="377">
        <f ca="1">S30/S28</f>
        <v>0.6004906107257655</v>
      </c>
      <c r="T66" s="378">
        <f ca="1">T30/T28</f>
        <v>0.6162574831563797</v>
      </c>
      <c r="U66" s="377">
        <f ca="1">U30/U28</f>
        <v>0.6295702373316229</v>
      </c>
      <c r="V66" s="377">
        <f ca="1">V30/V28</f>
        <v>0.33775843307943415</v>
      </c>
      <c r="W66" s="377">
        <f ca="1">W30/W28</f>
        <v>0.33104982982808273</v>
      </c>
      <c r="X66" s="379">
        <f ca="1">IF(Cover!$F$37="Bottom Up",(X30/X28),Drivers!X7)</f>
        <v>0.13</v>
      </c>
      <c r="Y66" s="378">
        <f ca="1">Y30/Y28</f>
        <v>0.28815440500361494</v>
      </c>
      <c r="Z66" s="379">
        <f ca="1">IF(Cover!$F$37="Bottom Up",(Z30/Z28),Drivers!Z7)</f>
        <v>0.14</v>
      </c>
      <c r="AA66" s="379">
        <f ca="1">IF(Cover!$F$37="Bottom Up",(AA30/AA28),Drivers!AA7)</f>
        <v>0.145</v>
      </c>
      <c r="AB66" s="379">
        <f ca="1">IF(Cover!$F$37="Bottom Up",(AB30/AB28),Drivers!AB7)</f>
        <v>0.12</v>
      </c>
      <c r="AC66" s="379">
        <f ca="1">IF(Cover!$F$37="Bottom Up",(AC30/AC28),Drivers!AC7)</f>
        <v>0.135</v>
      </c>
      <c r="AD66" s="378">
        <f ca="1">AD30/AD28</f>
        <v>0.13533005878561802</v>
      </c>
      <c r="AE66" s="378">
        <f ca="1">IF(Cover!$F$37="Bottom Up",(AE30/AE28),Drivers!AE7)</f>
        <v>0.139</v>
      </c>
      <c r="AF66" s="378">
        <f ca="1">IF(Cover!$F$37="Bottom Up",(AF30/AF28),Drivers!AF7)</f>
        <v>0.14</v>
      </c>
      <c r="AG66" s="378">
        <f ca="1">IF(Cover!$F$37="Bottom Up",(AG30/AG28),Drivers!AG7)</f>
        <v>0.142</v>
      </c>
      <c r="AH66" s="16"/>
      <c r="AI66" s="16"/>
      <c r="AJ66" s="16"/>
      <c r="AK66" s="16"/>
    </row>
    <row r="67" ht="13.5" customHeight="1" spans="1:37" x14ac:dyDescent="0.25">
      <c r="A67" s="264"/>
      <c r="B67" s="47"/>
      <c r="C67" s="16" t="s">
        <v>294</v>
      </c>
      <c r="D67" s="47"/>
      <c r="E67" s="47"/>
      <c r="F67" s="377">
        <f t="shared" ref="F67:W67" si="82" ca="1">F32/F28</f>
        <v>-0.2900728597449909</v>
      </c>
      <c r="G67" s="377">
        <f ca="1">G32/G28</f>
        <v>-0.2773972602739726</v>
      </c>
      <c r="H67" s="377">
        <f ca="1">H32/H28</f>
        <v>-0.3067849075545888</v>
      </c>
      <c r="I67" s="377">
        <f ca="1">I32/I28</f>
        <v>-0.39312379021107935</v>
      </c>
      <c r="J67" s="378">
        <f ca="1">J32/J28</f>
        <v>-0.31555710976089524</v>
      </c>
      <c r="K67" s="377">
        <f ca="1">K32/K28</f>
        <v>-0.2965486725663717</v>
      </c>
      <c r="L67" s="377">
        <f ca="1">L32/L28</f>
        <v>-0.2870662460567823</v>
      </c>
      <c r="M67" s="377">
        <f ca="1">M32/M28</f>
        <v>-0.3067319048422473</v>
      </c>
      <c r="N67" s="377">
        <f ca="1">N32/N28</f>
        <v>-0.3504851004851005</v>
      </c>
      <c r="O67" s="378">
        <f ca="1">O32/O28</f>
        <v>-0.30985316929092027</v>
      </c>
      <c r="P67" s="377">
        <f ca="1">P32/P28</f>
        <v>-0.2905921466439033</v>
      </c>
      <c r="Q67" s="377">
        <f ca="1">Q32/Q28</f>
        <v>-0.27682489030714</v>
      </c>
      <c r="R67" s="377">
        <f ca="1">R32/R28</f>
        <v>-0.2904857486953031</v>
      </c>
      <c r="S67" s="377">
        <f ca="1">S32/S28</f>
        <v>-0.3551852478430046</v>
      </c>
      <c r="T67" s="378">
        <f ca="1">T32/T28</f>
        <v>-0.302893139483949</v>
      </c>
      <c r="U67" s="377">
        <f ca="1">U32/U28</f>
        <v>-0.2783835792174471</v>
      </c>
      <c r="V67" s="377">
        <f ca="1">V32/V28</f>
        <v>-0.17022125498730503</v>
      </c>
      <c r="W67" s="377">
        <f ca="1">W32/W28</f>
        <v>-0.19081071646740552</v>
      </c>
      <c r="X67" s="380">
        <f ca="1">Drivers!X40</f>
        <v>-0.22</v>
      </c>
      <c r="Y67" s="378">
        <f ca="1">Y32/Y28</f>
        <v>-0.18979585673045993</v>
      </c>
      <c r="Z67" s="380">
        <f ca="1">Drivers!Z40</f>
        <v>-0.225</v>
      </c>
      <c r="AA67" s="380">
        <f ca="1">Drivers!AA40</f>
        <v>-0.225</v>
      </c>
      <c r="AB67" s="380">
        <f ca="1">Drivers!AB40</f>
        <v>-0.22</v>
      </c>
      <c r="AC67" s="380">
        <f ca="1">Drivers!AC40</f>
        <v>-0.22</v>
      </c>
      <c r="AD67" s="378">
        <f ca="1">AD32/AD28</f>
        <v>-0.22261215163174033</v>
      </c>
      <c r="AE67" s="381">
        <f ca="1">Drivers!AE40</f>
        <v>-0.215</v>
      </c>
      <c r="AF67" s="381">
        <f ca="1">Drivers!AF40</f>
        <v>-0.211</v>
      </c>
      <c r="AG67" s="381">
        <f ca="1">Drivers!AG40</f>
        <v>-0.206</v>
      </c>
      <c r="AH67" s="16"/>
      <c r="AI67" s="16"/>
      <c r="AJ67" s="16"/>
      <c r="AK67" s="16"/>
    </row>
    <row r="68" ht="13.5" customHeight="1" spans="1:37" x14ac:dyDescent="0.25">
      <c r="A68" s="264"/>
      <c r="B68" s="47"/>
      <c r="C68" s="16" t="s">
        <v>295</v>
      </c>
      <c r="D68" s="47"/>
      <c r="E68" s="47"/>
      <c r="F68" s="377">
        <f t="shared" ref="F68:W68" si="83" ca="1">F33/F28</f>
        <v>1e-12</v>
      </c>
      <c r="G68" s="377">
        <f ca="1">G33/G28</f>
        <v>1e-12</v>
      </c>
      <c r="H68" s="377">
        <f ca="1">H33/H28</f>
        <v>1e-12</v>
      </c>
      <c r="I68" s="377">
        <f ca="1">I33/I28</f>
        <v>1e-12</v>
      </c>
      <c r="J68" s="378">
        <f ca="1">J33/J28</f>
        <v>1e-12</v>
      </c>
      <c r="K68" s="377">
        <f ca="1">K33/K28</f>
        <v>1e-12</v>
      </c>
      <c r="L68" s="377">
        <f ca="1">L33/L28</f>
        <v>1e-12</v>
      </c>
      <c r="M68" s="377">
        <f ca="1">M33/M28</f>
        <v>1e-12</v>
      </c>
      <c r="N68" s="377">
        <f ca="1">N33/N28</f>
        <v>1e-12</v>
      </c>
      <c r="O68" s="378">
        <f ca="1">O33/O28</f>
        <v>1e-12</v>
      </c>
      <c r="P68" s="377">
        <f ca="1">P33/P28</f>
        <v>1e-12</v>
      </c>
      <c r="Q68" s="377">
        <f ca="1">Q33/Q28</f>
        <v>1e-12</v>
      </c>
      <c r="R68" s="377">
        <f ca="1">R33/R28</f>
        <v>1e-12</v>
      </c>
      <c r="S68" s="377">
        <f ca="1">S33/S28</f>
        <v>1e-12</v>
      </c>
      <c r="T68" s="378">
        <f ca="1">T33/T28</f>
        <v>1e-12</v>
      </c>
      <c r="U68" s="377">
        <f ca="1">U33/U28</f>
        <v>1e-12</v>
      </c>
      <c r="V68" s="377">
        <f ca="1">V33/V28</f>
        <v>1e-12</v>
      </c>
      <c r="W68" s="377">
        <f ca="1">W33/W28</f>
        <v>1e-12</v>
      </c>
      <c r="X68" s="380">
        <f ca="1">Drivers!X45</f>
        <v>1e-12</v>
      </c>
      <c r="Y68" s="378">
        <f ca="1">Y33/Y28</f>
        <v>1e-12</v>
      </c>
      <c r="Z68" s="380">
        <f ca="1">Drivers!Z45</f>
        <v>1e-12</v>
      </c>
      <c r="AA68" s="380">
        <f ca="1">Drivers!AA45</f>
        <v>1e-12</v>
      </c>
      <c r="AB68" s="380">
        <f ca="1">Drivers!AB45</f>
        <v>1e-12</v>
      </c>
      <c r="AC68" s="380">
        <f ca="1">Drivers!AC45</f>
        <v>1e-12</v>
      </c>
      <c r="AD68" s="378">
        <f ca="1">AD33/AD28</f>
        <v>1e-12</v>
      </c>
      <c r="AE68" s="381">
        <f ca="1">Drivers!AE45</f>
        <v>1e-12</v>
      </c>
      <c r="AF68" s="381">
        <f ca="1">Drivers!AF45</f>
        <v>1e-12</v>
      </c>
      <c r="AG68" s="381">
        <f ca="1">Drivers!AG45</f>
        <v>1e-12</v>
      </c>
      <c r="AH68" s="16"/>
      <c r="AI68" s="16"/>
      <c r="AJ68" s="16"/>
      <c r="AK68" s="16"/>
    </row>
    <row r="69" ht="13.5" customHeight="1" spans="1:37" x14ac:dyDescent="0.25">
      <c r="A69" s="264"/>
      <c r="B69" s="47"/>
      <c r="C69" s="16" t="s">
        <v>296</v>
      </c>
      <c r="D69" s="47"/>
      <c r="E69" s="47"/>
      <c r="F69" s="377">
        <f t="shared" ref="F69:W69" si="84" ca="1">F35/F28</f>
        <v>-0.010109289617486339</v>
      </c>
      <c r="G69" s="377">
        <f ca="1">G35/G28</f>
        <v>-0.11176077514199799</v>
      </c>
      <c r="H69" s="377">
        <f ca="1">H35/H28</f>
        <v>-0.03003430101229817</v>
      </c>
      <c r="I69" s="377">
        <f ca="1">I35/I28</f>
        <v>-0.013180938335330445</v>
      </c>
      <c r="J69" s="378">
        <f ca="1">J35/J28</f>
        <v>-0.0426410805612624</v>
      </c>
      <c r="K69" s="377">
        <f ca="1">K35/K28</f>
        <v>-0.13920353982300884</v>
      </c>
      <c r="L69" s="377">
        <f ca="1">L35/L28</f>
        <v>1e-12</v>
      </c>
      <c r="M69" s="377">
        <f ca="1">M35/M28</f>
        <v>1e-12</v>
      </c>
      <c r="N69" s="377">
        <f ca="1">N35/N28</f>
        <v>-0.4501039501039501</v>
      </c>
      <c r="O69" s="378">
        <f ca="1">O35/O28</f>
        <v>-0.1438345976498587</v>
      </c>
      <c r="P69" s="377">
        <f ca="1">P35/P28</f>
        <v>1e-12</v>
      </c>
      <c r="Q69" s="377">
        <f ca="1">Q35/Q28</f>
        <v>1e-12</v>
      </c>
      <c r="R69" s="377">
        <f ca="1">R35/R28</f>
        <v>1e-12</v>
      </c>
      <c r="S69" s="377">
        <f ca="1">S35/S28</f>
        <v>-0.42074099137201826</v>
      </c>
      <c r="T69" s="378">
        <f ca="1">T35/T28</f>
        <v>-0.10375252915041405</v>
      </c>
      <c r="U69" s="377">
        <f ca="1">U35/U28</f>
        <v>1e-12</v>
      </c>
      <c r="V69" s="377">
        <f ca="1">V35/V28</f>
        <v>1e-12</v>
      </c>
      <c r="W69" s="377">
        <f ca="1">W35/W28</f>
        <v>1e-12</v>
      </c>
      <c r="X69" s="380">
        <f ca="1">Drivers!X50</f>
        <v>1e-12</v>
      </c>
      <c r="Y69" s="378">
        <f ca="1">Y35/Y28</f>
        <v>1e-12</v>
      </c>
      <c r="Z69" s="380">
        <f ca="1">Drivers!Z50</f>
        <v>1e-12</v>
      </c>
      <c r="AA69" s="380">
        <f ca="1">Drivers!AA50</f>
        <v>1e-12</v>
      </c>
      <c r="AB69" s="380">
        <f ca="1">Drivers!AB50</f>
        <v>1e-12</v>
      </c>
      <c r="AC69" s="380">
        <f ca="1">Drivers!AC50</f>
        <v>1e-12</v>
      </c>
      <c r="AD69" s="378">
        <f ca="1">AD35/AD28</f>
        <v>1e-12</v>
      </c>
      <c r="AE69" s="381">
        <f ca="1">Drivers!AE50</f>
        <v>1e-12</v>
      </c>
      <c r="AF69" s="381">
        <f ca="1">Drivers!AF50</f>
        <v>1e-12</v>
      </c>
      <c r="AG69" s="381">
        <f ca="1">Drivers!AG50</f>
        <v>1e-12</v>
      </c>
      <c r="AH69" s="16"/>
      <c r="AI69" s="16"/>
      <c r="AJ69" s="16"/>
      <c r="AK69" s="16"/>
    </row>
    <row r="70" ht="13.5" customHeight="1" spans="1:37" x14ac:dyDescent="0.25">
      <c r="A70" s="264"/>
      <c r="B70" s="47"/>
      <c r="C70" s="16" t="s">
        <v>297</v>
      </c>
      <c r="D70" s="47"/>
      <c r="E70" s="47"/>
      <c r="F70" s="377">
        <f t="shared" ref="F70:W70" si="85" ca="1">F41/F28</f>
        <v>0.056010928961748634</v>
      </c>
      <c r="G70" s="377">
        <f ca="1">G41/G28</f>
        <v>0.007601069161376545</v>
      </c>
      <c r="H70" s="377">
        <f ca="1">H41/H28</f>
        <v>-0.01087593072868736</v>
      </c>
      <c r="I70" s="377">
        <f ca="1">I41/I28</f>
        <v>-0.0005530463637201586</v>
      </c>
      <c r="J70" s="378">
        <f ca="1">J41/J28</f>
        <v>0.012457927175766053</v>
      </c>
      <c r="K70" s="377">
        <f ca="1">K41/K28</f>
        <v>0.13389380530973452</v>
      </c>
      <c r="L70" s="377">
        <f ca="1">L41/L28</f>
        <v>0.000161773032435493</v>
      </c>
      <c r="M70" s="377">
        <f ca="1">M41/M28</f>
        <v>0.041420617513075755</v>
      </c>
      <c r="N70" s="377">
        <f ca="1">N41/N28</f>
        <v>-0.0012127512127512127</v>
      </c>
      <c r="O70" s="378">
        <f ca="1">O41/O28</f>
        <v>0.042328042328042326</v>
      </c>
      <c r="P70" s="377">
        <f ca="1">P41/P28</f>
        <v>0.022823254560158147</v>
      </c>
      <c r="Q70" s="377">
        <f ca="1">Q41/Q28</f>
        <v>0.016912644595133627</v>
      </c>
      <c r="R70" s="377">
        <f ca="1">R41/R28</f>
        <v>-0.01902850260939382</v>
      </c>
      <c r="S70" s="377">
        <f ca="1">S41/S28</f>
        <v>-0.10531212992725428</v>
      </c>
      <c r="T70" s="378">
        <f ca="1">T41/T28</f>
        <v>-0.021192716046807534</v>
      </c>
      <c r="U70" s="377">
        <f ca="1">U41/U28</f>
        <v>0.0016837716484926235</v>
      </c>
      <c r="V70" s="377">
        <f ca="1">V41/V28</f>
        <v>1e-12</v>
      </c>
      <c r="W70" s="377">
        <f ca="1">W41/W28</f>
        <v>1e-12</v>
      </c>
      <c r="X70" s="380">
        <f ca="1">Drivers!X57</f>
        <v>1e-12</v>
      </c>
      <c r="Y70" s="378">
        <f ca="1">Y41/Y28</f>
        <v>0.0002478399567578285</v>
      </c>
      <c r="Z70" s="380">
        <f ca="1">Drivers!Z57</f>
        <v>1e-12</v>
      </c>
      <c r="AA70" s="380">
        <f ca="1">Drivers!AA57</f>
        <v>1e-12</v>
      </c>
      <c r="AB70" s="380">
        <f ca="1">Drivers!AB57</f>
        <v>1e-12</v>
      </c>
      <c r="AC70" s="380">
        <f ca="1">Drivers!AC57</f>
        <v>1e-12</v>
      </c>
      <c r="AD70" s="378">
        <f ca="1">AD41/AD28</f>
        <v>1e-12</v>
      </c>
      <c r="AE70" s="381">
        <f ca="1">Drivers!AE57</f>
        <v>1e-12</v>
      </c>
      <c r="AF70" s="381">
        <f ca="1">Drivers!AF57</f>
        <v>1e-12</v>
      </c>
      <c r="AG70" s="381">
        <f ca="1">Drivers!AG57</f>
        <v>1e-12</v>
      </c>
      <c r="AH70" s="16"/>
      <c r="AI70" s="16"/>
      <c r="AJ70" s="16"/>
      <c r="AK70" s="16"/>
    </row>
    <row r="71" ht="13.5" customHeight="1" spans="1:37" x14ac:dyDescent="0.25">
      <c r="A71" s="264"/>
      <c r="B71" s="47"/>
      <c r="C71" s="16" t="s">
        <v>298</v>
      </c>
      <c r="D71" s="47"/>
      <c r="E71" s="47"/>
      <c r="F71" s="377">
        <f t="shared" ref="F71:W71" si="86" ca="1">-F44/F42</f>
        <v>0.24880889359449443</v>
      </c>
      <c r="G71" s="377">
        <f ca="1">-G44/G42</f>
        <v>0.15328778821520067</v>
      </c>
      <c r="H71" s="377">
        <f ca="1">-H44/H42</f>
        <v>0.15033112582781458</v>
      </c>
      <c r="I71" s="377">
        <f ca="1">-I44/I42</f>
        <v>-0.07580620510469203</v>
      </c>
      <c r="J71" s="378">
        <f ca="1">-J44/J42</f>
        <v>0.8659992298806315</v>
      </c>
      <c r="K71" s="377">
        <f ca="1">-K44/K42</f>
        <v>0.1952814098919841</v>
      </c>
      <c r="L71" s="377">
        <f ca="1">-L44/L42</f>
        <v>0.1623931623931624</v>
      </c>
      <c r="M71" s="377">
        <f ca="1">-M44/M42</f>
        <v>0.13649240278135463</v>
      </c>
      <c r="N71" s="377">
        <f ca="1">-N44/N42</f>
        <v>-0.2323667711598746</v>
      </c>
      <c r="O71" s="378">
        <f ca="1">-O44/O42</f>
        <v>0.27979334098737085</v>
      </c>
      <c r="P71" s="377">
        <f ca="1">-P44/P42</f>
        <v>0.19105583487695157</v>
      </c>
      <c r="Q71" s="377">
        <f ca="1">-Q44/Q42</f>
        <v>0.2306084533209475</v>
      </c>
      <c r="R71" s="377">
        <f ca="1">-R44/R42</f>
        <v>0.13900472616068946</v>
      </c>
      <c r="S71" s="377">
        <f ca="1">-S44/S42</f>
        <v>-0.1836792721069093</v>
      </c>
      <c r="T71" s="378">
        <f ca="1">-T44/T42</f>
        <v>0.35039804041641154</v>
      </c>
      <c r="U71" s="377">
        <f ca="1">-U44/U42</f>
        <v>0.1518361581920904</v>
      </c>
      <c r="V71" s="377">
        <f ca="1">-V44/V42</f>
        <v>0.2443665498247371</v>
      </c>
      <c r="W71" s="377">
        <f ca="1">-W44/W42</f>
        <v>0.26110678098207324</v>
      </c>
      <c r="X71" s="380">
        <f ca="1">Drivers!X64</f>
        <v>0.24</v>
      </c>
      <c r="Y71" s="378">
        <f ca="1">-Y44/Y42</f>
        <v>0.20350074212014868</v>
      </c>
      <c r="Z71" s="380">
        <f ca="1">Drivers!Z64</f>
        <v>0.24</v>
      </c>
      <c r="AA71" s="380">
        <f ca="1">Drivers!AA64</f>
        <v>0.24</v>
      </c>
      <c r="AB71" s="380">
        <f ca="1">Drivers!AB64</f>
        <v>0.24</v>
      </c>
      <c r="AC71" s="380">
        <f ca="1">Drivers!AC64</f>
        <v>0.24</v>
      </c>
      <c r="AD71" s="378">
        <f ca="1">-AD44/AD42</f>
        <v>0.23999999999999996</v>
      </c>
      <c r="AE71" s="381">
        <f ca="1">Drivers!AE64</f>
        <v>0.24</v>
      </c>
      <c r="AF71" s="381">
        <f ca="1">Drivers!AF64</f>
        <v>0.24</v>
      </c>
      <c r="AG71" s="381">
        <f ca="1">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 ca="1">F$25</f>
        <v>1e-12</v>
      </c>
      <c r="G73" s="63">
        <f t="shared" ref="G73:AG73" si="87" ca="1">G$63</f>
        <v>1e-12</v>
      </c>
      <c r="H73" s="63">
        <f ca="1">H$63</f>
        <v>1e-12</v>
      </c>
      <c r="I73" s="63">
        <f ca="1">I$63</f>
        <v>1e-12</v>
      </c>
      <c r="J73" s="63">
        <f ca="1">J$63</f>
        <v>2023</v>
      </c>
      <c r="K73" s="63">
        <f ca="1">K$63</f>
        <v>1e-12</v>
      </c>
      <c r="L73" s="63">
        <f ca="1">L$63</f>
        <v>1e-12</v>
      </c>
      <c r="M73" s="63">
        <f ca="1">M$63</f>
        <v>1e-12</v>
      </c>
      <c r="N73" s="63">
        <f ca="1">N$63</f>
        <v>1e-12</v>
      </c>
      <c r="O73" s="63">
        <f ca="1">O$63</f>
        <v>2024</v>
      </c>
      <c r="P73" s="63">
        <f ca="1">P$63</f>
        <v>1e-12</v>
      </c>
      <c r="Q73" s="63">
        <f ca="1">Q$63</f>
        <v>1e-12</v>
      </c>
      <c r="R73" s="63">
        <f ca="1">R$63</f>
        <v>1e-12</v>
      </c>
      <c r="S73" s="63">
        <f ca="1">S$63</f>
        <v>1e-12</v>
      </c>
      <c r="T73" s="63">
        <f ca="1">T$63</f>
        <v>2025</v>
      </c>
      <c r="U73" s="63">
        <f ca="1">U$63</f>
        <v>1e-12</v>
      </c>
      <c r="V73" s="63" t="str">
        <f ca="1">V$63</f>
        <v>2Q26</v>
      </c>
      <c r="W73" s="63" t="str">
        <f ca="1">W$63</f>
        <v>3Q26e</v>
      </c>
      <c r="X73" s="63" t="str">
        <f ca="1">X$63</f>
        <v>4Q26e</v>
      </c>
      <c r="Y73" s="63" t="str">
        <f ca="1">Y$63</f>
        <v>2026e</v>
      </c>
      <c r="Z73" s="63" t="str">
        <f ca="1">Z$63</f>
        <v>1Q27e</v>
      </c>
      <c r="AA73" s="63" t="str">
        <f ca="1">AA$63</f>
        <v>2Q27e</v>
      </c>
      <c r="AB73" s="63" t="str">
        <f ca="1">AB$63</f>
        <v>3Q27e</v>
      </c>
      <c r="AC73" s="63" t="str">
        <f ca="1">AC$63</f>
        <v>4Q27e</v>
      </c>
      <c r="AD73" s="63" t="str">
        <f ca="1">AD$63</f>
        <v>2027e</v>
      </c>
      <c r="AE73" s="63" t="str">
        <f ca="1">AE$63</f>
        <v>2028e</v>
      </c>
      <c r="AF73" s="63" t="str">
        <f ca="1">AF$63</f>
        <v>2029e</v>
      </c>
      <c r="AG73" s="64" t="str">
        <f ca="1">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 ca="1">X45</f>
        <v>-1906.5764130000002</v>
      </c>
      <c r="Y75" s="162">
        <f ca="1">SUM(U75:X75)</f>
        <v>-1906.5764130000002</v>
      </c>
      <c r="Z75" s="359">
        <f ca="1">Z45</f>
        <v>-2088.9988109074484</v>
      </c>
      <c r="AA75" s="359">
        <f ca="1">AA45</f>
        <v>-2249.1895943465115</v>
      </c>
      <c r="AB75" s="359">
        <f ca="1">AB45</f>
        <v>-2465.6233596929096</v>
      </c>
      <c r="AC75" s="359">
        <f ca="1">AC45</f>
        <v>-2138.4655826867493</v>
      </c>
      <c r="AD75" s="162">
        <f ca="1">SUM(Z75:AC75)</f>
        <v>-8942.277347633619</v>
      </c>
      <c r="AE75" s="162">
        <f ca="1">AE45</f>
        <v>-8889.296981759138</v>
      </c>
      <c r="AF75" s="162">
        <f ca="1">AF45</f>
        <v>-9317.372506686226</v>
      </c>
      <c r="AG75" s="162">
        <f ca="1">AG45</f>
        <v>-9718.490900596164</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 ca="1">-(X194+X208)</f>
        <v>331.18750000000006</v>
      </c>
      <c r="Y76" s="162">
        <f ca="1">SUM(U76:X76)</f>
        <v>331.18750000000006</v>
      </c>
      <c r="Z76" s="359">
        <f t="shared" ref="Z76:AC76" si="88" ca="1">-(Z194+Z208)</f>
        <v>331.86891850000006</v>
      </c>
      <c r="AA76" s="359">
        <f ca="1">-(AA194+AA208)</f>
        <v>336.85146518625004</v>
      </c>
      <c r="AB76" s="359">
        <f ca="1">-(AB194+AB208)</f>
        <v>342.23237867969067</v>
      </c>
      <c r="AC76" s="359">
        <f ca="1">-(AC194+AC208)</f>
        <v>343.91086566405204</v>
      </c>
      <c r="AD76" s="162">
        <f ca="1">SUM(Z76:AC76)</f>
        <v>1354.863628029993</v>
      </c>
      <c r="AE76" s="162">
        <f t="shared" ref="AE76:AG76" si="89" ca="1">-(AE194+AE208)</f>
        <v>1420.1551602334257</v>
      </c>
      <c r="AF76" s="162">
        <f ca="1">-(AF194+AF208)</f>
        <v>1472.475831890681</v>
      </c>
      <c r="AG76" s="162">
        <f ca="1">-(AG194+AG208)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 ca="1">X246</f>
        <v>51.3</v>
      </c>
      <c r="Y77" s="162">
        <f ca="1">SUM(U77:X77)</f>
        <v>51.3</v>
      </c>
      <c r="Z77" s="359">
        <f t="shared" ref="Z77:AC77" si="90" ca="1">Z246</f>
        <v>60.534</v>
      </c>
      <c r="AA77" s="359">
        <f ca="1">AA246</f>
        <v>69.00876</v>
      </c>
      <c r="AB77" s="359">
        <f ca="1">AB246</f>
        <v>60.7277088</v>
      </c>
      <c r="AC77" s="359">
        <f ca="1">AC246</f>
        <v>57.69132336</v>
      </c>
      <c r="AD77" s="162">
        <f ca="1">SUM(Z77:AC77)</f>
        <v>247.96179216000002</v>
      </c>
      <c r="AE77" s="162">
        <f t="shared" ref="AE77:AG77" si="91" ca="1">AE246</f>
        <v>252.92102800319995</v>
      </c>
      <c r="AF77" s="162">
        <f ca="1">AF246</f>
        <v>257.979448563264</v>
      </c>
      <c r="AG77" s="162">
        <f ca="1">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 ca="1">X174</f>
        <v>1905.858056521738</v>
      </c>
      <c r="Y78" s="162">
        <f ca="1">SUM(U78:X78)</f>
        <v>1905.858056521738</v>
      </c>
      <c r="Z78" s="359">
        <f t="shared" ref="Z78:AC78" si="92" ca="1">Z174</f>
        <v>-3218.803117167892</v>
      </c>
      <c r="AA78" s="359">
        <f ca="1">AA174</f>
        <v>1362.6979720093877</v>
      </c>
      <c r="AB78" s="359">
        <f ca="1">AB174</f>
        <v>1373.9746146900507</v>
      </c>
      <c r="AC78" s="359">
        <f ca="1">AC174</f>
        <v>-901.3647696096486</v>
      </c>
      <c r="AD78" s="162">
        <f ca="1">SUM(Z78:AC78)</f>
        <v>-1383.4953000781024</v>
      </c>
      <c r="AE78" s="162">
        <f t="shared" ref="AE78:AG78" si="93" ca="1">AE174</f>
        <v>935.2397561061916</v>
      </c>
      <c r="AF78" s="162">
        <f ca="1">AF174</f>
        <v>49.709140188824676</v>
      </c>
      <c r="AG78" s="162">
        <f ca="1">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 ca="1">X228</f>
        <v>-112.52000000000044</v>
      </c>
      <c r="Y79" s="355">
        <f ca="1">SUM(U79:X79)</f>
        <v>-112.52000000000044</v>
      </c>
      <c r="Z79" s="356">
        <f t="shared" ref="Z79:AC79" si="94" ca="1">Z228</f>
        <v>-114.77040000000034</v>
      </c>
      <c r="AA79" s="356">
        <f ca="1">AA228</f>
        <v>-117.06580800000029</v>
      </c>
      <c r="AB79" s="356">
        <f ca="1">AB228</f>
        <v>-119.40712416000042</v>
      </c>
      <c r="AC79" s="356">
        <f ca="1">AC228</f>
        <v>-121.7952666432002</v>
      </c>
      <c r="AD79" s="355">
        <f ca="1">SUM(Z79:AC79)</f>
        <v>-473.03859880320124</v>
      </c>
      <c r="AE79" s="355">
        <f t="shared" ref="AE79:AG79" si="95" ca="1">AE228</f>
        <v>-124.2311719760637</v>
      </c>
      <c r="AF79" s="355">
        <f ca="1">AF228</f>
        <v>-126.71579541558549</v>
      </c>
      <c r="AG79" s="355">
        <f ca="1">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 ca="1">SUM(X75:X79)</f>
        <v>269.2491435217373</v>
      </c>
      <c r="Y80" s="282">
        <f ca="1">SUM(U80:X80)</f>
        <v>269.2491435217373</v>
      </c>
      <c r="Z80" s="281">
        <f ca="1">SUM(Z75:Z79)</f>
        <v>-5030.169409575341</v>
      </c>
      <c r="AA80" s="281">
        <f ca="1">SUM(AA75:AA79)</f>
        <v>-597.697205150874</v>
      </c>
      <c r="AB80" s="281">
        <f ca="1">SUM(AB75:AB79)</f>
        <v>-808.0957816831688</v>
      </c>
      <c r="AC80" s="281">
        <f ca="1">SUM(AC75:AC79)</f>
        <v>-2760.0234299155463</v>
      </c>
      <c r="AD80" s="282">
        <f ca="1">SUM(Z80:AC80)</f>
        <v>-9195.98582632493</v>
      </c>
      <c r="AE80" s="282">
        <f ca="1">SUM(AE75:AE79)</f>
        <v>-6405.2122093923845</v>
      </c>
      <c r="AF80" s="282">
        <f ca="1">SUM(AF75:AF79)</f>
        <v>-7663.923881459043</v>
      </c>
      <c r="AG80" s="282">
        <f ca="1">SUM(AG75:AG79)</f>
        <v>-8015.5632258050855</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 ca="1">-X193</f>
        <v>-370.1257</v>
      </c>
      <c r="Y82" s="162">
        <f t="shared" ref="Y82:Y85" si="96" ca="1">SUM(U82:X82)</f>
        <v>-370.1257</v>
      </c>
      <c r="Z82" s="359">
        <f t="shared" ref="Z82:AC82" si="97" ca="1">-Z193</f>
        <v>-616.585872</v>
      </c>
      <c r="AA82" s="359">
        <f ca="1">-AA193</f>
        <v>-644.3322362399999</v>
      </c>
      <c r="AB82" s="359">
        <f ca="1">-AB193</f>
        <v>-438.14592064320004</v>
      </c>
      <c r="AC82" s="359">
        <f ca="1">-AC193</f>
        <v>-416.23862461104</v>
      </c>
      <c r="AD82" s="162">
        <f t="shared" ref="AD82:AD85" si="98" ca="1">SUM(Z82:AC82)</f>
        <v>-2115.30265349424</v>
      </c>
      <c r="AE82" s="162">
        <f t="shared" ref="AE82:AG82" si="99" ca="1">-AE193</f>
        <v>-2146.8311554730876</v>
      </c>
      <c r="AF82" s="162">
        <f ca="1">-AF193</f>
        <v>-2189.7677785825495</v>
      </c>
      <c r="AG82" s="162">
        <f ca="1">-AG193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 ca="1">-X207</f>
        <v>1e-12</v>
      </c>
      <c r="Y83" s="162">
        <f ca="1">SUM(U83:X83)</f>
        <v>1e-12</v>
      </c>
      <c r="Z83" s="359">
        <f t="shared" ref="Z83:AC83" si="100" ca="1">-Z207</f>
        <v>1e-12</v>
      </c>
      <c r="AA83" s="359">
        <f ca="1">-AA207</f>
        <v>1e-12</v>
      </c>
      <c r="AB83" s="359">
        <f ca="1">-AB207</f>
        <v>1e-12</v>
      </c>
      <c r="AC83" s="359">
        <f ca="1">-AC207</f>
        <v>1e-12</v>
      </c>
      <c r="AD83" s="162">
        <f ca="1">SUM(Z83:AC83)</f>
        <v>1e-12</v>
      </c>
      <c r="AE83" s="162">
        <f t="shared" ref="AE83:AG83" si="101" ca="1">-AE207</f>
        <v>1e-12</v>
      </c>
      <c r="AF83" s="162">
        <f ca="1">-AF207</f>
        <v>1e-12</v>
      </c>
      <c r="AG83" s="162">
        <f ca="1">-AG207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 ca="1">Drivers!X97</f>
        <v>1e-12</v>
      </c>
      <c r="Y84" s="355">
        <f ca="1">SUM(U84:X84)</f>
        <v>1e-12</v>
      </c>
      <c r="Z84" s="385">
        <f ca="1">Drivers!Z97</f>
        <v>1e-12</v>
      </c>
      <c r="AA84" s="385">
        <f ca="1">Drivers!AA97</f>
        <v>1e-12</v>
      </c>
      <c r="AB84" s="385">
        <f ca="1">Drivers!AB97</f>
        <v>1e-12</v>
      </c>
      <c r="AC84" s="385">
        <f ca="1">Drivers!AC97</f>
        <v>1e-12</v>
      </c>
      <c r="AD84" s="355">
        <f ca="1">SUM(Z84:AC84)</f>
        <v>1e-12</v>
      </c>
      <c r="AE84" s="355">
        <f ca="1">Drivers!AE97</f>
        <v>1e-12</v>
      </c>
      <c r="AF84" s="355">
        <f ca="1">Drivers!AF97</f>
        <v>1e-12</v>
      </c>
      <c r="AG84" s="355">
        <f ca="1">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 ca="1">SUM(X82:X84)</f>
        <v>-370.1257</v>
      </c>
      <c r="Y85" s="282">
        <f ca="1">SUM(U85:X85)</f>
        <v>-370.1257</v>
      </c>
      <c r="Z85" s="281">
        <f t="shared" ref="Z85:AC85" si="102" ca="1">SUM(Z82:Z84)</f>
        <v>-616.585872</v>
      </c>
      <c r="AA85" s="281">
        <f ca="1">SUM(AA82:AA84)</f>
        <v>-644.3322362399999</v>
      </c>
      <c r="AB85" s="281">
        <f ca="1">SUM(AB82:AB84)</f>
        <v>-438.14592064320004</v>
      </c>
      <c r="AC85" s="281">
        <f ca="1">SUM(AC82:AC84)</f>
        <v>-416.23862461104</v>
      </c>
      <c r="AD85" s="282">
        <f ca="1">SUM(Z85:AC85)</f>
        <v>-2115.30265349424</v>
      </c>
      <c r="AE85" s="282">
        <f t="shared" ref="AE85:AG85" si="103" ca="1">SUM(AE82:AE84)</f>
        <v>-2146.8311554730876</v>
      </c>
      <c r="AF85" s="282">
        <f ca="1">SUM(AF82:AF84)</f>
        <v>-2189.7677785825495</v>
      </c>
      <c r="AG85" s="282">
        <f ca="1">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 ca="1">SUM(X80,X85)</f>
        <v>-100.87655647826267</v>
      </c>
      <c r="Y87" s="389">
        <f ca="1">SUM(U87:X87)</f>
        <v>-100.87655647826267</v>
      </c>
      <c r="Z87" s="390">
        <f ca="1">SUM(Z80,Z85)</f>
        <v>-5646.755281575341</v>
      </c>
      <c r="AA87" s="390">
        <f ca="1">SUM(AA80,AA85)</f>
        <v>-1242.029441390874</v>
      </c>
      <c r="AB87" s="390">
        <f ca="1">SUM(AB80,AB85)</f>
        <v>-1246.2417023263688</v>
      </c>
      <c r="AC87" s="390">
        <f ca="1">SUM(AC80,AC85)</f>
        <v>-3176.2620545265863</v>
      </c>
      <c r="AD87" s="389">
        <f ca="1">SUM(Z87:AC87)</f>
        <v>-11311.28847981917</v>
      </c>
      <c r="AE87" s="389">
        <f ca="1">SUM(AE80,AE85)</f>
        <v>-8552.043364865473</v>
      </c>
      <c r="AF87" s="389">
        <f ca="1">SUM(AF80,AF85)</f>
        <v>-9853.691660041592</v>
      </c>
      <c r="AG87" s="389">
        <f ca="1">SUM(AG80,AG85)</f>
        <v>-10360.804516666996</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 ca="1">X303</f>
        <v>1e-12</v>
      </c>
      <c r="Y89" s="162">
        <f ca="1">SUM(U89:X89)</f>
        <v>1e-12</v>
      </c>
      <c r="Z89" s="359">
        <f ca="1">Z303</f>
        <v>3113.267588936206</v>
      </c>
      <c r="AA89" s="359">
        <f ca="1">AA303</f>
        <v>5026.351026119453</v>
      </c>
      <c r="AB89" s="359">
        <f ca="1">AB303</f>
        <v>2887.2850281506276</v>
      </c>
      <c r="AC89" s="359">
        <f ca="1">AC303</f>
        <v>8048.567084138277</v>
      </c>
      <c r="AD89" s="162">
        <f ca="1">SUM(Z89:AC89)</f>
        <v>19075.470727344564</v>
      </c>
      <c r="AE89" s="162">
        <f ca="1">AE303</f>
        <v>15824.184386124307</v>
      </c>
      <c r="AF89" s="162">
        <f ca="1">AF303</f>
        <v>21869.1906064089</v>
      </c>
      <c r="AG89" s="162">
        <f ca="1">AG303</f>
        <v>23972.44639041589</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104" ca="1">X308</f>
        <v>1e-12</v>
      </c>
      <c r="Y90" s="162">
        <f ca="1">SUM(U90:X90)</f>
        <v>1e-12</v>
      </c>
      <c r="Z90" s="359">
        <f t="shared" ref="Z90:AC90" si="105" ca="1">Z308</f>
        <v>1e-12</v>
      </c>
      <c r="AA90" s="359">
        <f ca="1">AA308</f>
        <v>1e-12</v>
      </c>
      <c r="AB90" s="359">
        <f ca="1">AB308</f>
        <v>1e-12</v>
      </c>
      <c r="AC90" s="359">
        <f ca="1">AC308</f>
        <v>1e-12</v>
      </c>
      <c r="AD90" s="162">
        <f ca="1">SUM(Z90:AC90)</f>
        <v>1e-12</v>
      </c>
      <c r="AE90" s="162">
        <f t="shared" ref="AE90:AG90" si="106" ca="1">AE308</f>
        <v>1e-12</v>
      </c>
      <c r="AF90" s="162">
        <f ca="1">AF308</f>
        <v>1e-12</v>
      </c>
      <c r="AG90" s="162">
        <f ca="1">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 ca="1">X309</f>
        <v>-500</v>
      </c>
      <c r="Y91" s="162">
        <f ca="1">SUM(U91:X91)</f>
        <v>-500</v>
      </c>
      <c r="Z91" s="359">
        <f t="shared" ref="Z91:AC91" si="107" ca="1">Z309</f>
        <v>-500</v>
      </c>
      <c r="AA91" s="359">
        <f ca="1">AA309</f>
        <v>-500</v>
      </c>
      <c r="AB91" s="359">
        <f ca="1">AB309</f>
        <v>-500</v>
      </c>
      <c r="AC91" s="359">
        <f ca="1">AC309</f>
        <v>-500</v>
      </c>
      <c r="AD91" s="162">
        <f ca="1">SUM(Z91:AC91)</f>
        <v>-2000</v>
      </c>
      <c r="AE91" s="162">
        <f t="shared" ref="AE91:AG91" si="108" ca="1">AE309</f>
        <v>-1400</v>
      </c>
      <c r="AF91" s="162">
        <f ca="1">AF309</f>
        <v>-1300</v>
      </c>
      <c r="AG91" s="162">
        <f ca="1">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 ca="1">X245</f>
        <v>1e-12</v>
      </c>
      <c r="Y92" s="162">
        <f ca="1">SUM(U92:X92)</f>
        <v>1e-12</v>
      </c>
      <c r="Z92" s="359">
        <f t="shared" ref="Z92:AC92" si="109" ca="1">Z245</f>
        <v>1e-12</v>
      </c>
      <c r="AA92" s="359">
        <f ca="1">AA245</f>
        <v>1e-12</v>
      </c>
      <c r="AB92" s="359">
        <f ca="1">AB245</f>
        <v>1e-12</v>
      </c>
      <c r="AC92" s="359">
        <f ca="1">AC245</f>
        <v>1e-12</v>
      </c>
      <c r="AD92" s="162">
        <f ca="1">SUM(Z92:AC92)</f>
        <v>1e-12</v>
      </c>
      <c r="AE92" s="162">
        <f t="shared" ref="AE92:AG92" si="110" ca="1">AE245</f>
        <v>1e-12</v>
      </c>
      <c r="AF92" s="162">
        <f ca="1">AF245</f>
        <v>1e-12</v>
      </c>
      <c r="AG92" s="162">
        <f ca="1">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 ca="1">-X241</f>
        <v>-500</v>
      </c>
      <c r="Y93" s="162">
        <f ca="1">SUM(U93:X93)</f>
        <v>-500</v>
      </c>
      <c r="Z93" s="359">
        <f t="shared" ref="Z93:AC93" si="111" ca="1">-Z241</f>
        <v>-500</v>
      </c>
      <c r="AA93" s="359">
        <f ca="1">-AA241</f>
        <v>-500</v>
      </c>
      <c r="AB93" s="359">
        <f ca="1">-AB241</f>
        <v>-500</v>
      </c>
      <c r="AC93" s="359">
        <f ca="1">-AC241</f>
        <v>-500</v>
      </c>
      <c r="AD93" s="162">
        <f ca="1">SUM(Z93:AC93)</f>
        <v>-2000</v>
      </c>
      <c r="AE93" s="162">
        <f t="shared" ref="AE93:AG93" si="112" ca="1">-AE241</f>
        <v>-3000</v>
      </c>
      <c r="AF93" s="162">
        <f ca="1">-AF241</f>
        <v>-3000</v>
      </c>
      <c r="AG93" s="162">
        <f ca="1">-AG241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 ca="1">-X267</f>
        <v>-519.8</v>
      </c>
      <c r="Y94" s="162">
        <f ca="1">SUM(U94:X94)</f>
        <v>-519.8</v>
      </c>
      <c r="Z94" s="359">
        <f t="shared" ref="Z94:AC94" si="113" ca="1">-Z267</f>
        <v>-505.99999999999994</v>
      </c>
      <c r="AA94" s="359">
        <f ca="1">-AA267</f>
        <v>-494.49999999999994</v>
      </c>
      <c r="AB94" s="359">
        <f ca="1">-AB267</f>
        <v>-647.4499999999999</v>
      </c>
      <c r="AC94" s="359">
        <f ca="1">-AC267</f>
        <v>-597.7699999999999</v>
      </c>
      <c r="AD94" s="162">
        <f ca="1">SUM(Z94:AC94)</f>
        <v>-2245.72</v>
      </c>
      <c r="AE94" s="162">
        <f t="shared" ref="AE94:AG94" si="114" ca="1">-AE267</f>
        <v>-2470.292</v>
      </c>
      <c r="AF94" s="162">
        <f ca="1">-AF267</f>
        <v>-2717.3212000000003</v>
      </c>
      <c r="AG94" s="162">
        <f ca="1">-AG267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 ca="1">Drivers!X106</f>
        <v>1e-12</v>
      </c>
      <c r="Y95" s="355">
        <f ca="1">SUM(U95:X95)</f>
        <v>1e-12</v>
      </c>
      <c r="Z95" s="385">
        <f ca="1">Drivers!Z106</f>
        <v>1e-12</v>
      </c>
      <c r="AA95" s="385">
        <f ca="1">Drivers!AA106</f>
        <v>1e-12</v>
      </c>
      <c r="AB95" s="385">
        <f ca="1">Drivers!AB106</f>
        <v>1e-12</v>
      </c>
      <c r="AC95" s="385">
        <f ca="1">Drivers!AC106</f>
        <v>1e-12</v>
      </c>
      <c r="AD95" s="355">
        <f ca="1">SUM(Z95:AC95)</f>
        <v>1e-12</v>
      </c>
      <c r="AE95" s="391">
        <f ca="1">Drivers!AE106</f>
        <v>1e-12</v>
      </c>
      <c r="AF95" s="391">
        <f ca="1">Drivers!AF106</f>
        <v>1e-12</v>
      </c>
      <c r="AG95" s="391">
        <f ca="1">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 ca="1">SUM(X89:X95)</f>
        <v>-6046.2</v>
      </c>
      <c r="Y96" s="282">
        <f ca="1">SUM(U96:X96)</f>
        <v>-6046.2</v>
      </c>
      <c r="Z96" s="281">
        <f ca="1">SUM(Z89:Z95)</f>
        <v>-509.8824110637938</v>
      </c>
      <c r="AA96" s="281">
        <f ca="1">SUM(AA89:AA95)</f>
        <v>5649.001026119453</v>
      </c>
      <c r="AB96" s="281">
        <f ca="1">SUM(AB89:AB95)</f>
        <v>1239.8350281506277</v>
      </c>
      <c r="AC96" s="281">
        <f ca="1">SUM(AC89:AC95)</f>
        <v>1245.437084138278</v>
      </c>
      <c r="AD96" s="282">
        <f ca="1">SUM(Z96:AC96)</f>
        <v>7624.390727344565</v>
      </c>
      <c r="AE96" s="282">
        <f ca="1">SUM(AE89:AE95)</f>
        <v>3227.996386124307</v>
      </c>
      <c r="AF96" s="282">
        <f ca="1">SUM(AF89:AF95)</f>
        <v>8553.383806408901</v>
      </c>
      <c r="AG96" s="282">
        <f ca="1">SUM(AG89:AG95)</f>
        <v>9855.05891041589</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 ca="1">Drivers!X108</f>
        <v>1e-12</v>
      </c>
      <c r="Y98" s="162">
        <f t="shared" ref="Y98:Y100" si="115" ca="1">SUM(U98:X98)</f>
        <v>1e-12</v>
      </c>
      <c r="Z98" s="361">
        <f ca="1">Drivers!Z108</f>
        <v>1e-12</v>
      </c>
      <c r="AA98" s="361">
        <f ca="1">Drivers!AA108</f>
        <v>1e-12</v>
      </c>
      <c r="AB98" s="361">
        <f ca="1">Drivers!AB108</f>
        <v>1e-12</v>
      </c>
      <c r="AC98" s="361">
        <f ca="1">Drivers!AC108</f>
        <v>1e-12</v>
      </c>
      <c r="AD98" s="162">
        <f t="shared" ref="AD98:AD100" si="116" ca="1">SUM(Z98:AC98)</f>
        <v>1e-12</v>
      </c>
      <c r="AE98" s="362">
        <f ca="1">Drivers!AE108</f>
        <v>1e-12</v>
      </c>
      <c r="AF98" s="362">
        <f ca="1">Drivers!AF108</f>
        <v>1e-12</v>
      </c>
      <c r="AG98" s="362">
        <f ca="1">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 ca="1">SUM(U99:X99)</f>
        <v>1e-12</v>
      </c>
      <c r="Z99" s="365">
        <v>0</v>
      </c>
      <c r="AA99" s="365">
        <v>0</v>
      </c>
      <c r="AB99" s="365">
        <v>0</v>
      </c>
      <c r="AC99" s="365">
        <v>0</v>
      </c>
      <c r="AD99" s="162">
        <f ca="1">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 ca="1">SUM(U100:X100)</f>
        <v>1e-12</v>
      </c>
      <c r="Z100" s="365">
        <v>0</v>
      </c>
      <c r="AA100" s="365">
        <v>0</v>
      </c>
      <c r="AB100" s="365">
        <v>0</v>
      </c>
      <c r="AC100" s="365">
        <v>0</v>
      </c>
      <c r="AD100" s="162">
        <f ca="1">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 ca="1">W104+X99</f>
        <v>6673</v>
      </c>
      <c r="Y102" s="282">
        <f ca="1">X102</f>
        <v>6673</v>
      </c>
      <c r="Z102" s="281">
        <f ca="1">Y104+Z99</f>
        <v>525.9234435217377</v>
      </c>
      <c r="AA102" s="281">
        <f ca="1">Z104+AA99</f>
        <v>-5630.714249117397</v>
      </c>
      <c r="AB102" s="281">
        <f ca="1">AA104+AB99</f>
        <v>-1223.7426643888184</v>
      </c>
      <c r="AC102" s="281">
        <f ca="1">AB104+AC99</f>
        <v>-1230.1493385645595</v>
      </c>
      <c r="AD102" s="282">
        <f ca="1">Z102</f>
        <v>525.9234435217377</v>
      </c>
      <c r="AE102" s="282">
        <f ca="1">AD104+AE99</f>
        <v>-3160.974308952868</v>
      </c>
      <c r="AF102" s="282">
        <f ca="1">AE104+AF99</f>
        <v>-8485.021287694033</v>
      </c>
      <c r="AG102" s="282">
        <f ca="1">AF104+AG99</f>
        <v>-9785.329141326723</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 ca="1">SUM(X87,X96,X98,X100)</f>
        <v>-6147.076556478262</v>
      </c>
      <c r="Y103" s="355">
        <f ca="1">SUM(U103:X103)</f>
        <v>-6147.076556478262</v>
      </c>
      <c r="Z103" s="356">
        <f ca="1">SUM(Z87,Z96,Z98,Z100)</f>
        <v>-6156.637692639135</v>
      </c>
      <c r="AA103" s="356">
        <f ca="1">SUM(AA87,AA96,AA98,AA100)</f>
        <v>4406.971584728579</v>
      </c>
      <c r="AB103" s="356">
        <f ca="1">SUM(AB87,AB96,AB98,AB100)</f>
        <v>-6.4066741757410455</v>
      </c>
      <c r="AC103" s="356">
        <f ca="1">SUM(AC87,AC96,AC98,AC100)</f>
        <v>-1930.8249703883084</v>
      </c>
      <c r="AD103" s="355">
        <f ca="1">SUM(Z103:AC103)</f>
        <v>-3686.8977524746056</v>
      </c>
      <c r="AE103" s="355">
        <f ca="1">SUM(AE87,AE96,AE98,AE100)</f>
        <v>-5324.046978741166</v>
      </c>
      <c r="AF103" s="355">
        <f ca="1">SUM(AF87,AF96,AF98,AF100)</f>
        <v>-1300.3078536326902</v>
      </c>
      <c r="AG103" s="355">
        <f ca="1">SUM(AG87,AG96,AG98,AG100)</f>
        <v>-505.74560625110644</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 ca="1">SUM(X102:X103)</f>
        <v>525.9234435217377</v>
      </c>
      <c r="Y104" s="282">
        <f ca="1">SUM(Y102:Y103)</f>
        <v>525.9234435217377</v>
      </c>
      <c r="Z104" s="281">
        <f ca="1">SUM(Z102:Z103)</f>
        <v>-5630.714249117397</v>
      </c>
      <c r="AA104" s="281">
        <f ca="1">SUM(AA102:AA103)</f>
        <v>-1223.7426643888184</v>
      </c>
      <c r="AB104" s="281">
        <f ca="1">SUM(AB102:AB103)</f>
        <v>-1230.1493385645595</v>
      </c>
      <c r="AC104" s="281">
        <f ca="1">SUM(AC102:AC103)</f>
        <v>-3160.974308952868</v>
      </c>
      <c r="AD104" s="282">
        <f ca="1">SUM(AD102:AD103)</f>
        <v>-3160.974308952868</v>
      </c>
      <c r="AE104" s="282">
        <f ca="1">SUM(AE102:AE103)</f>
        <v>-8485.021287694033</v>
      </c>
      <c r="AF104" s="282">
        <f ca="1">SUM(AF102:AF103)</f>
        <v>-9785.329141326723</v>
      </c>
      <c r="AG104" s="282">
        <f ca="1">SUM(AG102:AG103)</f>
        <v>-10291.07474757783</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17" ca="1">F45</f>
        <v>2838</v>
      </c>
      <c r="G108" s="384">
        <f ca="1">G45</f>
        <v>1983</v>
      </c>
      <c r="H108" s="384">
        <f ca="1">H45</f>
        <v>2566</v>
      </c>
      <c r="I108" s="384">
        <f ca="1">I45</f>
        <v>-7039</v>
      </c>
      <c r="J108" s="162">
        <f ca="1">J45</f>
        <v>348</v>
      </c>
      <c r="K108" s="384">
        <f ca="1">K45</f>
        <v>2831</v>
      </c>
      <c r="L108" s="384">
        <f ca="1">L45</f>
        <v>3234</v>
      </c>
      <c r="M108" s="384">
        <f ca="1">M45</f>
        <v>3353</v>
      </c>
      <c r="N108" s="384">
        <f ca="1">N45</f>
        <v>-3145</v>
      </c>
      <c r="O108" s="162">
        <f ca="1">O45</f>
        <v>6273</v>
      </c>
      <c r="P108" s="384">
        <f ca="1">P45</f>
        <v>3057</v>
      </c>
      <c r="Q108" s="384">
        <f ca="1">Q45</f>
        <v>3313</v>
      </c>
      <c r="R108" s="384">
        <f ca="1">R45</f>
        <v>3097</v>
      </c>
      <c r="S108" s="384">
        <f ca="1">S45</f>
        <v>-4163</v>
      </c>
      <c r="T108" s="162">
        <f ca="1">T45</f>
        <v>5304</v>
      </c>
      <c r="U108" s="384">
        <f ca="1">U45</f>
        <v>3603</v>
      </c>
      <c r="V108" s="384">
        <f ca="1">V45</f>
        <v>3018</v>
      </c>
      <c r="W108" s="384">
        <f ca="1">W45</f>
        <v>1896</v>
      </c>
      <c r="X108" s="359">
        <f ca="1">X45</f>
        <v>-1906.5764130000002</v>
      </c>
      <c r="Y108" s="162">
        <f ca="1">Y45</f>
        <v>6994.423586999999</v>
      </c>
      <c r="Z108" s="359">
        <f ca="1">Z45</f>
        <v>-2088.9988109074484</v>
      </c>
      <c r="AA108" s="359">
        <f ca="1">AA45</f>
        <v>-2249.1895943465115</v>
      </c>
      <c r="AB108" s="359">
        <f ca="1">AB45</f>
        <v>-2465.6233596929096</v>
      </c>
      <c r="AC108" s="359">
        <f ca="1">AC45</f>
        <v>-2138.4655826867493</v>
      </c>
      <c r="AD108" s="162">
        <f ca="1">AD45</f>
        <v>-8942.277347633619</v>
      </c>
      <c r="AE108" s="162">
        <f ca="1">AE45</f>
        <v>-8889.296981759138</v>
      </c>
      <c r="AF108" s="162">
        <f ca="1">AF45</f>
        <v>-9317.372506686226</v>
      </c>
      <c r="AG108" s="162">
        <f ca="1">AG45</f>
        <v>-9718.490900596164</v>
      </c>
      <c r="AH108" s="16"/>
      <c r="AI108" s="16"/>
      <c r="AJ108" s="16"/>
      <c r="AK108" s="16"/>
    </row>
    <row r="109" ht="13.5" customHeight="1" spans="1:37" x14ac:dyDescent="0.25">
      <c r="A109" s="264"/>
      <c r="B109" s="16"/>
      <c r="C109" s="16" t="s">
        <v>273</v>
      </c>
      <c r="D109" s="16"/>
      <c r="E109" s="16"/>
      <c r="F109" s="384">
        <f t="shared" ref="F109:I109" si="118" ca="1">-F194+-F208</f>
        <v>1e-12</v>
      </c>
      <c r="G109" s="384">
        <f ca="1">-G194+-G208</f>
        <v>1e-12</v>
      </c>
      <c r="H109" s="384">
        <f ca="1">-H194+-H208</f>
        <v>1e-12</v>
      </c>
      <c r="I109" s="384">
        <f ca="1">-I194+-I208</f>
        <v>1477</v>
      </c>
      <c r="J109" s="162">
        <f t="shared" ref="J109:J111" si="119" ca="1">SUM(F109:I109)</f>
        <v>1477</v>
      </c>
      <c r="K109" s="384">
        <f t="shared" ref="K109:N109" si="120" ca="1">-K194+-K208</f>
        <v>1e-12</v>
      </c>
      <c r="L109" s="384">
        <f ca="1">-L194+-L208</f>
        <v>1e-12</v>
      </c>
      <c r="M109" s="384">
        <f ca="1">-M194+-M208</f>
        <v>1e-12</v>
      </c>
      <c r="N109" s="384">
        <f ca="1">-N194+-N208</f>
        <v>1e-12</v>
      </c>
      <c r="O109" s="162">
        <f t="shared" ref="O109:O111" si="121" ca="1">SUM(K109:N109)</f>
        <v>1e-12</v>
      </c>
      <c r="P109" s="384">
        <f t="shared" ref="P109:S109" si="122" ca="1">-P194+-P208</f>
        <v>1e-12</v>
      </c>
      <c r="Q109" s="384">
        <f ca="1">-Q194+-Q208</f>
        <v>1e-12</v>
      </c>
      <c r="R109" s="384">
        <f ca="1">-R194+-R208</f>
        <v>1e-12</v>
      </c>
      <c r="S109" s="384">
        <f ca="1">-S194+-S208</f>
        <v>1e-12</v>
      </c>
      <c r="T109" s="162">
        <f t="shared" ref="T109:T111" si="123" ca="1">SUM(P109:S109)</f>
        <v>1e-12</v>
      </c>
      <c r="U109" s="384">
        <f t="shared" ref="U109:X109" si="124" ca="1">-U194+-U208</f>
        <v>1e-12</v>
      </c>
      <c r="V109" s="384">
        <f ca="1">-V194+-V208</f>
        <v>409</v>
      </c>
      <c r="W109" s="384">
        <f ca="1">-W194+-W208</f>
        <v>425</v>
      </c>
      <c r="X109" s="359">
        <f ca="1">-X194+-X208</f>
        <v>331.18750000000006</v>
      </c>
      <c r="Y109" s="162">
        <f t="shared" ref="Y109:Y111" si="125" ca="1">SUM(U109:X109)</f>
        <v>1556.1875</v>
      </c>
      <c r="Z109" s="359">
        <f t="shared" ref="Z109:AC109" si="126" ca="1">-Z194+-Z208</f>
        <v>331.86891850000006</v>
      </c>
      <c r="AA109" s="359">
        <f ca="1">-AA194+-AA208</f>
        <v>336.85146518625004</v>
      </c>
      <c r="AB109" s="359">
        <f ca="1">-AB194+-AB208</f>
        <v>342.23237867969067</v>
      </c>
      <c r="AC109" s="359">
        <f ca="1">-AC194+-AC208</f>
        <v>343.91086566405204</v>
      </c>
      <c r="AD109" s="162">
        <f t="shared" ref="AD109:AD111" si="127" ca="1">SUM(Z109:AC109)</f>
        <v>1354.863628029993</v>
      </c>
      <c r="AE109" s="162">
        <f t="shared" ref="AE109:AG109" si="128" ca="1">-AE194+-AE208</f>
        <v>1420.1551602334257</v>
      </c>
      <c r="AF109" s="162">
        <f ca="1">-AF194+-AF208</f>
        <v>1472.475831890681</v>
      </c>
      <c r="AG109" s="162">
        <f ca="1">-AG194+-AG208</f>
        <v>1524.1208520524956</v>
      </c>
      <c r="AH109" s="16"/>
      <c r="AI109" s="16"/>
      <c r="AJ109" s="16"/>
      <c r="AK109" s="16"/>
    </row>
    <row r="110" ht="13.5" customHeight="1" spans="1:37" x14ac:dyDescent="0.25">
      <c r="A110" s="264"/>
      <c r="B110" s="16"/>
      <c r="C110" s="16" t="s">
        <v>324</v>
      </c>
      <c r="D110" s="16"/>
      <c r="E110" s="16"/>
      <c r="F110" s="384">
        <f t="shared" ref="F110:I110" si="129" ca="1">F178</f>
        <v>1e-12</v>
      </c>
      <c r="G110" s="384">
        <f ca="1">G178</f>
        <v>-1600</v>
      </c>
      <c r="H110" s="384">
        <f ca="1">H178</f>
        <v>-1223</v>
      </c>
      <c r="I110" s="384">
        <f ca="1">I178</f>
        <v>11334</v>
      </c>
      <c r="J110" s="162">
        <f ca="1">SUM(F110:I110)</f>
        <v>8511</v>
      </c>
      <c r="K110" s="384">
        <f t="shared" ref="K110:N110" si="130" ca="1">K178</f>
        <v>12464</v>
      </c>
      <c r="L110" s="384">
        <f ca="1">L178</f>
        <v>2381</v>
      </c>
      <c r="M110" s="384">
        <f ca="1">M178</f>
        <v>2272</v>
      </c>
      <c r="N110" s="384">
        <f ca="1">N178</f>
        <v>-17702</v>
      </c>
      <c r="O110" s="162">
        <f ca="1">SUM(K110:N110)</f>
        <v>-585</v>
      </c>
      <c r="P110" s="384">
        <f t="shared" ref="P110:S110" si="131" ca="1">P178</f>
        <v>10135</v>
      </c>
      <c r="Q110" s="384">
        <f ca="1">Q178</f>
        <v>474</v>
      </c>
      <c r="R110" s="384">
        <f ca="1">R178</f>
        <v>1164</v>
      </c>
      <c r="S110" s="384">
        <f ca="1">S178</f>
        <v>-10758</v>
      </c>
      <c r="T110" s="162">
        <f ca="1">SUM(P110:S110)</f>
        <v>1015</v>
      </c>
      <c r="U110" s="384">
        <f t="shared" ref="U110:X110" si="132" ca="1">U178</f>
        <v>7818</v>
      </c>
      <c r="V110" s="384">
        <f ca="1">V178</f>
        <v>-893</v>
      </c>
      <c r="W110" s="384">
        <f ca="1">W178</f>
        <v>-40</v>
      </c>
      <c r="X110" s="359">
        <f ca="1">X178</f>
        <v>-1855.091793478261</v>
      </c>
      <c r="Y110" s="162">
        <f ca="1">SUM(U110:X110)</f>
        <v>-1897.091793478261</v>
      </c>
      <c r="Z110" s="359">
        <f t="shared" ref="Z110:AC110" si="133" ca="1">Z178</f>
        <v>-1777.3159203678952</v>
      </c>
      <c r="AA110" s="359">
        <f ca="1">AA178</f>
        <v>177.7483814153893</v>
      </c>
      <c r="AB110" s="359">
        <f ca="1">AB178</f>
        <v>916.7916052488508</v>
      </c>
      <c r="AC110" s="359">
        <f ca="1">AC178</f>
        <v>-168.43685088664824</v>
      </c>
      <c r="AD110" s="162">
        <f ca="1">SUM(Z110:AC110)</f>
        <v>-851.2127845903033</v>
      </c>
      <c r="AE110" s="162">
        <f t="shared" ref="AE110:AG110" si="134" ca="1">AE178</f>
        <v>461.05132520968255</v>
      </c>
      <c r="AF110" s="162">
        <f ca="1">AF178</f>
        <v>-142.92601939177257</v>
      </c>
      <c r="AG110" s="162">
        <f ca="1">AG178</f>
        <v>-136.42553228758334</v>
      </c>
      <c r="AH110" s="16"/>
      <c r="AI110" s="16"/>
      <c r="AJ110" s="16"/>
      <c r="AK110" s="16"/>
    </row>
    <row r="111" ht="13.5" customHeight="1" spans="1:37" x14ac:dyDescent="0.25">
      <c r="A111" s="264"/>
      <c r="B111" s="16"/>
      <c r="C111" s="16" t="s">
        <v>121</v>
      </c>
      <c r="D111" s="16"/>
      <c r="E111" s="16"/>
      <c r="F111" s="372">
        <f t="shared" ref="F111:I111" si="135" ca="1">-F193</f>
        <v>1e-12</v>
      </c>
      <c r="G111" s="372">
        <f ca="1">-G193</f>
        <v>1e-12</v>
      </c>
      <c r="H111" s="372">
        <f ca="1">-H193</f>
        <v>1e-12</v>
      </c>
      <c r="I111" s="372">
        <f ca="1">-I193</f>
        <v>1e-12</v>
      </c>
      <c r="J111" s="355">
        <f ca="1">SUM(F111:I111)</f>
        <v>1e-12</v>
      </c>
      <c r="K111" s="372">
        <f t="shared" ref="K111:N111" si="136" ca="1">-K193</f>
        <v>1e-12</v>
      </c>
      <c r="L111" s="372">
        <f ca="1">-L193</f>
        <v>1e-12</v>
      </c>
      <c r="M111" s="372">
        <f ca="1">-M193</f>
        <v>1e-12</v>
      </c>
      <c r="N111" s="372">
        <f ca="1">-N193</f>
        <v>1e-12</v>
      </c>
      <c r="O111" s="355">
        <f ca="1">SUM(K111:N111)</f>
        <v>1e-12</v>
      </c>
      <c r="P111" s="372">
        <f t="shared" ref="P111:S111" si="137" ca="1">-P193</f>
        <v>1e-12</v>
      </c>
      <c r="Q111" s="372">
        <f ca="1">-Q193</f>
        <v>1e-12</v>
      </c>
      <c r="R111" s="372">
        <f ca="1">-R193</f>
        <v>1e-12</v>
      </c>
      <c r="S111" s="372">
        <f ca="1">-S193</f>
        <v>1e-12</v>
      </c>
      <c r="T111" s="355">
        <f ca="1">SUM(P111:S111)</f>
        <v>1e-12</v>
      </c>
      <c r="U111" s="372">
        <f t="shared" ref="U111:X111" si="138" ca="1">-U193</f>
        <v>1e-12</v>
      </c>
      <c r="V111" s="372">
        <f ca="1">-V193</f>
        <v>-385</v>
      </c>
      <c r="W111" s="372">
        <f ca="1">-W193</f>
        <v>-410</v>
      </c>
      <c r="X111" s="356">
        <f ca="1">-X193</f>
        <v>-370.1257</v>
      </c>
      <c r="Y111" s="355">
        <f ca="1">SUM(U111:X111)</f>
        <v>-1626.1257</v>
      </c>
      <c r="Z111" s="356">
        <f t="shared" ref="Z111:AC111" si="139" ca="1">-Z193</f>
        <v>-616.585872</v>
      </c>
      <c r="AA111" s="356">
        <f ca="1">-AA193</f>
        <v>-644.3322362399999</v>
      </c>
      <c r="AB111" s="356">
        <f ca="1">-AB193</f>
        <v>-438.14592064320004</v>
      </c>
      <c r="AC111" s="356">
        <f ca="1">-AC193</f>
        <v>-416.23862461104</v>
      </c>
      <c r="AD111" s="355">
        <f ca="1">SUM(Z111:AC111)</f>
        <v>-2115.30265349424</v>
      </c>
      <c r="AE111" s="355">
        <f t="shared" ref="AE111:AG111" si="140" ca="1">-AE193</f>
        <v>-2146.8311554730876</v>
      </c>
      <c r="AF111" s="355">
        <f ca="1">-AF193</f>
        <v>-2189.7677785825495</v>
      </c>
      <c r="AG111" s="355">
        <f ca="1">-AG193</f>
        <v>-2345.2412908619103</v>
      </c>
      <c r="AH111" s="16"/>
      <c r="AI111" s="16"/>
      <c r="AJ111" s="16"/>
      <c r="AK111" s="16"/>
    </row>
    <row r="112" ht="13.5" customHeight="1" spans="1:37" x14ac:dyDescent="0.25">
      <c r="A112" s="264"/>
      <c r="B112" s="16"/>
      <c r="C112" s="16" t="s">
        <v>325</v>
      </c>
      <c r="D112" s="16"/>
      <c r="E112" s="16"/>
      <c r="F112" s="353">
        <f t="shared" ref="F112:AG112" si="141" ca="1">SUM(F108:F111)</f>
        <v>2838</v>
      </c>
      <c r="G112" s="353">
        <f ca="1">SUM(G108:G111)</f>
        <v>383</v>
      </c>
      <c r="H112" s="353">
        <f ca="1">SUM(H108:H111)</f>
        <v>1343</v>
      </c>
      <c r="I112" s="353">
        <f ca="1">SUM(I108:I111)</f>
        <v>5772</v>
      </c>
      <c r="J112" s="282">
        <f ca="1">SUM(J108:J111)</f>
        <v>10336</v>
      </c>
      <c r="K112" s="353">
        <f ca="1">SUM(K108:K111)</f>
        <v>15295</v>
      </c>
      <c r="L112" s="353">
        <f ca="1">SUM(L108:L111)</f>
        <v>5615</v>
      </c>
      <c r="M112" s="353">
        <f ca="1">SUM(M108:M111)</f>
        <v>5625</v>
      </c>
      <c r="N112" s="353">
        <f ca="1">SUM(N108:N111)</f>
        <v>-20847</v>
      </c>
      <c r="O112" s="282">
        <f ca="1">SUM(O108:O111)</f>
        <v>5688</v>
      </c>
      <c r="P112" s="353">
        <f ca="1">SUM(P108:P111)</f>
        <v>13192</v>
      </c>
      <c r="Q112" s="353">
        <f ca="1">SUM(Q108:Q111)</f>
        <v>3787</v>
      </c>
      <c r="R112" s="353">
        <f ca="1">SUM(R108:R111)</f>
        <v>4261</v>
      </c>
      <c r="S112" s="353">
        <f ca="1">SUM(S108:S111)</f>
        <v>-14921</v>
      </c>
      <c r="T112" s="282">
        <f ca="1">SUM(T108:T111)</f>
        <v>6319</v>
      </c>
      <c r="U112" s="353">
        <f ca="1">SUM(U108:U111)</f>
        <v>11421</v>
      </c>
      <c r="V112" s="353">
        <f ca="1">SUM(V108:V111)</f>
        <v>2149</v>
      </c>
      <c r="W112" s="353">
        <f ca="1">SUM(W108:W111)</f>
        <v>1871</v>
      </c>
      <c r="X112" s="281">
        <f ca="1">SUM(X108:X111)</f>
        <v>-3800.6064064782613</v>
      </c>
      <c r="Y112" s="282">
        <f ca="1">SUM(Y108:Y111)</f>
        <v>1141.3935935217382</v>
      </c>
      <c r="Z112" s="281">
        <f ca="1">SUM(Z108:Z111)</f>
        <v>-4151.031684775343</v>
      </c>
      <c r="AA112" s="281">
        <f ca="1">SUM(AA108:AA111)</f>
        <v>-2378.921983984872</v>
      </c>
      <c r="AB112" s="281">
        <f ca="1">SUM(AB108:AB111)</f>
        <v>-1644.7452964075683</v>
      </c>
      <c r="AC112" s="281">
        <f ca="1">SUM(AC108:AC111)</f>
        <v>-2379.2301925203856</v>
      </c>
      <c r="AD112" s="282">
        <f ca="1">SUM(AD108:AD111)</f>
        <v>-10553.92915768817</v>
      </c>
      <c r="AE112" s="282">
        <f ca="1">SUM(AE108:AE111)</f>
        <v>-9154.921651789118</v>
      </c>
      <c r="AF112" s="282">
        <f ca="1">SUM(AF108:AF111)</f>
        <v>-10177.590472769867</v>
      </c>
      <c r="AG112" s="282">
        <f ca="1">SUM(AG108:AG111)</f>
        <v>-10676.03687169316</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42" ca="1">F112/F28</f>
        <v>0.25846994535519124</v>
      </c>
      <c r="G114" s="397">
        <f ca="1">G112/G28</f>
        <v>0.03199131306381557</v>
      </c>
      <c r="H114" s="397">
        <f ca="1">H112/H28</f>
        <v>0.11235673052790095</v>
      </c>
      <c r="I114" s="397">
        <f ca="1">I112/I28</f>
        <v>0.5320306018987925</v>
      </c>
      <c r="J114" s="398">
        <f ca="1">J112/J28</f>
        <v>0.22590374612055777</v>
      </c>
      <c r="K114" s="397">
        <f ca="1">K112/K28</f>
        <v>1.3535398230088496</v>
      </c>
      <c r="L114" s="397">
        <f ca="1">L112/L28</f>
        <v>0.4541777885626466</v>
      </c>
      <c r="M114" s="397">
        <f ca="1">M112/M28</f>
        <v>0.47452336763961533</v>
      </c>
      <c r="N114" s="397">
        <f ca="1">N112/N28</f>
        <v>-1.805873180873181</v>
      </c>
      <c r="O114" s="398">
        <f ca="1">O112/O28</f>
        <v>0.12086441002103653</v>
      </c>
      <c r="P114" s="397">
        <f ca="1">P112/P28</f>
        <v>1.1853715518015995</v>
      </c>
      <c r="Q114" s="397">
        <f ca="1">Q112/Q28</f>
        <v>0.3021140805743917</v>
      </c>
      <c r="R114" s="397">
        <f ca="1">R112/R28</f>
        <v>0.3421116017663589</v>
      </c>
      <c r="S114" s="397">
        <f ca="1">S112/S28</f>
        <v>-1.2621383860598883</v>
      </c>
      <c r="T114" s="398">
        <f ca="1">T112/T28</f>
        <v>0.1318078471454496</v>
      </c>
      <c r="U114" s="397">
        <f ca="1">U112/U28</f>
        <v>0.9157312379730597</v>
      </c>
      <c r="V114" s="397">
        <f ca="1">V112/V28</f>
        <v>0.07794704388828437</v>
      </c>
      <c r="W114" s="397">
        <f ca="1">W112/W28</f>
        <v>0.08163888646478751</v>
      </c>
      <c r="X114" s="399">
        <f ca="1">X112/X28</f>
        <v>-0.17456315222134114</v>
      </c>
      <c r="Y114" s="398">
        <f ca="1">Y112/Y28</f>
        <v>0.013470616136290003</v>
      </c>
      <c r="Z114" s="399">
        <f ca="1">Z112/Z28</f>
        <v>-0.1615748348424828</v>
      </c>
      <c r="AA114" s="399">
        <f ca="1">AA112/AA28</f>
        <v>-0.08122561731984031</v>
      </c>
      <c r="AB114" s="399">
        <f ca="1">AB112/AB28</f>
        <v>-0.0638158858078201</v>
      </c>
      <c r="AC114" s="399">
        <f ca="1">AC112/AC28</f>
        <v>-0.09717241716970101</v>
      </c>
      <c r="AD114" s="398">
        <f ca="1">AD112/AD28</f>
        <v>-0.10028741862999185</v>
      </c>
      <c r="AE114" s="398">
        <f ca="1">AE112/AE28</f>
        <v>-0.08528776590976657</v>
      </c>
      <c r="AF114" s="398">
        <f ca="1">AF112/AF28</f>
        <v>-0.09295588849478721</v>
      </c>
      <c r="AG114" s="398">
        <f ca="1">AG112/AG28</f>
        <v>-0.09559646386029677</v>
      </c>
      <c r="AH114" s="16"/>
      <c r="AI114" s="16"/>
      <c r="AJ114" s="16"/>
      <c r="AK114" s="16"/>
    </row>
    <row r="115" ht="13.5" customHeight="1" spans="1:37" x14ac:dyDescent="0.25">
      <c r="A115" s="264"/>
      <c r="B115" s="16"/>
      <c r="C115" s="16" t="s">
        <v>327</v>
      </c>
      <c r="D115" s="16"/>
      <c r="E115" s="16"/>
      <c r="F115" s="370">
        <f t="shared" ref="F115:AG115" si="143" ca="1">F112/F282</f>
        <v>1.3624242424242423</v>
      </c>
      <c r="G115" s="370">
        <f ca="1">G112/G282</f>
        <v>1.6580565805658056</v>
      </c>
      <c r="H115" s="370">
        <f ca="1">H112/H282</f>
        <v>1.1662531017369726</v>
      </c>
      <c r="I115" s="370">
        <f ca="1">I112/I282</f>
        <v>0.48314606741573035</v>
      </c>
      <c r="J115" s="127">
        <f ca="1">J112/J282</f>
        <v>4.742821473158552</v>
      </c>
      <c r="K115" s="370">
        <f ca="1">K112/K282</f>
        <v>2.2836363636363637</v>
      </c>
      <c r="L115" s="370">
        <f ca="1">L112/L282</f>
        <v>1.2004920049200491</v>
      </c>
      <c r="M115" s="370">
        <f ca="1">M112/M282</f>
        <v>0.36600496277915634</v>
      </c>
      <c r="N115" s="370">
        <f ca="1">N112/N282</f>
        <v>-0.41697877652933835</v>
      </c>
      <c r="O115" s="127">
        <f ca="1">O112/O282</f>
        <v>3.521847690387016</v>
      </c>
      <c r="P115" s="370">
        <f ca="1">P112/P282</f>
        <v>4.520529801324503</v>
      </c>
      <c r="Q115" s="370">
        <f ca="1">Q112/Q282</f>
        <v>7.047872340425532</v>
      </c>
      <c r="R115" s="370">
        <f ca="1">R112/R282</f>
        <v>-1.9321808510638299</v>
      </c>
      <c r="S115" s="370">
        <f ca="1">S112/S282</f>
        <v>-2.0655080213903743</v>
      </c>
      <c r="T115" s="127">
        <f ca="1">T112/T282</f>
        <v>7.640374331550802</v>
      </c>
      <c r="U115" s="370">
        <f ca="1">U112/U282</f>
        <v>4.376044568245125</v>
      </c>
      <c r="V115" s="370">
        <f ca="1">V112/V282</f>
        <v>3.0482269503546098</v>
      </c>
      <c r="W115" s="370">
        <f ca="1">W112/W282</f>
        <v>2.7115942028985507</v>
      </c>
      <c r="X115" s="371">
        <f ca="1">X112/X282</f>
        <v>-5.6499886137206925</v>
      </c>
      <c r="Y115" s="127">
        <f ca="1">Y112/Y282</f>
        <v>1.6389472147670152</v>
      </c>
      <c r="Z115" s="371">
        <f ca="1">Z112/Z282</f>
        <v>-6.190665289107126</v>
      </c>
      <c r="AA115" s="371">
        <f ca="1">AA112/AA282</f>
        <v>-3.5592010021585305</v>
      </c>
      <c r="AB115" s="371">
        <f ca="1">AB112/AB282</f>
        <v>-2.4686895474783404</v>
      </c>
      <c r="AC115" s="371">
        <f ca="1">AC112/AC282</f>
        <v>-3.582649285080519</v>
      </c>
      <c r="AD115" s="127">
        <f ca="1">AD112/AD282</f>
        <v>-15.815527599943966</v>
      </c>
      <c r="AE115" s="127">
        <f ca="1">AE112/AE282</f>
        <v>-13.943067969276164</v>
      </c>
      <c r="AF115" s="127">
        <f ca="1">AF112/AF282</f>
        <v>-15.810402814090223</v>
      </c>
      <c r="AG115" s="127">
        <f ca="1">AG112/AG282</f>
        <v>-16.922939037622953</v>
      </c>
      <c r="AH115" s="16"/>
      <c r="AI115" s="16"/>
      <c r="AJ115" s="16"/>
      <c r="AK115" s="16"/>
    </row>
    <row r="116" ht="13.5" customHeight="1" spans="1:37" x14ac:dyDescent="0.25">
      <c r="A116" s="264"/>
      <c r="B116" s="16"/>
      <c r="C116" s="16" t="s">
        <v>328</v>
      </c>
      <c r="D116" s="16"/>
      <c r="E116" s="16"/>
      <c r="F116" s="397">
        <f t="shared" ref="F116:I116" si="144" ca="1">F115*4/F239</f>
        <v>0.063383309719667</v>
      </c>
      <c r="G116" s="397">
        <f ca="1">G115*4/G239</f>
        <v>0.07224647409872792</v>
      </c>
      <c r="H116" s="397">
        <f ca="1">H115*4/H239</f>
        <v>0.04876149688458127</v>
      </c>
      <c r="I116" s="397">
        <f ca="1">I115*4/I239</f>
        <v>0.017368421584101023</v>
      </c>
      <c r="J116" s="398">
        <f ca="1">J115/J239</f>
        <v>0.05044991069468142</v>
      </c>
      <c r="K116" s="397">
        <f t="shared" ref="K116:N116" si="145" ca="1">K115*4/K239</f>
        <v>0.08924812363991652</v>
      </c>
      <c r="L116" s="397">
        <f ca="1">L115*4/L239</f>
        <v>0.04680736933112581</v>
      </c>
      <c r="M116" s="397">
        <f ca="1">M115*4/M239</f>
        <v>0.01350447238369731</v>
      </c>
      <c r="N116" s="397">
        <f ca="1">N115*4/N239</f>
        <v>-0.015829126944266424</v>
      </c>
      <c r="O116" s="398">
        <f ca="1">O115/O239</f>
        <v>0.03382972258008031</v>
      </c>
      <c r="P116" s="397">
        <f t="shared" ref="P116:S116" si="146" ca="1">P115*4/P239</f>
        <v>0.18305445642132023</v>
      </c>
      <c r="Q116" s="397">
        <f ca="1">Q115*4/Q239</f>
        <v>0.2853967337690031</v>
      </c>
      <c r="R116" s="397">
        <f ca="1">R115*4/R239</f>
        <v>-0.04566674989348739</v>
      </c>
      <c r="S116" s="397">
        <f ca="1">S115*4/S239</f>
        <v>-0.03943339460076248</v>
      </c>
      <c r="T116" s="398">
        <f ca="1">T115/T239</f>
        <v>0.04539176007826851</v>
      </c>
      <c r="U116" s="397">
        <f t="shared" ref="U116:X116" si="147" ca="1">U115*4/U239</f>
        <v>0.09607123091646817</v>
      </c>
      <c r="V116" s="397">
        <f ca="1">V115*4/V239</f>
        <v>0.06386508001383517</v>
      </c>
      <c r="W116" s="397">
        <f ca="1">W115*4/W239</f>
        <v>0.052559610830215334</v>
      </c>
      <c r="X116" s="399">
        <f ca="1">X115*4/X239</f>
        <v>-0.09692063836899721</v>
      </c>
      <c r="Y116" s="398">
        <f ca="1">Y115/Y239</f>
        <v>0.008474876802268813</v>
      </c>
      <c r="Z116" s="399">
        <f ca="1">Z115*4/Z239</f>
        <v>-0.10619547626909899</v>
      </c>
      <c r="AA116" s="399">
        <f ca="1">AA115*4/AA239</f>
        <v>-0.06105499617734849</v>
      </c>
      <c r="AB116" s="399">
        <f ca="1">AB115*4/AB239</f>
        <v>-0.04234822107347697</v>
      </c>
      <c r="AC116" s="399">
        <f ca="1">AC115*4/AC239</f>
        <v>-0.06145723106751041</v>
      </c>
      <c r="AD116" s="398">
        <f ca="1">AD115/AD239</f>
        <v>-0.06782540355066458</v>
      </c>
      <c r="AE116" s="398">
        <f ca="1">AE115/AE239</f>
        <v>-0.059795299636659076</v>
      </c>
      <c r="AF116" s="398">
        <f ca="1">AF115/AF239</f>
        <v>-0.06780342574015877</v>
      </c>
      <c r="AG116" s="398">
        <f ca="1">AG115/AG239</f>
        <v>-0.07257457345236706</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 ca="1">F$25</f>
        <v>1e-12</v>
      </c>
      <c r="G118" s="63">
        <f t="shared" ref="G118:AG118" si="148" ca="1">G$63</f>
        <v>1e-12</v>
      </c>
      <c r="H118" s="63">
        <f ca="1">H$63</f>
        <v>1e-12</v>
      </c>
      <c r="I118" s="63">
        <f ca="1">I$63</f>
        <v>1e-12</v>
      </c>
      <c r="J118" s="63">
        <f ca="1">J$63</f>
        <v>2023</v>
      </c>
      <c r="K118" s="63">
        <f ca="1">K$63</f>
        <v>1e-12</v>
      </c>
      <c r="L118" s="63">
        <f ca="1">L$63</f>
        <v>1e-12</v>
      </c>
      <c r="M118" s="63">
        <f ca="1">M$63</f>
        <v>1e-12</v>
      </c>
      <c r="N118" s="63">
        <f ca="1">N$63</f>
        <v>1e-12</v>
      </c>
      <c r="O118" s="63">
        <f ca="1">O$63</f>
        <v>2024</v>
      </c>
      <c r="P118" s="63">
        <f ca="1">P$63</f>
        <v>1e-12</v>
      </c>
      <c r="Q118" s="63">
        <f ca="1">Q$63</f>
        <v>1e-12</v>
      </c>
      <c r="R118" s="63">
        <f ca="1">R$63</f>
        <v>1e-12</v>
      </c>
      <c r="S118" s="63">
        <f ca="1">S$63</f>
        <v>1e-12</v>
      </c>
      <c r="T118" s="63">
        <f ca="1">T$63</f>
        <v>2025</v>
      </c>
      <c r="U118" s="63">
        <f ca="1">U$63</f>
        <v>1e-12</v>
      </c>
      <c r="V118" s="63" t="str">
        <f ca="1">V$63</f>
        <v>2Q26</v>
      </c>
      <c r="W118" s="63" t="str">
        <f ca="1">W$63</f>
        <v>3Q26e</v>
      </c>
      <c r="X118" s="63" t="str">
        <f ca="1">X$63</f>
        <v>4Q26e</v>
      </c>
      <c r="Y118" s="63" t="str">
        <f ca="1">Y$63</f>
        <v>2026e</v>
      </c>
      <c r="Z118" s="63" t="str">
        <f ca="1">Z$63</f>
        <v>1Q27e</v>
      </c>
      <c r="AA118" s="63" t="str">
        <f ca="1">AA$63</f>
        <v>2Q27e</v>
      </c>
      <c r="AB118" s="63" t="str">
        <f ca="1">AB$63</f>
        <v>3Q27e</v>
      </c>
      <c r="AC118" s="63" t="str">
        <f ca="1">AC$63</f>
        <v>4Q27e</v>
      </c>
      <c r="AD118" s="63" t="str">
        <f ca="1">AD$63</f>
        <v>2027e</v>
      </c>
      <c r="AE118" s="63" t="str">
        <f ca="1">AE$63</f>
        <v>2028e</v>
      </c>
      <c r="AF118" s="63" t="str">
        <f ca="1">AF$63</f>
        <v>2029e</v>
      </c>
      <c r="AG118" s="64" t="str">
        <f ca="1">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f ca="1">1565+205</f>
        <v>13170</v>
      </c>
      <c r="G120" s="392">
        <f ca="1">2251+391</f>
        <v>14431</v>
      </c>
      <c r="H120" s="392">
        <f ca="1">1668+208</f>
        <v>14215</v>
      </c>
      <c r="I120" s="392">
        <f ca="1">511+218</f>
        <v>12363</v>
      </c>
      <c r="J120" s="282">
        <f t="shared" ref="J120:J124" si="149" ca="1">I120</f>
        <v>12363</v>
      </c>
      <c r="K120" s="392">
        <f ca="1">2973+190</f>
        <v>15203</v>
      </c>
      <c r="L120" s="392">
        <f ca="1">1796+275</f>
        <v>17399</v>
      </c>
      <c r="M120" s="392">
        <f ca="1">794+127</f>
        <v>16377</v>
      </c>
      <c r="N120" s="392">
        <f ca="1">716+160</f>
        <v>12848</v>
      </c>
      <c r="O120" s="282">
        <f t="shared" ref="O120:O124" si="150" ca="1">N120</f>
        <v>12848</v>
      </c>
      <c r="P120" s="392">
        <v>11996</v>
      </c>
      <c r="Q120" s="392">
        <v>12248</v>
      </c>
      <c r="R120" s="392">
        <v>13874</v>
      </c>
      <c r="S120" s="392">
        <v>13872</v>
      </c>
      <c r="T120" s="282">
        <f t="shared" ref="T120:T124" si="151" ca="1">S120</f>
        <v>13872</v>
      </c>
      <c r="U120" s="392">
        <f ca="1">6692+454</f>
        <v>11083</v>
      </c>
      <c r="V120" s="392">
        <f ca="1">4835+1420</f>
        <v>6255</v>
      </c>
      <c r="W120" s="392">
        <f ca="1">6121+552</f>
        <v>6673</v>
      </c>
      <c r="X120" s="281">
        <f ca="1">X104</f>
        <v>525.9234435217377</v>
      </c>
      <c r="Y120" s="282">
        <f t="shared" ref="Y120:Y124" si="152" ca="1">X120</f>
        <v>525.9234435217377</v>
      </c>
      <c r="Z120" s="281">
        <f t="shared" ref="Z120:AC120" si="153" ca="1">Z104</f>
        <v>-5630.714249117397</v>
      </c>
      <c r="AA120" s="281">
        <f ca="1">AA104</f>
        <v>-1223.7426643888184</v>
      </c>
      <c r="AB120" s="281">
        <f ca="1">AB104</f>
        <v>-1230.1493385645595</v>
      </c>
      <c r="AC120" s="281">
        <f ca="1">AC104</f>
        <v>-3160.974308952868</v>
      </c>
      <c r="AD120" s="282">
        <f t="shared" ref="AD120:AD124" si="154" ca="1">AC120</f>
        <v>-3160.974308952868</v>
      </c>
      <c r="AE120" s="282">
        <f t="shared" ref="AE120:AG120" si="155" ca="1">AE104</f>
        <v>-8485.021287694033</v>
      </c>
      <c r="AF120" s="282">
        <f ca="1">AF104</f>
        <v>-9785.329141326723</v>
      </c>
      <c r="AG120" s="282">
        <f ca="1">AG104</f>
        <v>-10291.07474757783</v>
      </c>
      <c r="AH120" s="16"/>
      <c r="AI120" s="16"/>
      <c r="AJ120" s="16"/>
      <c r="AK120" s="16"/>
    </row>
    <row r="121" ht="13.5" customHeight="1" spans="1:37" x14ac:dyDescent="0.25">
      <c r="A121" s="264"/>
      <c r="B121" s="16"/>
      <c r="C121" s="16" t="s">
        <v>331</v>
      </c>
      <c r="D121" s="16"/>
      <c r="E121" s="16"/>
      <c r="F121" s="358">
        <v>4599</v>
      </c>
      <c r="G121" s="358">
        <v>3970</v>
      </c>
      <c r="H121" s="358">
        <v>3495</v>
      </c>
      <c r="I121" s="358">
        <v>3410</v>
      </c>
      <c r="J121" s="162">
        <f ca="1">I121</f>
        <v>3410</v>
      </c>
      <c r="K121" s="358">
        <v>4244</v>
      </c>
      <c r="L121" s="358">
        <v>4545</v>
      </c>
      <c r="M121" s="358">
        <v>4233</v>
      </c>
      <c r="N121" s="358">
        <v>3569</v>
      </c>
      <c r="O121" s="162">
        <f ca="1">N121</f>
        <v>3569</v>
      </c>
      <c r="P121" s="358">
        <v>4091</v>
      </c>
      <c r="Q121" s="358">
        <v>4168</v>
      </c>
      <c r="R121" s="358">
        <v>3946</v>
      </c>
      <c r="S121" s="358">
        <v>3038</v>
      </c>
      <c r="T121" s="162">
        <f ca="1">S121</f>
        <v>3038</v>
      </c>
      <c r="U121" s="358">
        <v>3675</v>
      </c>
      <c r="V121" s="358">
        <v>0</v>
      </c>
      <c r="W121" s="358">
        <v>0</v>
      </c>
      <c r="X121" s="359">
        <f t="shared" ref="X121:X123" si="156" ca="1">X162</f>
        <v>1e-12</v>
      </c>
      <c r="Y121" s="162">
        <f ca="1">X121</f>
        <v>1e-12</v>
      </c>
      <c r="Z121" s="359">
        <f t="shared" ref="Z121:AC121" si="157" ca="1">Z162</f>
        <v>1e-12</v>
      </c>
      <c r="AA121" s="359">
        <f ca="1">AA162</f>
        <v>1e-12</v>
      </c>
      <c r="AB121" s="359">
        <f ca="1">AB162</f>
        <v>1e-12</v>
      </c>
      <c r="AC121" s="359">
        <f ca="1">AC162</f>
        <v>1e-12</v>
      </c>
      <c r="AD121" s="162">
        <f ca="1">AC121</f>
        <v>1e-12</v>
      </c>
      <c r="AE121" s="162">
        <f t="shared" ref="AE121:AG121" si="158" ca="1">AE162</f>
        <v>1e-12</v>
      </c>
      <c r="AF121" s="162">
        <f ca="1">AF162</f>
        <v>1e-12</v>
      </c>
      <c r="AG121" s="162">
        <f ca="1">AG162</f>
        <v>1e-12</v>
      </c>
      <c r="AH121" s="16"/>
      <c r="AI121" s="16"/>
      <c r="AJ121" s="16"/>
      <c r="AK121" s="16"/>
    </row>
    <row r="122" ht="13.5" customHeight="1" spans="1:37" x14ac:dyDescent="0.25">
      <c r="A122" s="264"/>
      <c r="B122" s="16"/>
      <c r="C122" s="16" t="s">
        <v>332</v>
      </c>
      <c r="D122" s="16"/>
      <c r="E122" s="16"/>
      <c r="F122" s="358">
        <v>4727</v>
      </c>
      <c r="G122" s="358">
        <v>4646</v>
      </c>
      <c r="H122" s="358">
        <v>4252</v>
      </c>
      <c r="I122" s="358">
        <v>4424</v>
      </c>
      <c r="J122" s="162">
        <f ca="1">I122</f>
        <v>4424</v>
      </c>
      <c r="K122" s="358">
        <v>4961</v>
      </c>
      <c r="L122" s="358">
        <v>4763</v>
      </c>
      <c r="M122" s="358">
        <v>4714</v>
      </c>
      <c r="N122" s="358">
        <v>4728</v>
      </c>
      <c r="O122" s="162">
        <f ca="1">N122</f>
        <v>4728</v>
      </c>
      <c r="P122" s="358">
        <v>5102</v>
      </c>
      <c r="Q122" s="358">
        <v>5082</v>
      </c>
      <c r="R122" s="358">
        <v>4802</v>
      </c>
      <c r="S122" s="358">
        <v>4425</v>
      </c>
      <c r="T122" s="162">
        <f ca="1">S122</f>
        <v>4425</v>
      </c>
      <c r="U122" s="358">
        <v>4730</v>
      </c>
      <c r="V122" s="358">
        <v>17322</v>
      </c>
      <c r="W122" s="358">
        <v>16685</v>
      </c>
      <c r="X122" s="359">
        <f ca="1">X163</f>
        <v>18529.950326086957</v>
      </c>
      <c r="Y122" s="162">
        <f ca="1">X122</f>
        <v>18529.950326086957</v>
      </c>
      <c r="Z122" s="359">
        <f t="shared" ref="Z122:AC122" si="159" ca="1">Z163</f>
        <v>23065.506292307695</v>
      </c>
      <c r="AA122" s="359">
        <f ca="1">AA163</f>
        <v>22014.14833107692</v>
      </c>
      <c r="AB122" s="359">
        <f ca="1">AB163</f>
        <v>20954.80490032696</v>
      </c>
      <c r="AC122" s="359">
        <f ca="1">AC163</f>
        <v>20718.783200747737</v>
      </c>
      <c r="AD122" s="162">
        <f ca="1">AC122</f>
        <v>20718.783200747737</v>
      </c>
      <c r="AE122" s="162">
        <f t="shared" ref="AE122:AG122" si="160" ca="1">AE163</f>
        <v>21269.509108004873</v>
      </c>
      <c r="AF122" s="162">
        <f ca="1">AF163</f>
        <v>21669.70196230183</v>
      </c>
      <c r="AG122" s="162">
        <f ca="1">AG163</f>
        <v>22051.69345270706</v>
      </c>
      <c r="AH122" s="16"/>
      <c r="AI122" s="16"/>
      <c r="AJ122" s="16"/>
      <c r="AK122" s="16"/>
    </row>
    <row r="123" ht="13.5" customHeight="1" spans="1:37" x14ac:dyDescent="0.25">
      <c r="A123" s="264"/>
      <c r="B123" s="16"/>
      <c r="C123" s="16" t="s">
        <v>333</v>
      </c>
      <c r="D123" s="16"/>
      <c r="E123" s="16"/>
      <c r="F123" s="354">
        <v>4384</v>
      </c>
      <c r="G123" s="354">
        <v>4544</v>
      </c>
      <c r="H123" s="354">
        <v>5905</v>
      </c>
      <c r="I123" s="354">
        <v>6535</v>
      </c>
      <c r="J123" s="355">
        <f ca="1">I123</f>
        <v>6535</v>
      </c>
      <c r="K123" s="354">
        <v>5054</v>
      </c>
      <c r="L123" s="354">
        <v>4892</v>
      </c>
      <c r="M123" s="354">
        <v>4964</v>
      </c>
      <c r="N123" s="354">
        <v>4852</v>
      </c>
      <c r="O123" s="355">
        <f ca="1">N123</f>
        <v>4852</v>
      </c>
      <c r="P123" s="354">
        <v>4989</v>
      </c>
      <c r="Q123" s="354">
        <v>5111</v>
      </c>
      <c r="R123" s="354">
        <v>4625</v>
      </c>
      <c r="S123" s="354">
        <v>9709</v>
      </c>
      <c r="T123" s="355">
        <f ca="1">S123</f>
        <v>9709</v>
      </c>
      <c r="U123" s="354">
        <v>10902</v>
      </c>
      <c r="V123" s="354">
        <v>1506</v>
      </c>
      <c r="W123" s="354">
        <v>1491</v>
      </c>
      <c r="X123" s="356">
        <f ca="1">X164</f>
        <v>1e-12</v>
      </c>
      <c r="Y123" s="355">
        <f ca="1">X123</f>
        <v>1e-12</v>
      </c>
      <c r="Z123" s="356">
        <f t="shared" ref="Z123:AC123" si="161" ca="1">Z164</f>
        <v>1849.7576159999996</v>
      </c>
      <c r="AA123" s="356">
        <f ca="1">AA164</f>
        <v>2108.72368224</v>
      </c>
      <c r="AB123" s="356">
        <f ca="1">AB164</f>
        <v>1855.6768403712</v>
      </c>
      <c r="AC123" s="356">
        <f ca="1">AC164</f>
        <v>1762.8929983526398</v>
      </c>
      <c r="AD123" s="355">
        <f ca="1">AC123</f>
        <v>1762.8929983526398</v>
      </c>
      <c r="AE123" s="355">
        <f t="shared" ref="AE123:AG123" si="162" ca="1">AE164</f>
        <v>1932.1480399257787</v>
      </c>
      <c r="AF123" s="355">
        <f ca="1">AF164</f>
        <v>1970.7910007242942</v>
      </c>
      <c r="AG123" s="355">
        <f ca="1">AG164</f>
        <v>2010.2068207387802</v>
      </c>
      <c r="AH123" s="16"/>
      <c r="AI123" s="16"/>
      <c r="AJ123" s="16"/>
      <c r="AK123" s="16"/>
    </row>
    <row r="124" ht="13.5" customHeight="1" spans="1:37" x14ac:dyDescent="0.25">
      <c r="A124" s="264"/>
      <c r="B124" s="16"/>
      <c r="C124" s="139" t="s">
        <v>334</v>
      </c>
      <c r="D124" s="16"/>
      <c r="E124" s="16"/>
      <c r="F124" s="353">
        <f t="shared" ref="F124:I124" si="163" ca="1">SUM(F120:F123)</f>
        <v>26880</v>
      </c>
      <c r="G124" s="353">
        <f ca="1">SUM(G120:G123)</f>
        <v>27591</v>
      </c>
      <c r="H124" s="353">
        <f ca="1">SUM(H120:H123)</f>
        <v>27867</v>
      </c>
      <c r="I124" s="353">
        <f ca="1">SUM(I120:I123)</f>
        <v>26732</v>
      </c>
      <c r="J124" s="282">
        <f ca="1">I124</f>
        <v>26732</v>
      </c>
      <c r="K124" s="353">
        <f t="shared" ref="K124:N124" si="164" ca="1">SUM(K120:K123)</f>
        <v>29462</v>
      </c>
      <c r="L124" s="353">
        <f ca="1">SUM(L120:L123)</f>
        <v>31599</v>
      </c>
      <c r="M124" s="353">
        <f ca="1">SUM(M120:M123)</f>
        <v>30288</v>
      </c>
      <c r="N124" s="353">
        <f ca="1">SUM(N120:N123)</f>
        <v>25997</v>
      </c>
      <c r="O124" s="282">
        <f ca="1">N124</f>
        <v>25997</v>
      </c>
      <c r="P124" s="353">
        <f t="shared" ref="P124:S124" si="165" ca="1">SUM(P120:P123)</f>
        <v>26178</v>
      </c>
      <c r="Q124" s="353">
        <f ca="1">SUM(Q120:Q123)</f>
        <v>26609</v>
      </c>
      <c r="R124" s="353">
        <f ca="1">SUM(R120:R123)</f>
        <v>27247</v>
      </c>
      <c r="S124" s="353">
        <f ca="1">SUM(S120:S123)</f>
        <v>31044</v>
      </c>
      <c r="T124" s="282">
        <f ca="1">S124</f>
        <v>31044</v>
      </c>
      <c r="U124" s="353">
        <f t="shared" ref="U124:X124" si="166" ca="1">SUM(U120:U123)</f>
        <v>30390</v>
      </c>
      <c r="V124" s="353">
        <f ca="1">SUM(V120:V123)</f>
        <v>25083</v>
      </c>
      <c r="W124" s="353">
        <f ca="1">SUM(W120:W123)</f>
        <v>24849</v>
      </c>
      <c r="X124" s="281">
        <f ca="1">SUM(X120:X123)</f>
        <v>19055.873769608694</v>
      </c>
      <c r="Y124" s="282">
        <f ca="1">X124</f>
        <v>19055.873769608694</v>
      </c>
      <c r="Z124" s="281">
        <f t="shared" ref="Z124:AC124" si="167" ca="1">SUM(Z120:Z123)</f>
        <v>19284.549659190296</v>
      </c>
      <c r="AA124" s="281">
        <f ca="1">SUM(AA120:AA123)</f>
        <v>22899.129348928105</v>
      </c>
      <c r="AB124" s="281">
        <f ca="1">SUM(AB120:AB123)</f>
        <v>21580.3324021336</v>
      </c>
      <c r="AC124" s="281">
        <f ca="1">SUM(AC120:AC123)</f>
        <v>19320.70189014751</v>
      </c>
      <c r="AD124" s="282">
        <f ca="1">AC124</f>
        <v>19320.70189014751</v>
      </c>
      <c r="AE124" s="282">
        <f t="shared" ref="AE124:AG124" si="168" ca="1">SUM(AE120:AE123)</f>
        <v>14716.635860236618</v>
      </c>
      <c r="AF124" s="282">
        <f ca="1">SUM(AF120:AF123)</f>
        <v>13855.163821699402</v>
      </c>
      <c r="AG124" s="282">
        <f ca="1">SUM(AG120:AG123)</f>
        <v>13770.82552586801</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9848</v>
      </c>
      <c r="G126" s="392">
        <v>9706</v>
      </c>
      <c r="H126" s="392">
        <v>8860</v>
      </c>
      <c r="I126" s="392">
        <v>9236</v>
      </c>
      <c r="J126" s="282">
        <f t="shared" ref="J126:J130" si="169" ca="1">I126</f>
        <v>9236</v>
      </c>
      <c r="K126" s="392">
        <v>9306</v>
      </c>
      <c r="L126" s="392">
        <v>9508</v>
      </c>
      <c r="M126" s="392">
        <v>9864</v>
      </c>
      <c r="N126" s="392">
        <v>10303</v>
      </c>
      <c r="O126" s="282">
        <f t="shared" ref="O126:O130" si="170" ca="1">N126</f>
        <v>10303</v>
      </c>
      <c r="P126" s="392">
        <v>10431</v>
      </c>
      <c r="Q126" s="392">
        <v>10784</v>
      </c>
      <c r="R126" s="392">
        <v>10902</v>
      </c>
      <c r="S126" s="392">
        <v>9613</v>
      </c>
      <c r="T126" s="282">
        <f t="shared" ref="T126:T130" si="171" ca="1">S126</f>
        <v>9613</v>
      </c>
      <c r="U126" s="392">
        <v>9522</v>
      </c>
      <c r="V126" s="392">
        <v>19031</v>
      </c>
      <c r="W126" s="392">
        <v>18925</v>
      </c>
      <c r="X126" s="281">
        <f ca="1">X196</f>
        <v>18963.9382</v>
      </c>
      <c r="Y126" s="282">
        <f t="shared" ref="Y126:Y130" si="172" ca="1">X126</f>
        <v>18963.9382</v>
      </c>
      <c r="Z126" s="281">
        <f t="shared" ref="Z126:AC126" si="173" ca="1">Z196</f>
        <v>19248.6551535</v>
      </c>
      <c r="AA126" s="281">
        <f ca="1">AA196</f>
        <v>19556.13592455375</v>
      </c>
      <c r="AB126" s="281">
        <f ca="1">AB196</f>
        <v>19652.04946651726</v>
      </c>
      <c r="AC126" s="281">
        <f ca="1">AC196</f>
        <v>19724.377225464246</v>
      </c>
      <c r="AD126" s="282">
        <f t="shared" ref="AD126:AD130" si="174" ca="1">AC126</f>
        <v>19724.377225464246</v>
      </c>
      <c r="AE126" s="282">
        <f t="shared" ref="AE126:AG126" si="175" ca="1">AE196</f>
        <v>20451.053220703907</v>
      </c>
      <c r="AF126" s="282">
        <f ca="1">AF196</f>
        <v>21168.345167395775</v>
      </c>
      <c r="AG126" s="282">
        <f ca="1">AG196</f>
        <v>21989.46560620519</v>
      </c>
      <c r="AH126" s="16"/>
      <c r="AI126" s="16"/>
      <c r="AJ126" s="16"/>
      <c r="AK126" s="16"/>
    </row>
    <row r="127" ht="13.5" customHeight="1" spans="1:37" x14ac:dyDescent="0.25">
      <c r="A127" s="264"/>
      <c r="B127" s="16"/>
      <c r="C127" s="16" t="s">
        <v>336</v>
      </c>
      <c r="D127" s="16"/>
      <c r="E127" s="16"/>
      <c r="F127" s="358">
        <v>0</v>
      </c>
      <c r="G127" s="358">
        <v>0</v>
      </c>
      <c r="H127" s="358">
        <v>0</v>
      </c>
      <c r="I127" s="358">
        <v>355</v>
      </c>
      <c r="J127" s="162">
        <f ca="1">I127</f>
        <v>355</v>
      </c>
      <c r="K127" s="358">
        <v>0</v>
      </c>
      <c r="L127" s="358">
        <v>0</v>
      </c>
      <c r="M127" s="358">
        <v>0</v>
      </c>
      <c r="N127" s="358">
        <v>0</v>
      </c>
      <c r="O127" s="162">
        <f ca="1">N127</f>
        <v>1e-12</v>
      </c>
      <c r="P127" s="358">
        <v>0</v>
      </c>
      <c r="Q127" s="358">
        <v>0</v>
      </c>
      <c r="R127" s="358">
        <v>0</v>
      </c>
      <c r="S127" s="358">
        <v>0</v>
      </c>
      <c r="T127" s="162">
        <f ca="1">S127</f>
        <v>1e-12</v>
      </c>
      <c r="U127" s="358">
        <v>0</v>
      </c>
      <c r="V127" s="358">
        <v>0</v>
      </c>
      <c r="W127" s="358">
        <v>0</v>
      </c>
      <c r="X127" s="359">
        <f ca="1">X210</f>
        <v>1e-12</v>
      </c>
      <c r="Y127" s="162">
        <f ca="1">X127</f>
        <v>1e-12</v>
      </c>
      <c r="Z127" s="359">
        <f t="shared" ref="Z127:AC127" si="176" ca="1">Z210</f>
        <v>1e-12</v>
      </c>
      <c r="AA127" s="359">
        <f ca="1">AA210</f>
        <v>1e-12</v>
      </c>
      <c r="AB127" s="359">
        <f ca="1">AB210</f>
        <v>1e-12</v>
      </c>
      <c r="AC127" s="359">
        <f ca="1">AC210</f>
        <v>1e-12</v>
      </c>
      <c r="AD127" s="162">
        <f ca="1">AC127</f>
        <v>1e-12</v>
      </c>
      <c r="AE127" s="162">
        <f t="shared" ref="AE127:AG127" si="177" ca="1">AE210</f>
        <v>1e-12</v>
      </c>
      <c r="AF127" s="162">
        <f ca="1">AF210</f>
        <v>1e-12</v>
      </c>
      <c r="AG127" s="162">
        <f ca="1">AG210</f>
        <v>1e-12</v>
      </c>
      <c r="AH127" s="16"/>
      <c r="AI127" s="16"/>
      <c r="AJ127" s="16"/>
      <c r="AK127" s="16"/>
    </row>
    <row r="128" ht="13.5" customHeight="1" spans="1:37" x14ac:dyDescent="0.25">
      <c r="A128" s="264"/>
      <c r="B128" s="16"/>
      <c r="C128" s="16" t="s">
        <v>337</v>
      </c>
      <c r="D128" s="16"/>
      <c r="E128" s="16"/>
      <c r="F128" s="358">
        <v>18678</v>
      </c>
      <c r="G128" s="358">
        <v>18545</v>
      </c>
      <c r="H128" s="358">
        <v>18144</v>
      </c>
      <c r="I128" s="358">
        <v>18358</v>
      </c>
      <c r="J128" s="162">
        <f ca="1">I128</f>
        <v>18358</v>
      </c>
      <c r="K128" s="358">
        <v>18210</v>
      </c>
      <c r="L128" s="358">
        <v>18324</v>
      </c>
      <c r="M128" s="358">
        <v>18686</v>
      </c>
      <c r="N128" s="358">
        <v>18139</v>
      </c>
      <c r="O128" s="162">
        <f ca="1">N128</f>
        <v>18139</v>
      </c>
      <c r="P128" s="358">
        <v>18333</v>
      </c>
      <c r="Q128" s="358">
        <v>18663</v>
      </c>
      <c r="R128" s="358">
        <v>18662</v>
      </c>
      <c r="S128" s="358">
        <v>15491</v>
      </c>
      <c r="T128" s="162">
        <f ca="1">S128</f>
        <v>15491</v>
      </c>
      <c r="U128" s="358">
        <v>15411</v>
      </c>
      <c r="V128" s="358">
        <v>0</v>
      </c>
      <c r="W128" s="358">
        <v>0</v>
      </c>
      <c r="X128" s="359">
        <f t="shared" ref="X128:X129" si="178" ca="1">X218</f>
        <v>1e-12</v>
      </c>
      <c r="Y128" s="162">
        <f ca="1">X128</f>
        <v>1e-12</v>
      </c>
      <c r="Z128" s="359">
        <f t="shared" ref="Z128:AC128" si="179" ca="1">Z218</f>
        <v>1e-12</v>
      </c>
      <c r="AA128" s="359">
        <f ca="1">AA218</f>
        <v>1e-12</v>
      </c>
      <c r="AB128" s="359">
        <f ca="1">AB218</f>
        <v>1e-12</v>
      </c>
      <c r="AC128" s="359">
        <f ca="1">AC218</f>
        <v>1e-12</v>
      </c>
      <c r="AD128" s="162">
        <f ca="1">AC128</f>
        <v>1e-12</v>
      </c>
      <c r="AE128" s="162">
        <f t="shared" ref="AE128:AG128" si="180" ca="1">AE218</f>
        <v>1e-12</v>
      </c>
      <c r="AF128" s="162">
        <f ca="1">AF218</f>
        <v>1e-12</v>
      </c>
      <c r="AG128" s="162">
        <f ca="1">AG218</f>
        <v>1e-12</v>
      </c>
      <c r="AH128" s="16"/>
      <c r="AI128" s="16"/>
      <c r="AJ128" s="16"/>
      <c r="AK128" s="16"/>
    </row>
    <row r="129" ht="13.5" customHeight="1" spans="1:37" x14ac:dyDescent="0.25">
      <c r="A129" s="264"/>
      <c r="B129" s="16"/>
      <c r="C129" s="16" t="s">
        <v>338</v>
      </c>
      <c r="D129" s="16"/>
      <c r="E129" s="16"/>
      <c r="F129" s="354">
        <f ca="1">321+199+896</f>
        <v>41998</v>
      </c>
      <c r="G129" s="354">
        <f ca="1">87+249+843</f>
        <v>42614</v>
      </c>
      <c r="H129" s="354">
        <f ca="1">290+285+805</f>
        <v>42707</v>
      </c>
      <c r="I129" s="354">
        <f ca="1">256+294+995</f>
        <v>43022</v>
      </c>
      <c r="J129" s="355">
        <f ca="1">I129</f>
        <v>43022</v>
      </c>
      <c r="K129" s="354">
        <f ca="1">3926+235+495+775</f>
        <v>42414</v>
      </c>
      <c r="L129" s="354">
        <f ca="1">3967+179+512+735</f>
        <v>41771</v>
      </c>
      <c r="M129" s="354">
        <f ca="1">3873+363+479+713</f>
        <v>47428</v>
      </c>
      <c r="N129" s="354">
        <f ca="1">3891+372+216+702</f>
        <v>46110</v>
      </c>
      <c r="O129" s="355">
        <f ca="1">N129</f>
        <v>46110</v>
      </c>
      <c r="P129" s="354">
        <v>46774</v>
      </c>
      <c r="Q129" s="354">
        <v>48277</v>
      </c>
      <c r="R129" s="354">
        <v>49234</v>
      </c>
      <c r="S129" s="354">
        <v>48668</v>
      </c>
      <c r="T129" s="355">
        <f ca="1">S129</f>
        <v>48668</v>
      </c>
      <c r="U129" s="354">
        <f ca="1">3886+197+213+1029</f>
        <v>48894</v>
      </c>
      <c r="V129" s="354">
        <f ca="1">3820+225+221+1024</f>
        <v>5290</v>
      </c>
      <c r="W129" s="354">
        <f ca="1">4161+213+220+1032</f>
        <v>5626</v>
      </c>
      <c r="X129" s="356">
        <f ca="1">X219</f>
        <v>5738.52</v>
      </c>
      <c r="Y129" s="355">
        <f ca="1">X129</f>
        <v>5738.52</v>
      </c>
      <c r="Z129" s="356">
        <f t="shared" ref="Z129:AC129" si="181" ca="1">Z219</f>
        <v>5853.290400000001</v>
      </c>
      <c r="AA129" s="356">
        <f ca="1">AA219</f>
        <v>5970.356208000001</v>
      </c>
      <c r="AB129" s="356">
        <f ca="1">AB219</f>
        <v>6089.7633321600015</v>
      </c>
      <c r="AC129" s="356">
        <f ca="1">AC219</f>
        <v>6211.558598803202</v>
      </c>
      <c r="AD129" s="355">
        <f ca="1">AC129</f>
        <v>6211.558598803202</v>
      </c>
      <c r="AE129" s="355">
        <f t="shared" ref="AE129:AG129" si="182" ca="1">AE219</f>
        <v>6335.789770779265</v>
      </c>
      <c r="AF129" s="355">
        <f ca="1">AF219</f>
        <v>6462.505566194851</v>
      </c>
      <c r="AG129" s="355">
        <f ca="1">AG219</f>
        <v>6591.755677518748</v>
      </c>
      <c r="AH129" s="16"/>
      <c r="AI129" s="16"/>
      <c r="AJ129" s="16"/>
      <c r="AK129" s="16"/>
    </row>
    <row r="130" ht="13.5" customHeight="1" spans="1:37" x14ac:dyDescent="0.25">
      <c r="A130" s="264"/>
      <c r="B130" s="16"/>
      <c r="C130" s="139" t="s">
        <v>339</v>
      </c>
      <c r="D130" s="16"/>
      <c r="E130" s="16"/>
      <c r="F130" s="353">
        <f t="shared" ref="F130:I130" si="183" ca="1">SUM(F126:F129)</f>
        <v>70524</v>
      </c>
      <c r="G130" s="353">
        <f ca="1">SUM(G126:G129)</f>
        <v>70865</v>
      </c>
      <c r="H130" s="353">
        <f ca="1">SUM(H126:H129)</f>
        <v>69711</v>
      </c>
      <c r="I130" s="353">
        <f ca="1">SUM(I126:I129)</f>
        <v>70971</v>
      </c>
      <c r="J130" s="282">
        <f ca="1">I130</f>
        <v>70971</v>
      </c>
      <c r="K130" s="353">
        <f t="shared" ref="K130:N130" si="184" ca="1">SUM(K126:K129)</f>
        <v>69930</v>
      </c>
      <c r="L130" s="353">
        <f ca="1">SUM(L126:L129)</f>
        <v>69603</v>
      </c>
      <c r="M130" s="353">
        <f ca="1">SUM(M126:M129)</f>
        <v>75978</v>
      </c>
      <c r="N130" s="353">
        <f ca="1">SUM(N126:N129)</f>
        <v>74552</v>
      </c>
      <c r="O130" s="282">
        <f ca="1">N130</f>
        <v>74552</v>
      </c>
      <c r="P130" s="353">
        <f t="shared" ref="P130:S130" si="185" ca="1">SUM(P126:P129)</f>
        <v>75538</v>
      </c>
      <c r="Q130" s="353">
        <f ca="1">SUM(Q126:Q129)</f>
        <v>77724</v>
      </c>
      <c r="R130" s="353">
        <f ca="1">SUM(R126:R129)</f>
        <v>78798</v>
      </c>
      <c r="S130" s="353">
        <f ca="1">SUM(S126:S129)</f>
        <v>73772</v>
      </c>
      <c r="T130" s="282">
        <f ca="1">S130</f>
        <v>73772</v>
      </c>
      <c r="U130" s="353">
        <f t="shared" ref="U130:X130" si="186" ca="1">SUM(U126:U129)</f>
        <v>73827</v>
      </c>
      <c r="V130" s="353">
        <f ca="1">SUM(V126:V129)</f>
        <v>24321</v>
      </c>
      <c r="W130" s="353">
        <f ca="1">SUM(W126:W129)</f>
        <v>24551</v>
      </c>
      <c r="X130" s="281">
        <f ca="1">SUM(X126:X129)</f>
        <v>24702.4582</v>
      </c>
      <c r="Y130" s="282">
        <f ca="1">X130</f>
        <v>24702.4582</v>
      </c>
      <c r="Z130" s="281">
        <f t="shared" ref="Z130:AC130" si="187" ca="1">SUM(Z126:Z129)</f>
        <v>25101.9455535</v>
      </c>
      <c r="AA130" s="281">
        <f ca="1">SUM(AA126:AA129)</f>
        <v>25526.49213255375</v>
      </c>
      <c r="AB130" s="281">
        <f ca="1">SUM(AB126:AB129)</f>
        <v>25741.81279867726</v>
      </c>
      <c r="AC130" s="281">
        <f ca="1">SUM(AC126:AC129)</f>
        <v>25935.93582426745</v>
      </c>
      <c r="AD130" s="282">
        <f ca="1">AC130</f>
        <v>25935.93582426745</v>
      </c>
      <c r="AE130" s="282">
        <f t="shared" ref="AE130:AG130" si="188" ca="1">SUM(AE126:AE129)</f>
        <v>26786.842991483172</v>
      </c>
      <c r="AF130" s="282">
        <f ca="1">SUM(AF126:AF129)</f>
        <v>27630.850733590625</v>
      </c>
      <c r="AG130" s="282">
        <f ca="1">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89" ca="1">SUM(F124,F130)</f>
        <v>97404</v>
      </c>
      <c r="G132" s="353">
        <f ca="1">SUM(G124,G130)</f>
        <v>98456</v>
      </c>
      <c r="H132" s="353">
        <f ca="1">SUM(H124,H130)</f>
        <v>97578</v>
      </c>
      <c r="I132" s="353">
        <f ca="1">SUM(I124,I130)</f>
        <v>97703</v>
      </c>
      <c r="J132" s="282">
        <f ca="1">SUM(J124,J130)</f>
        <v>97703</v>
      </c>
      <c r="K132" s="353">
        <f ca="1">SUM(K124,K130)</f>
        <v>99392</v>
      </c>
      <c r="L132" s="353">
        <f ca="1">SUM(L124,L130)</f>
        <v>101202</v>
      </c>
      <c r="M132" s="353">
        <f ca="1">SUM(M124,M130)</f>
        <v>106266</v>
      </c>
      <c r="N132" s="353">
        <f ca="1">SUM(N124,N130)</f>
        <v>100549</v>
      </c>
      <c r="O132" s="282">
        <f ca="1">SUM(O124,O130)</f>
        <v>100549</v>
      </c>
      <c r="P132" s="353">
        <f ca="1">SUM(P124,P130)</f>
        <v>101716</v>
      </c>
      <c r="Q132" s="353">
        <f ca="1">SUM(Q124,Q130)</f>
        <v>104333</v>
      </c>
      <c r="R132" s="353">
        <f ca="1">SUM(R124,R130)</f>
        <v>106045</v>
      </c>
      <c r="S132" s="353">
        <f ca="1">SUM(S124,S130)</f>
        <v>104816</v>
      </c>
      <c r="T132" s="282">
        <f ca="1">SUM(T124,T130)</f>
        <v>104816</v>
      </c>
      <c r="U132" s="353">
        <f ca="1">SUM(U124,U130)</f>
        <v>104217</v>
      </c>
      <c r="V132" s="353">
        <f ca="1">SUM(V124,V130)</f>
        <v>49404</v>
      </c>
      <c r="W132" s="353">
        <f ca="1">SUM(W124,W130)</f>
        <v>49400</v>
      </c>
      <c r="X132" s="281">
        <f ca="1">SUM(X124,X130)</f>
        <v>43758.3319696087</v>
      </c>
      <c r="Y132" s="282">
        <f ca="1">SUM(Y124,Y130)</f>
        <v>43758.3319696087</v>
      </c>
      <c r="Z132" s="281">
        <f ca="1">SUM(Z124,Z130)</f>
        <v>44386.49521269029</v>
      </c>
      <c r="AA132" s="281">
        <f ca="1">SUM(AA124,AA130)</f>
        <v>48425.62148148185</v>
      </c>
      <c r="AB132" s="281">
        <f ca="1">SUM(AB124,AB130)</f>
        <v>47322.14520081086</v>
      </c>
      <c r="AC132" s="281">
        <f ca="1">SUM(AC124,AC130)</f>
        <v>45256.63771441496</v>
      </c>
      <c r="AD132" s="282">
        <f ca="1">SUM(AD124,AD130)</f>
        <v>45256.63771441496</v>
      </c>
      <c r="AE132" s="282">
        <f ca="1">SUM(AE124,AE130)</f>
        <v>41503.47885171979</v>
      </c>
      <c r="AF132" s="282">
        <f ca="1">SUM(AF124,AF130)</f>
        <v>41486.01455529003</v>
      </c>
      <c r="AG132" s="282">
        <f ca="1">SUM(AG124,AG130)</f>
        <v>42352.04680959195</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15593</v>
      </c>
      <c r="G134" s="392">
        <v>16483</v>
      </c>
      <c r="H134" s="392">
        <v>16837</v>
      </c>
      <c r="I134" s="392">
        <v>5590</v>
      </c>
      <c r="J134" s="282">
        <f t="shared" ref="J134:J137" si="190" ca="1">I134</f>
        <v>5590</v>
      </c>
      <c r="K134" s="392">
        <v>19425</v>
      </c>
      <c r="L134" s="392">
        <v>21909</v>
      </c>
      <c r="M134" s="392">
        <v>23820</v>
      </c>
      <c r="N134" s="392">
        <v>5468</v>
      </c>
      <c r="O134" s="282">
        <f t="shared" ref="O134:O137" si="191" ca="1">N134</f>
        <v>5468</v>
      </c>
      <c r="P134" s="392">
        <v>16499</v>
      </c>
      <c r="Q134" s="392">
        <v>17030</v>
      </c>
      <c r="R134" s="392">
        <v>17692</v>
      </c>
      <c r="S134" s="392">
        <v>5649</v>
      </c>
      <c r="T134" s="282">
        <f t="shared" ref="T134:T137" si="192" ca="1">S134</f>
        <v>5649</v>
      </c>
      <c r="U134" s="392">
        <v>14409</v>
      </c>
      <c r="V134" s="392">
        <v>12011</v>
      </c>
      <c r="W134" s="392">
        <v>11334</v>
      </c>
      <c r="X134" s="281">
        <f t="shared" ref="X134:X136" si="193" ca="1">X167</f>
        <v>11323.858532608696</v>
      </c>
      <c r="Y134" s="282">
        <f t="shared" ref="Y134:Y137" si="194" ca="1">X134</f>
        <v>11323.858532608696</v>
      </c>
      <c r="Z134" s="281">
        <f t="shared" ref="Z134:AC134" si="195" ca="1">Z167</f>
        <v>14082.098578461539</v>
      </c>
      <c r="AA134" s="281">
        <f ca="1">AA167</f>
        <v>13208.488998646155</v>
      </c>
      <c r="AB134" s="281">
        <f ca="1">AB167</f>
        <v>13065.937173145043</v>
      </c>
      <c r="AC134" s="281">
        <f ca="1">AC167</f>
        <v>12661.478622679173</v>
      </c>
      <c r="AD134" s="282">
        <f t="shared" ref="AD134:AD137" si="196" ca="1">AC134</f>
        <v>12661.478622679173</v>
      </c>
      <c r="AE134" s="282">
        <f t="shared" ref="AE134:AG134" si="197" ca="1">AE167</f>
        <v>13673.255855145992</v>
      </c>
      <c r="AF134" s="282">
        <f ca="1">AF167</f>
        <v>13930.522690051177</v>
      </c>
      <c r="AG134" s="282">
        <f ca="1">AG167</f>
        <v>14176.088648168821</v>
      </c>
      <c r="AH134" s="16"/>
      <c r="AI134" s="16"/>
      <c r="AJ134" s="16"/>
      <c r="AK134" s="16"/>
    </row>
    <row r="135" ht="13.5" customHeight="1" spans="1:37" x14ac:dyDescent="0.25">
      <c r="A135" s="264"/>
      <c r="B135" s="16"/>
      <c r="C135" s="16" t="s">
        <v>342</v>
      </c>
      <c r="D135" s="16"/>
      <c r="E135" s="16"/>
      <c r="F135" s="358">
        <v>1498</v>
      </c>
      <c r="G135" s="358">
        <v>1643</v>
      </c>
      <c r="H135" s="358">
        <v>1603</v>
      </c>
      <c r="I135" s="358">
        <v>1593</v>
      </c>
      <c r="J135" s="162">
        <f ca="1">I135</f>
        <v>1593</v>
      </c>
      <c r="K135" s="358">
        <v>1485</v>
      </c>
      <c r="L135" s="358">
        <v>1622</v>
      </c>
      <c r="M135" s="358">
        <v>1479</v>
      </c>
      <c r="N135" s="358">
        <v>1387</v>
      </c>
      <c r="O135" s="162">
        <f ca="1">N135</f>
        <v>1387</v>
      </c>
      <c r="P135" s="358">
        <v>1728</v>
      </c>
      <c r="Q135" s="358">
        <v>444</v>
      </c>
      <c r="R135" s="358">
        <v>568</v>
      </c>
      <c r="S135" s="358">
        <v>525</v>
      </c>
      <c r="T135" s="162">
        <f ca="1">S135</f>
        <v>525</v>
      </c>
      <c r="U135" s="358">
        <v>717</v>
      </c>
      <c r="V135" s="358">
        <v>1331</v>
      </c>
      <c r="W135" s="358">
        <v>1353</v>
      </c>
      <c r="X135" s="281">
        <f ca="1">X168</f>
        <v>947.08635</v>
      </c>
      <c r="Y135" s="162">
        <f ca="1">X135</f>
        <v>947.08635</v>
      </c>
      <c r="Z135" s="281">
        <f t="shared" ref="Z135:AC135" si="198" ca="1">Z168</f>
        <v>1104.716354</v>
      </c>
      <c r="AA135" s="281">
        <f ca="1">AA168</f>
        <v>1252.05468633</v>
      </c>
      <c r="AB135" s="281">
        <f ca="1">AB168</f>
        <v>1134.0247357824</v>
      </c>
      <c r="AC135" s="281">
        <f ca="1">AC168</f>
        <v>1058.9600302604401</v>
      </c>
      <c r="AD135" s="162">
        <f ca="1">AC135</f>
        <v>1058.9600302604401</v>
      </c>
      <c r="AE135" s="282">
        <f t="shared" ref="AE135:AG135" si="199" ca="1">AE168</f>
        <v>1201.4740561605136</v>
      </c>
      <c r="AF135" s="282">
        <f ca="1">AF168</f>
        <v>1224.080188227645</v>
      </c>
      <c r="AG135" s="282">
        <f ca="1">AG168</f>
        <v>1245.6581599177973</v>
      </c>
      <c r="AH135" s="16"/>
      <c r="AI135" s="16"/>
      <c r="AJ135" s="16"/>
      <c r="AK135" s="16"/>
    </row>
    <row r="136" ht="13.5" customHeight="1" spans="1:37" x14ac:dyDescent="0.25">
      <c r="A136" s="264"/>
      <c r="B136" s="16"/>
      <c r="C136" s="16" t="s">
        <v>343</v>
      </c>
      <c r="D136" s="16"/>
      <c r="E136" s="16"/>
      <c r="F136" s="354">
        <v>173</v>
      </c>
      <c r="G136" s="354">
        <v>175</v>
      </c>
      <c r="H136" s="354">
        <v>191</v>
      </c>
      <c r="I136" s="354">
        <v>14080</v>
      </c>
      <c r="J136" s="355">
        <f ca="1">I136</f>
        <v>14080</v>
      </c>
      <c r="K136" s="354">
        <v>332</v>
      </c>
      <c r="L136" s="354">
        <v>291</v>
      </c>
      <c r="M136" s="354">
        <v>386</v>
      </c>
      <c r="N136" s="354">
        <v>17386</v>
      </c>
      <c r="O136" s="355">
        <f ca="1">N136</f>
        <v>17386</v>
      </c>
      <c r="P136" s="354">
        <v>373</v>
      </c>
      <c r="Q136" s="354">
        <v>339</v>
      </c>
      <c r="R136" s="354">
        <v>327</v>
      </c>
      <c r="S136" s="354">
        <v>13229</v>
      </c>
      <c r="T136" s="355">
        <f ca="1">S136</f>
        <v>13229</v>
      </c>
      <c r="U136" s="354">
        <v>2509</v>
      </c>
      <c r="V136" s="354">
        <f ca="1">1000+557+2041+3380</f>
        <v>6978</v>
      </c>
      <c r="W136" s="354">
        <f ca="1">1000+573+1954+3268</f>
        <v>6795</v>
      </c>
      <c r="X136" s="356">
        <f ca="1">X169</f>
        <v>9470.8635</v>
      </c>
      <c r="Y136" s="355">
        <f ca="1">X136</f>
        <v>9470.8635</v>
      </c>
      <c r="Z136" s="356">
        <f t="shared" ref="Z136:AC136" si="200" ca="1">Z169</f>
        <v>9721.503915199999</v>
      </c>
      <c r="AA136" s="356">
        <f ca="1">AA169</f>
        <v>11018.081239704</v>
      </c>
      <c r="AB136" s="356">
        <f ca="1">AB169</f>
        <v>11340.247357824</v>
      </c>
      <c r="AC136" s="356">
        <f ca="1">AC169</f>
        <v>10589.6003026044</v>
      </c>
      <c r="AD136" s="355">
        <f ca="1">AC136</f>
        <v>10589.6003026044</v>
      </c>
      <c r="AE136" s="355">
        <f t="shared" ref="AE136:AG136" si="201" ca="1">AE169</f>
        <v>11090.529749173971</v>
      </c>
      <c r="AF136" s="355">
        <f ca="1">AF169</f>
        <v>11299.201737485955</v>
      </c>
      <c r="AG136" s="355">
        <f ca="1">AG169</f>
        <v>11498.383014625822</v>
      </c>
      <c r="AH136" s="16"/>
      <c r="AI136" s="16"/>
      <c r="AJ136" s="16"/>
      <c r="AK136" s="16"/>
    </row>
    <row r="137" ht="13.5" customHeight="1" spans="1:37" x14ac:dyDescent="0.25">
      <c r="A137" s="264"/>
      <c r="B137" s="16"/>
      <c r="C137" s="139" t="s">
        <v>344</v>
      </c>
      <c r="D137" s="16"/>
      <c r="E137" s="16"/>
      <c r="F137" s="353">
        <f t="shared" ref="F137:I137" si="202" ca="1">SUM(F134:F136)</f>
        <v>17264</v>
      </c>
      <c r="G137" s="353">
        <f ca="1">SUM(G134:G136)</f>
        <v>18301</v>
      </c>
      <c r="H137" s="353">
        <f ca="1">SUM(H134:H136)</f>
        <v>18631</v>
      </c>
      <c r="I137" s="353">
        <f ca="1">SUM(I134:I136)</f>
        <v>21263</v>
      </c>
      <c r="J137" s="282">
        <f ca="1">I137</f>
        <v>21263</v>
      </c>
      <c r="K137" s="353">
        <f t="shared" ref="K137:N137" si="203" ca="1">SUM(K134:K136)</f>
        <v>21242</v>
      </c>
      <c r="L137" s="353">
        <f ca="1">SUM(L134:L136)</f>
        <v>23822</v>
      </c>
      <c r="M137" s="353">
        <f ca="1">SUM(M134:M136)</f>
        <v>25685</v>
      </c>
      <c r="N137" s="353">
        <f ca="1">SUM(N134:N136)</f>
        <v>24241</v>
      </c>
      <c r="O137" s="282">
        <f ca="1">N137</f>
        <v>24241</v>
      </c>
      <c r="P137" s="353">
        <f t="shared" ref="P137:S137" si="204" ca="1">SUM(P134:P136)</f>
        <v>18600</v>
      </c>
      <c r="Q137" s="353">
        <f ca="1">SUM(Q134:Q136)</f>
        <v>17813</v>
      </c>
      <c r="R137" s="353">
        <f ca="1">SUM(R134:R136)</f>
        <v>18587</v>
      </c>
      <c r="S137" s="353">
        <f ca="1">SUM(S134:S136)</f>
        <v>19403</v>
      </c>
      <c r="T137" s="282">
        <f ca="1">S137</f>
        <v>19403</v>
      </c>
      <c r="U137" s="353">
        <f t="shared" ref="U137:X137" si="205" ca="1">SUM(U134:U136)</f>
        <v>17635</v>
      </c>
      <c r="V137" s="353">
        <f ca="1">SUM(V134:V136)</f>
        <v>20320</v>
      </c>
      <c r="W137" s="353">
        <f ca="1">SUM(W134:W136)</f>
        <v>19482</v>
      </c>
      <c r="X137" s="281">
        <f ca="1">SUM(X134:X136)</f>
        <v>21741.808382608695</v>
      </c>
      <c r="Y137" s="282">
        <f ca="1">X137</f>
        <v>21741.808382608695</v>
      </c>
      <c r="Z137" s="281">
        <f t="shared" ref="Z137:AC137" si="206" ca="1">SUM(Z134:Z136)</f>
        <v>24908.31884766154</v>
      </c>
      <c r="AA137" s="281">
        <f ca="1">SUM(AA134:AA136)</f>
        <v>25478.624924680156</v>
      </c>
      <c r="AB137" s="281">
        <f ca="1">SUM(AB134:AB136)</f>
        <v>25540.209266751444</v>
      </c>
      <c r="AC137" s="281">
        <f ca="1">SUM(AC134:AC136)</f>
        <v>24310.038955544012</v>
      </c>
      <c r="AD137" s="282">
        <f ca="1">AC137</f>
        <v>24310.038955544012</v>
      </c>
      <c r="AE137" s="282">
        <f t="shared" ref="AE137:AG137" si="207" ca="1">SUM(AE134:AE136)</f>
        <v>25965.25966048048</v>
      </c>
      <c r="AF137" s="282">
        <f ca="1">SUM(AF134:AF136)</f>
        <v>26453.804615764777</v>
      </c>
      <c r="AG137" s="282">
        <f ca="1">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5282</v>
      </c>
      <c r="G139" s="392">
        <v>4643</v>
      </c>
      <c r="H139" s="392">
        <v>3698</v>
      </c>
      <c r="I139" s="392">
        <v>348</v>
      </c>
      <c r="J139" s="282">
        <f t="shared" ref="J139:J143" si="208" ca="1">I139</f>
        <v>348</v>
      </c>
      <c r="K139" s="392">
        <v>5722</v>
      </c>
      <c r="L139" s="392">
        <v>3502</v>
      </c>
      <c r="M139" s="392">
        <v>1817</v>
      </c>
      <c r="N139" s="392">
        <v>360</v>
      </c>
      <c r="O139" s="282">
        <f t="shared" ref="O139:O143" si="209" ca="1">N139</f>
        <v>360</v>
      </c>
      <c r="P139" s="392">
        <v>5045</v>
      </c>
      <c r="Q139" s="392">
        <v>4040</v>
      </c>
      <c r="R139" s="392">
        <v>1992</v>
      </c>
      <c r="S139" s="392">
        <v>56</v>
      </c>
      <c r="T139" s="282">
        <f t="shared" ref="T139:T143" si="210" ca="1">S139</f>
        <v>56</v>
      </c>
      <c r="U139" s="392">
        <v>250</v>
      </c>
      <c r="V139" s="392">
        <v>0</v>
      </c>
      <c r="W139" s="392">
        <v>0</v>
      </c>
      <c r="X139" s="281">
        <f ca="1">X304</f>
        <v>1e-12</v>
      </c>
      <c r="Y139" s="282">
        <f t="shared" ref="Y139:Y143" si="211" ca="1">X139</f>
        <v>1e-12</v>
      </c>
      <c r="Z139" s="281">
        <f t="shared" ref="Z139:AC139" si="212" ca="1">Z304</f>
        <v>3113.267588936206</v>
      </c>
      <c r="AA139" s="281">
        <f ca="1">AA304</f>
        <v>8139.618615055659</v>
      </c>
      <c r="AB139" s="281">
        <f ca="1">AB304</f>
        <v>11026.903643206286</v>
      </c>
      <c r="AC139" s="281">
        <f ca="1">AC304</f>
        <v>19075.470727344564</v>
      </c>
      <c r="AD139" s="282">
        <f t="shared" ref="AD139:AD143" si="213" ca="1">AC139</f>
        <v>19075.470727344564</v>
      </c>
      <c r="AE139" s="282">
        <f t="shared" ref="AE139:AG139" si="214" ca="1">AE304</f>
        <v>34899.65511346887</v>
      </c>
      <c r="AF139" s="282">
        <f ca="1">AF304</f>
        <v>56768.845719877776</v>
      </c>
      <c r="AG139" s="282">
        <f ca="1">AG304</f>
        <v>80741.29211029367</v>
      </c>
      <c r="AH139" s="16"/>
      <c r="AI139" s="16"/>
      <c r="AJ139" s="16"/>
      <c r="AK139" s="16"/>
    </row>
    <row r="140" ht="13.5" customHeight="1" spans="1:37" x14ac:dyDescent="0.25">
      <c r="A140" s="264"/>
      <c r="B140" s="16"/>
      <c r="C140" s="16" t="s">
        <v>346</v>
      </c>
      <c r="D140" s="16"/>
      <c r="E140" s="16"/>
      <c r="F140" s="358">
        <f ca="1">896+14948</f>
        <v>36945</v>
      </c>
      <c r="G140" s="358">
        <f ca="1">14937+894</f>
        <v>36797</v>
      </c>
      <c r="H140" s="358">
        <f ca="1">1117+14460</f>
        <v>36256</v>
      </c>
      <c r="I140" s="358">
        <f ca="1">1110+14391</f>
        <v>37507</v>
      </c>
      <c r="J140" s="162">
        <f ca="1">I140</f>
        <v>37507</v>
      </c>
      <c r="K140" s="358">
        <f ca="1">1008+16542</f>
        <v>36496</v>
      </c>
      <c r="L140" s="358">
        <f ca="1">1009+16538</f>
        <v>40024</v>
      </c>
      <c r="M140" s="358">
        <f ca="1">574+16635</f>
        <v>44061</v>
      </c>
      <c r="N140" s="358">
        <f ca="1">597+16768</f>
        <v>43023</v>
      </c>
      <c r="O140" s="162">
        <f ca="1">N140</f>
        <v>43023</v>
      </c>
      <c r="P140" s="358">
        <v>43693</v>
      </c>
      <c r="Q140" s="358">
        <v>45067</v>
      </c>
      <c r="R140" s="358">
        <v>45097</v>
      </c>
      <c r="S140" s="358">
        <v>43941</v>
      </c>
      <c r="T140" s="162">
        <f ca="1">S140</f>
        <v>43941</v>
      </c>
      <c r="U140" s="358">
        <f ca="1">1338+21906</f>
        <v>43558</v>
      </c>
      <c r="V140" s="358">
        <f ca="1">21967+1344</f>
        <v>23311</v>
      </c>
      <c r="W140" s="358">
        <f ca="1">23881+1352</f>
        <v>25233</v>
      </c>
      <c r="X140" s="359">
        <f ca="1">X310</f>
        <v>24733</v>
      </c>
      <c r="Y140" s="162">
        <f ca="1">X140</f>
        <v>24733</v>
      </c>
      <c r="Z140" s="359">
        <f t="shared" ref="Z140:AC140" si="215" ca="1">Z310</f>
        <v>24233</v>
      </c>
      <c r="AA140" s="359">
        <f ca="1">AA310</f>
        <v>23733</v>
      </c>
      <c r="AB140" s="359">
        <f ca="1">AB310</f>
        <v>23233</v>
      </c>
      <c r="AC140" s="359">
        <f ca="1">AC310</f>
        <v>22733</v>
      </c>
      <c r="AD140" s="162">
        <f ca="1">AC140</f>
        <v>22733</v>
      </c>
      <c r="AE140" s="162">
        <f t="shared" ref="AE140:AG140" si="216" ca="1">AE310</f>
        <v>21333</v>
      </c>
      <c r="AF140" s="162">
        <f ca="1">AF310</f>
        <v>20033</v>
      </c>
      <c r="AG140" s="162">
        <f ca="1">AG310</f>
        <v>18833</v>
      </c>
      <c r="AH140" s="16"/>
      <c r="AI140" s="16"/>
      <c r="AJ140" s="16"/>
      <c r="AK140" s="16"/>
    </row>
    <row r="141" ht="13.5" customHeight="1" spans="1:37" x14ac:dyDescent="0.25">
      <c r="A141" s="264"/>
      <c r="B141" s="16"/>
      <c r="C141" s="16" t="s">
        <v>347</v>
      </c>
      <c r="D141" s="16"/>
      <c r="E141" s="16"/>
      <c r="F141" s="358">
        <v>3171</v>
      </c>
      <c r="G141" s="358">
        <v>2714</v>
      </c>
      <c r="H141" s="358">
        <v>2733</v>
      </c>
      <c r="I141" s="358">
        <v>2639</v>
      </c>
      <c r="J141" s="162">
        <f ca="1">I141</f>
        <v>2639</v>
      </c>
      <c r="K141" s="358">
        <v>2521</v>
      </c>
      <c r="L141" s="358">
        <v>2366</v>
      </c>
      <c r="M141" s="358">
        <v>2292</v>
      </c>
      <c r="N141" s="358">
        <v>2469</v>
      </c>
      <c r="O141" s="162">
        <f ca="1">N141</f>
        <v>2469</v>
      </c>
      <c r="P141" s="358">
        <v>2311</v>
      </c>
      <c r="Q141" s="358">
        <v>2375</v>
      </c>
      <c r="R141" s="358">
        <v>2435</v>
      </c>
      <c r="S141" s="358">
        <v>2406</v>
      </c>
      <c r="T141" s="162">
        <f ca="1">S141</f>
        <v>2406</v>
      </c>
      <c r="U141" s="358">
        <v>2615</v>
      </c>
      <c r="V141" s="358">
        <v>0</v>
      </c>
      <c r="W141" s="358">
        <v>0</v>
      </c>
      <c r="X141" s="359">
        <f t="shared" ref="X141:X142" si="217" ca="1">X223</f>
        <v>1e-12</v>
      </c>
      <c r="Y141" s="162">
        <f ca="1">X141</f>
        <v>1e-12</v>
      </c>
      <c r="Z141" s="359">
        <f t="shared" ref="Z141:AC141" si="218" ca="1">Z223</f>
        <v>1e-12</v>
      </c>
      <c r="AA141" s="359">
        <f ca="1">AA223</f>
        <v>1e-12</v>
      </c>
      <c r="AB141" s="359">
        <f ca="1">AB223</f>
        <v>1e-12</v>
      </c>
      <c r="AC141" s="359">
        <f ca="1">AC223</f>
        <v>1e-12</v>
      </c>
      <c r="AD141" s="162">
        <f ca="1">AC141</f>
        <v>1e-12</v>
      </c>
      <c r="AE141" s="162">
        <f t="shared" ref="AE141:AG141" si="219" ca="1">AE223</f>
        <v>1e-12</v>
      </c>
      <c r="AF141" s="162">
        <f ca="1">AF223</f>
        <v>1e-12</v>
      </c>
      <c r="AG141" s="162">
        <f ca="1">AG223</f>
        <v>1e-12</v>
      </c>
      <c r="AH141" s="16"/>
      <c r="AI141" s="16"/>
      <c r="AJ141" s="16"/>
      <c r="AK141" s="16"/>
    </row>
    <row r="142" ht="13.5" customHeight="1" spans="1:37" x14ac:dyDescent="0.25">
      <c r="A142" s="264"/>
      <c r="B142" s="16"/>
      <c r="C142" s="16" t="s">
        <v>348</v>
      </c>
      <c r="D142" s="16"/>
      <c r="E142" s="16"/>
      <c r="F142" s="354">
        <v>7874</v>
      </c>
      <c r="G142" s="354">
        <v>8449</v>
      </c>
      <c r="H142" s="354">
        <v>8427</v>
      </c>
      <c r="I142" s="354">
        <v>8466</v>
      </c>
      <c r="J142" s="355">
        <f ca="1">I142</f>
        <v>8466</v>
      </c>
      <c r="K142" s="354">
        <v>5465</v>
      </c>
      <c r="L142" s="354">
        <v>4077</v>
      </c>
      <c r="M142" s="354">
        <v>4257</v>
      </c>
      <c r="N142" s="354">
        <v>4084</v>
      </c>
      <c r="O142" s="355">
        <f ca="1">N142</f>
        <v>4084</v>
      </c>
      <c r="P142" s="354">
        <v>4313</v>
      </c>
      <c r="Q142" s="354">
        <v>4856</v>
      </c>
      <c r="R142" s="354">
        <v>4667</v>
      </c>
      <c r="S142" s="354">
        <v>4735</v>
      </c>
      <c r="T142" s="355">
        <f ca="1">S142</f>
        <v>4735</v>
      </c>
      <c r="U142" s="354">
        <v>4425</v>
      </c>
      <c r="V142" s="354">
        <f ca="1">3841+1010+1097</f>
        <v>5948</v>
      </c>
      <c r="W142" s="354">
        <f ca="1">4136+1119+1006</f>
        <v>6261</v>
      </c>
      <c r="X142" s="356">
        <f ca="1">X224</f>
        <v>6261</v>
      </c>
      <c r="Y142" s="355">
        <f ca="1">X142</f>
        <v>6261</v>
      </c>
      <c r="Z142" s="356">
        <f t="shared" ref="Z142:AC142" si="220" ca="1">Z224</f>
        <v>6261</v>
      </c>
      <c r="AA142" s="356">
        <f ca="1">AA224</f>
        <v>6261</v>
      </c>
      <c r="AB142" s="356">
        <f ca="1">AB224</f>
        <v>6261</v>
      </c>
      <c r="AC142" s="356">
        <f ca="1">AC224</f>
        <v>6261</v>
      </c>
      <c r="AD142" s="355">
        <f ca="1">AC142</f>
        <v>6261</v>
      </c>
      <c r="AE142" s="355">
        <f t="shared" ref="AE142:AG142" si="221" ca="1">AE224</f>
        <v>6261</v>
      </c>
      <c r="AF142" s="355">
        <f ca="1">AF224</f>
        <v>6261</v>
      </c>
      <c r="AG142" s="355">
        <f ca="1">AG224</f>
        <v>6261</v>
      </c>
      <c r="AH142" s="16"/>
      <c r="AI142" s="16"/>
      <c r="AJ142" s="16"/>
      <c r="AK142" s="16"/>
    </row>
    <row r="143" ht="13.5" customHeight="1" spans="1:37" x14ac:dyDescent="0.25">
      <c r="A143" s="264"/>
      <c r="B143" s="16"/>
      <c r="C143" s="139" t="s">
        <v>349</v>
      </c>
      <c r="D143" s="16"/>
      <c r="E143" s="16"/>
      <c r="F143" s="353">
        <f t="shared" ref="F143:I143" si="222" ca="1">SUM(F139:F142)</f>
        <v>53272</v>
      </c>
      <c r="G143" s="353">
        <f ca="1">SUM(G139:G142)</f>
        <v>52603</v>
      </c>
      <c r="H143" s="353">
        <f ca="1">SUM(H139:H142)</f>
        <v>51114</v>
      </c>
      <c r="I143" s="353">
        <f ca="1">SUM(I139:I142)</f>
        <v>48960</v>
      </c>
      <c r="J143" s="282">
        <f ca="1">I143</f>
        <v>48960</v>
      </c>
      <c r="K143" s="353">
        <f t="shared" ref="K143:N143" si="223" ca="1">SUM(K139:K142)</f>
        <v>50204</v>
      </c>
      <c r="L143" s="353">
        <f ca="1">SUM(L139:L142)</f>
        <v>49969</v>
      </c>
      <c r="M143" s="353">
        <f ca="1">SUM(M139:M142)</f>
        <v>52427</v>
      </c>
      <c r="N143" s="353">
        <f ca="1">SUM(N139:N142)</f>
        <v>49936</v>
      </c>
      <c r="O143" s="282">
        <f ca="1">N143</f>
        <v>49936</v>
      </c>
      <c r="P143" s="353">
        <f t="shared" ref="P143:S143" si="224" ca="1">SUM(P139:P142)</f>
        <v>55362</v>
      </c>
      <c r="Q143" s="353">
        <f ca="1">SUM(Q139:Q142)</f>
        <v>56338</v>
      </c>
      <c r="R143" s="353">
        <f ca="1">SUM(R139:R142)</f>
        <v>54191</v>
      </c>
      <c r="S143" s="353">
        <f ca="1">SUM(S139:S142)</f>
        <v>51138</v>
      </c>
      <c r="T143" s="282">
        <f ca="1">S143</f>
        <v>51138</v>
      </c>
      <c r="U143" s="353">
        <f t="shared" ref="U143:X143" si="225" ca="1">SUM(U139:U142)</f>
        <v>50848</v>
      </c>
      <c r="V143" s="353">
        <f ca="1">SUM(V139:V142)</f>
        <v>29259</v>
      </c>
      <c r="W143" s="353">
        <f ca="1">SUM(W139:W142)</f>
        <v>31494</v>
      </c>
      <c r="X143" s="281">
        <f ca="1">SUM(X139:X142)</f>
        <v>30994</v>
      </c>
      <c r="Y143" s="282">
        <f ca="1">X143</f>
        <v>30994</v>
      </c>
      <c r="Z143" s="281">
        <f t="shared" ref="Z143:AC143" si="226" ca="1">SUM(Z139:Z142)</f>
        <v>33607.26758893621</v>
      </c>
      <c r="AA143" s="281">
        <f ca="1">SUM(AA139:AA142)</f>
        <v>38133.61861505566</v>
      </c>
      <c r="AB143" s="281">
        <f ca="1">SUM(AB139:AB142)</f>
        <v>40520.903643206286</v>
      </c>
      <c r="AC143" s="281">
        <f ca="1">SUM(AC139:AC142)</f>
        <v>48069.47072734457</v>
      </c>
      <c r="AD143" s="282">
        <f ca="1">AC143</f>
        <v>48069.47072734457</v>
      </c>
      <c r="AE143" s="282">
        <f t="shared" ref="AE143:AG143" si="227" ca="1">SUM(AE139:AE142)</f>
        <v>62493.65511346887</v>
      </c>
      <c r="AF143" s="282">
        <f ca="1">SUM(AF139:AF142)</f>
        <v>83062.84571987778</v>
      </c>
      <c r="AG143" s="282">
        <f ca="1">SUM(AG139:AG142)</f>
        <v>105835.29211029367</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28" ca="1">SUM(F137,F143)</f>
        <v>70536</v>
      </c>
      <c r="G145" s="353">
        <f ca="1">SUM(G137,G143)</f>
        <v>70904</v>
      </c>
      <c r="H145" s="353">
        <f ca="1">SUM(H137,H143)</f>
        <v>69745</v>
      </c>
      <c r="I145" s="353">
        <f ca="1">SUM(I137,I143)</f>
        <v>70223</v>
      </c>
      <c r="J145" s="282">
        <f ca="1">SUM(J137,J143)</f>
        <v>70223</v>
      </c>
      <c r="K145" s="353">
        <f ca="1">SUM(K137,K143)</f>
        <v>71446</v>
      </c>
      <c r="L145" s="353">
        <f ca="1">SUM(L137,L143)</f>
        <v>73791</v>
      </c>
      <c r="M145" s="353">
        <f ca="1">SUM(M137,M143)</f>
        <v>78112</v>
      </c>
      <c r="N145" s="353">
        <f ca="1">SUM(N137,N143)</f>
        <v>74177</v>
      </c>
      <c r="O145" s="282">
        <f ca="1">SUM(O137,O143)</f>
        <v>74177</v>
      </c>
      <c r="P145" s="353">
        <f ca="1">SUM(P137,P143)</f>
        <v>73962</v>
      </c>
      <c r="Q145" s="353">
        <f ca="1">SUM(Q137,Q143)</f>
        <v>74151</v>
      </c>
      <c r="R145" s="353">
        <f ca="1">SUM(R137,R143)</f>
        <v>72778</v>
      </c>
      <c r="S145" s="353">
        <f ca="1">SUM(S137,S143)</f>
        <v>70541</v>
      </c>
      <c r="T145" s="282">
        <f ca="1">SUM(T137,T143)</f>
        <v>70541</v>
      </c>
      <c r="U145" s="353">
        <f ca="1">SUM(U137,U143)</f>
        <v>68483</v>
      </c>
      <c r="V145" s="353">
        <f ca="1">SUM(V137,V143)</f>
        <v>49579</v>
      </c>
      <c r="W145" s="353">
        <f ca="1">SUM(W137,W143)</f>
        <v>50976</v>
      </c>
      <c r="X145" s="281">
        <f ca="1">SUM(X137,X143)</f>
        <v>52735.808382608695</v>
      </c>
      <c r="Y145" s="282">
        <f ca="1">SUM(Y137,Y143)</f>
        <v>52735.808382608695</v>
      </c>
      <c r="Z145" s="281">
        <f ca="1">SUM(Z137,Z143)</f>
        <v>58515.58643659775</v>
      </c>
      <c r="AA145" s="281">
        <f ca="1">SUM(AA137,AA143)</f>
        <v>63612.24353973582</v>
      </c>
      <c r="AB145" s="281">
        <f ca="1">SUM(AB137,AB143)</f>
        <v>66061.11290995774</v>
      </c>
      <c r="AC145" s="281">
        <f ca="1">SUM(AC137,AC143)</f>
        <v>72379.50968288857</v>
      </c>
      <c r="AD145" s="282">
        <f ca="1">SUM(AD137,AD143)</f>
        <v>72379.50968288857</v>
      </c>
      <c r="AE145" s="282">
        <f ca="1">SUM(AE137,AE143)</f>
        <v>88458.91477394935</v>
      </c>
      <c r="AF145" s="282">
        <f ca="1">SUM(AF137,AF143)</f>
        <v>109516.65033564255</v>
      </c>
      <c r="AG145" s="282">
        <f ca="1">SUM(AG137,AG143)</f>
        <v>132755.42193300612</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20649</v>
      </c>
      <c r="G147" s="392">
        <v>20753</v>
      </c>
      <c r="H147" s="392">
        <v>20841</v>
      </c>
      <c r="I147" s="392">
        <v>20969</v>
      </c>
      <c r="J147" s="282">
        <f t="shared" ref="J147:J151" si="229" ca="1">I147</f>
        <v>20969</v>
      </c>
      <c r="K147" s="392">
        <v>21081</v>
      </c>
      <c r="L147" s="392">
        <v>21228</v>
      </c>
      <c r="M147" s="392">
        <v>21470</v>
      </c>
      <c r="N147" s="392">
        <v>21561</v>
      </c>
      <c r="O147" s="282">
        <f t="shared" ref="O147:O151" si="230" ca="1">N147</f>
        <v>21561</v>
      </c>
      <c r="P147" s="392">
        <v>21633</v>
      </c>
      <c r="Q147" s="392">
        <v>21730</v>
      </c>
      <c r="R147" s="392">
        <v>22249</v>
      </c>
      <c r="S147" s="392">
        <v>22341</v>
      </c>
      <c r="T147" s="282">
        <f t="shared" ref="T147:T151" si="231" ca="1">S147</f>
        <v>22341</v>
      </c>
      <c r="U147" s="392">
        <v>22394</v>
      </c>
      <c r="V147" s="392">
        <v>350</v>
      </c>
      <c r="W147" s="392">
        <v>343</v>
      </c>
      <c r="X147" s="281">
        <f ca="1">X247</f>
        <v>394.3</v>
      </c>
      <c r="Y147" s="282">
        <f t="shared" ref="Y147:Y151" si="232" ca="1">X147</f>
        <v>394.3</v>
      </c>
      <c r="Z147" s="281">
        <f t="shared" ref="Z147:AC147" si="233" ca="1">Z247</f>
        <v>454.834</v>
      </c>
      <c r="AA147" s="281">
        <f ca="1">AA247</f>
        <v>523.84276</v>
      </c>
      <c r="AB147" s="281">
        <f ca="1">AB247</f>
        <v>584.5704688</v>
      </c>
      <c r="AC147" s="281">
        <f ca="1">AC247</f>
        <v>642.2617921599999</v>
      </c>
      <c r="AD147" s="282">
        <f t="shared" ref="AD147:AD151" si="234" ca="1">AC147</f>
        <v>642.2617921599999</v>
      </c>
      <c r="AE147" s="282">
        <f t="shared" ref="AE147:AG147" si="235" ca="1">AE247</f>
        <v>895.1828201632</v>
      </c>
      <c r="AF147" s="282">
        <f ca="1">AF247</f>
        <v>1153.162268726464</v>
      </c>
      <c r="AG147" s="282">
        <f ca="1">AG247</f>
        <v>1416.3013062609932</v>
      </c>
      <c r="AH147" s="16"/>
      <c r="AI147" s="16"/>
      <c r="AJ147" s="16"/>
      <c r="AK147" s="16"/>
    </row>
    <row r="148" ht="13.5" customHeight="1" spans="1:37" x14ac:dyDescent="0.25">
      <c r="A148" s="264"/>
      <c r="B148" s="16"/>
      <c r="C148" s="16" t="s">
        <v>352</v>
      </c>
      <c r="D148" s="16"/>
      <c r="E148" s="16"/>
      <c r="F148" s="358">
        <v>72137</v>
      </c>
      <c r="G148" s="358">
        <v>72695</v>
      </c>
      <c r="H148" s="358">
        <v>73793</v>
      </c>
      <c r="I148" s="358">
        <v>73782</v>
      </c>
      <c r="J148" s="162">
        <f ca="1">I148</f>
        <v>73782</v>
      </c>
      <c r="K148" s="358">
        <v>74868</v>
      </c>
      <c r="L148" s="358">
        <v>75189</v>
      </c>
      <c r="M148" s="358">
        <v>75946</v>
      </c>
      <c r="N148" s="358">
        <v>76054</v>
      </c>
      <c r="O148" s="162">
        <f ca="1">N148</f>
        <v>76054</v>
      </c>
      <c r="P148" s="358">
        <v>77189</v>
      </c>
      <c r="Q148" s="358">
        <v>78803</v>
      </c>
      <c r="R148" s="358">
        <v>80305</v>
      </c>
      <c r="S148" s="358">
        <v>80382</v>
      </c>
      <c r="T148" s="162">
        <f ca="1">S148</f>
        <v>80382</v>
      </c>
      <c r="U148" s="358">
        <v>82026</v>
      </c>
      <c r="V148" s="358">
        <f ca="1">-460</f>
        <v>-460</v>
      </c>
      <c r="W148" s="358">
        <f ca="1">-1913</f>
        <v>-1913</v>
      </c>
      <c r="X148" s="359">
        <f ca="1">X256</f>
        <v>-8865.776413</v>
      </c>
      <c r="Y148" s="162">
        <f ca="1">X148</f>
        <v>-8865.776413</v>
      </c>
      <c r="Z148" s="359">
        <f t="shared" ref="Z148:AC148" si="236" ca="1">Z256</f>
        <v>-13577.925223907447</v>
      </c>
      <c r="AA148" s="359">
        <f ca="1">AA256</f>
        <v>-14204.464818253959</v>
      </c>
      <c r="AB148" s="359">
        <f ca="1">AB256</f>
        <v>-17317.53817794687</v>
      </c>
      <c r="AC148" s="359">
        <f ca="1">AC256</f>
        <v>-25259.133760633616</v>
      </c>
      <c r="AD148" s="162">
        <f ca="1">AC148</f>
        <v>-25259.133760633616</v>
      </c>
      <c r="AE148" s="162">
        <f t="shared" ref="AE148:AG148" si="237" ca="1">AE256</f>
        <v>-42344.618742392755</v>
      </c>
      <c r="AF148" s="162">
        <f ca="1">AF256</f>
        <v>-60677.79804907898</v>
      </c>
      <c r="AG148" s="162">
        <f ca="1">AG256</f>
        <v>-80313.67642967515</v>
      </c>
      <c r="AH148" s="16"/>
      <c r="AI148" s="16"/>
      <c r="AJ148" s="16"/>
      <c r="AK148" s="16"/>
    </row>
    <row r="149" ht="13.5" customHeight="1" spans="1:37" x14ac:dyDescent="0.25">
      <c r="A149" s="264"/>
      <c r="B149" s="16"/>
      <c r="C149" s="16" t="s">
        <v>353</v>
      </c>
      <c r="D149" s="16"/>
      <c r="E149" s="16"/>
      <c r="F149" s="358">
        <v>-53247</v>
      </c>
      <c r="G149" s="358">
        <v>-53418</v>
      </c>
      <c r="H149" s="358">
        <v>-53494</v>
      </c>
      <c r="I149" s="358">
        <v>-54535</v>
      </c>
      <c r="J149" s="162">
        <f ca="1">I149</f>
        <v>-54535</v>
      </c>
      <c r="K149" s="358">
        <v>-55016</v>
      </c>
      <c r="L149" s="358">
        <v>-55106</v>
      </c>
      <c r="M149" s="358">
        <v>-55362</v>
      </c>
      <c r="N149" s="358">
        <v>-55916</v>
      </c>
      <c r="O149" s="162">
        <f ca="1">N149</f>
        <v>-55916</v>
      </c>
      <c r="P149" s="358">
        <v>-56138</v>
      </c>
      <c r="Q149" s="358">
        <v>-56190</v>
      </c>
      <c r="R149" s="358">
        <v>-56355</v>
      </c>
      <c r="S149" s="358">
        <v>-56423</v>
      </c>
      <c r="T149" s="162">
        <f ca="1">S149</f>
        <v>-56423</v>
      </c>
      <c r="U149" s="358">
        <v>-56747</v>
      </c>
      <c r="V149" s="358">
        <v>0</v>
      </c>
      <c r="W149" s="358">
        <v>0</v>
      </c>
      <c r="X149" s="359">
        <f ca="1">-X241+W149</f>
        <v>-500</v>
      </c>
      <c r="Y149" s="162">
        <f ca="1">X149</f>
        <v>-500</v>
      </c>
      <c r="Z149" s="359">
        <f t="shared" ref="Z149:AC149" si="238" ca="1">-Z241+Y149</f>
        <v>-1000</v>
      </c>
      <c r="AA149" s="359">
        <f ca="1">-AA241+Z149</f>
        <v>-1500</v>
      </c>
      <c r="AB149" s="359">
        <f ca="1">-AB241+AA149</f>
        <v>-2000</v>
      </c>
      <c r="AC149" s="359">
        <f ca="1">-AC241+AB149</f>
        <v>-2500</v>
      </c>
      <c r="AD149" s="162">
        <f ca="1">AC149</f>
        <v>-2500</v>
      </c>
      <c r="AE149" s="162">
        <f t="shared" ref="AE149:AG149" si="239" ca="1">-AE241+AD149</f>
        <v>-5500</v>
      </c>
      <c r="AF149" s="162">
        <f ca="1">-AF241+AE149</f>
        <v>-8500</v>
      </c>
      <c r="AG149" s="162">
        <f ca="1">-AG241+AF149</f>
        <v>-11500</v>
      </c>
      <c r="AH149" s="16"/>
      <c r="AI149" s="16"/>
      <c r="AJ149" s="16"/>
      <c r="AK149" s="16"/>
    </row>
    <row r="150" ht="13.5" customHeight="1" spans="1:37" x14ac:dyDescent="0.25">
      <c r="A150" s="264"/>
      <c r="B150" s="16"/>
      <c r="C150" s="16" t="s">
        <v>354</v>
      </c>
      <c r="D150" s="16"/>
      <c r="E150" s="16"/>
      <c r="F150" s="354">
        <v>-14322</v>
      </c>
      <c r="G150" s="354">
        <v>-14017</v>
      </c>
      <c r="H150" s="354">
        <v>-14815</v>
      </c>
      <c r="I150" s="354">
        <v>-14275</v>
      </c>
      <c r="J150" s="355">
        <f ca="1">I150</f>
        <v>-14275</v>
      </c>
      <c r="K150" s="354">
        <v>-14504</v>
      </c>
      <c r="L150" s="354">
        <v>-15458</v>
      </c>
      <c r="M150" s="354">
        <v>-15536</v>
      </c>
      <c r="N150" s="354">
        <v>-16843</v>
      </c>
      <c r="O150" s="355">
        <f ca="1">N150</f>
        <v>-16843</v>
      </c>
      <c r="P150" s="354">
        <v>-16482</v>
      </c>
      <c r="Q150" s="354">
        <v>-15758</v>
      </c>
      <c r="R150" s="354">
        <v>-14952</v>
      </c>
      <c r="S150" s="354">
        <v>-14131</v>
      </c>
      <c r="T150" s="355">
        <f ca="1">S150</f>
        <v>-14131</v>
      </c>
      <c r="U150" s="354">
        <v>-14040</v>
      </c>
      <c r="V150" s="354">
        <f ca="1">-65</f>
        <v>-65</v>
      </c>
      <c r="W150" s="354">
        <v>-6</v>
      </c>
      <c r="X150" s="356">
        <f ca="1">X261</f>
        <v>-6</v>
      </c>
      <c r="Y150" s="355">
        <f ca="1">X150</f>
        <v>-6</v>
      </c>
      <c r="Z150" s="356">
        <f t="shared" ref="Z150:AC150" si="240" ca="1">Z261</f>
        <v>-6</v>
      </c>
      <c r="AA150" s="356">
        <f ca="1">AA261</f>
        <v>-6</v>
      </c>
      <c r="AB150" s="356">
        <f ca="1">AB261</f>
        <v>-6</v>
      </c>
      <c r="AC150" s="356">
        <f ca="1">AC261</f>
        <v>-6</v>
      </c>
      <c r="AD150" s="355">
        <f ca="1">AC150</f>
        <v>-6</v>
      </c>
      <c r="AE150" s="355">
        <f t="shared" ref="AE150:AG150" si="241" ca="1">AE261</f>
        <v>-6</v>
      </c>
      <c r="AF150" s="355">
        <f ca="1">AF261</f>
        <v>-6</v>
      </c>
      <c r="AG150" s="355">
        <f ca="1">AG261</f>
        <v>-6</v>
      </c>
      <c r="AH150" s="16"/>
      <c r="AI150" s="16"/>
      <c r="AJ150" s="16"/>
      <c r="AK150" s="16"/>
    </row>
    <row r="151" ht="13.5" customHeight="1" spans="1:37" x14ac:dyDescent="0.25">
      <c r="A151" s="264"/>
      <c r="B151" s="16"/>
      <c r="C151" s="139" t="s">
        <v>355</v>
      </c>
      <c r="D151" s="16"/>
      <c r="E151" s="16"/>
      <c r="F151" s="353">
        <f t="shared" ref="F151:I151" si="242" ca="1">SUM(F147:F150)</f>
        <v>25217</v>
      </c>
      <c r="G151" s="353">
        <f ca="1">SUM(G147:G150)</f>
        <v>26013</v>
      </c>
      <c r="H151" s="353">
        <f ca="1">SUM(H147:H150)</f>
        <v>26325</v>
      </c>
      <c r="I151" s="353">
        <f ca="1">SUM(I147:I150)</f>
        <v>25941</v>
      </c>
      <c r="J151" s="282">
        <f ca="1">I151</f>
        <v>25941</v>
      </c>
      <c r="K151" s="353">
        <f t="shared" ref="K151:N151" si="243" ca="1">SUM(K147:K150)</f>
        <v>26429</v>
      </c>
      <c r="L151" s="353">
        <f ca="1">SUM(L147:L150)</f>
        <v>25853</v>
      </c>
      <c r="M151" s="353">
        <f ca="1">SUM(M147:M150)</f>
        <v>26518</v>
      </c>
      <c r="N151" s="353">
        <f ca="1">SUM(N147:N150)</f>
        <v>24856</v>
      </c>
      <c r="O151" s="282">
        <f ca="1">N151</f>
        <v>24856</v>
      </c>
      <c r="P151" s="353">
        <f t="shared" ref="P151:S151" si="244" ca="1">SUM(P147:P150)</f>
        <v>26202</v>
      </c>
      <c r="Q151" s="353">
        <f ca="1">SUM(Q147:Q150)</f>
        <v>28585</v>
      </c>
      <c r="R151" s="353">
        <f ca="1">SUM(R147:R150)</f>
        <v>31247</v>
      </c>
      <c r="S151" s="353">
        <f ca="1">SUM(S147:S150)</f>
        <v>32169</v>
      </c>
      <c r="T151" s="282">
        <f ca="1">S151</f>
        <v>32169</v>
      </c>
      <c r="U151" s="353">
        <f t="shared" ref="U151:X151" si="245" ca="1">SUM(U147:U150)</f>
        <v>33633</v>
      </c>
      <c r="V151" s="353">
        <f ca="1">SUM(V147:V150)</f>
        <v>-175</v>
      </c>
      <c r="W151" s="353">
        <f ca="1">SUM(W147:W150)</f>
        <v>-1576</v>
      </c>
      <c r="X151" s="281">
        <f ca="1">SUM(X147:X150)</f>
        <v>-8977.476413</v>
      </c>
      <c r="Y151" s="282">
        <f ca="1">X151</f>
        <v>-8977.476413</v>
      </c>
      <c r="Z151" s="281">
        <f t="shared" ref="Z151:AC151" si="246" ca="1">SUM(Z147:Z150)</f>
        <v>-14129.091223907446</v>
      </c>
      <c r="AA151" s="281">
        <f ca="1">SUM(AA147:AA150)</f>
        <v>-15186.622058253959</v>
      </c>
      <c r="AB151" s="281">
        <f ca="1">SUM(AB147:AB150)</f>
        <v>-18738.96770914687</v>
      </c>
      <c r="AC151" s="281">
        <f ca="1">SUM(AC147:AC150)</f>
        <v>-27122.871968473617</v>
      </c>
      <c r="AD151" s="282">
        <f ca="1">AC151</f>
        <v>-27122.871968473617</v>
      </c>
      <c r="AE151" s="282">
        <f t="shared" ref="AE151:AG151" si="247" ca="1">SUM(AE147:AE150)</f>
        <v>-46955.43592222955</v>
      </c>
      <c r="AF151" s="282">
        <f ca="1">SUM(AF147:AF150)</f>
        <v>-68030.63578035252</v>
      </c>
      <c r="AG151" s="282">
        <f ca="1">SUM(AG147:AG150)</f>
        <v>-90403.37512341415</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1651</v>
      </c>
      <c r="G153" s="354">
        <v>1539</v>
      </c>
      <c r="H153" s="354">
        <v>1508</v>
      </c>
      <c r="I153" s="354">
        <v>1539</v>
      </c>
      <c r="J153" s="355">
        <f t="shared" ref="J153:J154" si="248" ca="1">I153</f>
        <v>1539</v>
      </c>
      <c r="K153" s="354">
        <v>1517</v>
      </c>
      <c r="L153" s="354">
        <v>1558</v>
      </c>
      <c r="M153" s="354">
        <v>1636</v>
      </c>
      <c r="N153" s="354">
        <v>1516</v>
      </c>
      <c r="O153" s="355">
        <f t="shared" ref="O153:O154" si="249" ca="1">N153</f>
        <v>1516</v>
      </c>
      <c r="P153" s="354">
        <v>1552</v>
      </c>
      <c r="Q153" s="354">
        <v>1597</v>
      </c>
      <c r="R153" s="354">
        <v>2020</v>
      </c>
      <c r="S153" s="354">
        <v>2106</v>
      </c>
      <c r="T153" s="355">
        <f t="shared" ref="T153:T154" si="250" ca="1">S153</f>
        <v>2106</v>
      </c>
      <c r="U153" s="354">
        <v>2101</v>
      </c>
      <c r="V153" s="354">
        <v>0</v>
      </c>
      <c r="W153" s="354">
        <v>0</v>
      </c>
      <c r="X153" s="356">
        <f ca="1">W153+Drivers!X106</f>
        <v>1e-12</v>
      </c>
      <c r="Y153" s="355">
        <f t="shared" ref="Y153:Y154" si="251" ca="1">X153</f>
        <v>1e-12</v>
      </c>
      <c r="Z153" s="356">
        <f ca="1">Y153+Drivers!Z106</f>
        <v>1e-12</v>
      </c>
      <c r="AA153" s="356">
        <f ca="1">Z153+Drivers!AA106</f>
        <v>1e-12</v>
      </c>
      <c r="AB153" s="356">
        <f ca="1">AA153+Drivers!AB106</f>
        <v>1e-12</v>
      </c>
      <c r="AC153" s="356">
        <f ca="1">AB153+Drivers!AC106</f>
        <v>1e-12</v>
      </c>
      <c r="AD153" s="355">
        <f t="shared" ref="AD153:AD154" si="252" ca="1">AC153</f>
        <v>1e-12</v>
      </c>
      <c r="AE153" s="355">
        <f ca="1">AD153+Drivers!AE106</f>
        <v>1e-12</v>
      </c>
      <c r="AF153" s="355">
        <f ca="1">AE153+Drivers!AF106</f>
        <v>1e-12</v>
      </c>
      <c r="AG153" s="355">
        <f ca="1">AF153+Drivers!AG106</f>
        <v>1e-12</v>
      </c>
      <c r="AH153" s="16"/>
      <c r="AI153" s="16"/>
      <c r="AJ153" s="16"/>
      <c r="AK153" s="16"/>
    </row>
    <row r="154" ht="13.5" customHeight="1" spans="1:37" x14ac:dyDescent="0.25">
      <c r="A154" s="264"/>
      <c r="B154" s="16"/>
      <c r="C154" s="139" t="s">
        <v>357</v>
      </c>
      <c r="D154" s="16"/>
      <c r="E154" s="16"/>
      <c r="F154" s="353">
        <f t="shared" ref="F154:I154" si="253" ca="1">SUM(F151:F153)</f>
        <v>26868</v>
      </c>
      <c r="G154" s="353">
        <f ca="1">SUM(G151:G153)</f>
        <v>27552</v>
      </c>
      <c r="H154" s="353">
        <f ca="1">SUM(H151:H153)</f>
        <v>27833</v>
      </c>
      <c r="I154" s="353">
        <f ca="1">SUM(I151:I153)</f>
        <v>27480</v>
      </c>
      <c r="J154" s="282">
        <f ca="1">I154</f>
        <v>27480</v>
      </c>
      <c r="K154" s="353">
        <f t="shared" ref="K154:N154" si="254" ca="1">SUM(K151:K153)</f>
        <v>27946</v>
      </c>
      <c r="L154" s="353">
        <f ca="1">SUM(L151:L153)</f>
        <v>27411</v>
      </c>
      <c r="M154" s="353">
        <f ca="1">SUM(M151:M153)</f>
        <v>28154</v>
      </c>
      <c r="N154" s="353">
        <f ca="1">SUM(N151:N153)</f>
        <v>26372</v>
      </c>
      <c r="O154" s="282">
        <f ca="1">N154</f>
        <v>26372</v>
      </c>
      <c r="P154" s="353">
        <f t="shared" ref="P154:S154" si="255" ca="1">SUM(P151:P153)</f>
        <v>27754</v>
      </c>
      <c r="Q154" s="353">
        <f ca="1">SUM(Q151:Q153)</f>
        <v>30182</v>
      </c>
      <c r="R154" s="353">
        <f ca="1">SUM(R151:R153)</f>
        <v>33267</v>
      </c>
      <c r="S154" s="353">
        <f ca="1">SUM(S151:S153)</f>
        <v>34275</v>
      </c>
      <c r="T154" s="282">
        <f ca="1">S154</f>
        <v>34275</v>
      </c>
      <c r="U154" s="353">
        <f t="shared" ref="U154:X154" si="256" ca="1">SUM(U151:U153)</f>
        <v>35734</v>
      </c>
      <c r="V154" s="353">
        <f ca="1">SUM(V151:V153)</f>
        <v>-175</v>
      </c>
      <c r="W154" s="353">
        <f ca="1">SUM(W151:W153)</f>
        <v>-1576</v>
      </c>
      <c r="X154" s="281">
        <f ca="1">SUM(X151:X153)</f>
        <v>-8977.476413</v>
      </c>
      <c r="Y154" s="282">
        <f ca="1">X154</f>
        <v>-8977.476413</v>
      </c>
      <c r="Z154" s="281">
        <f t="shared" ref="Z154:AC154" si="257" ca="1">SUM(Z151:Z153)</f>
        <v>-14129.091223907446</v>
      </c>
      <c r="AA154" s="281">
        <f ca="1">SUM(AA151:AA153)</f>
        <v>-15186.622058253959</v>
      </c>
      <c r="AB154" s="281">
        <f ca="1">SUM(AB151:AB153)</f>
        <v>-18738.96770914687</v>
      </c>
      <c r="AC154" s="281">
        <f ca="1">SUM(AC151:AC153)</f>
        <v>-27122.871968473617</v>
      </c>
      <c r="AD154" s="282">
        <f ca="1">AC154</f>
        <v>-27122.871968473617</v>
      </c>
      <c r="AE154" s="282">
        <f t="shared" ref="AE154:AG154" si="258" ca="1">SUM(AE151:AE153)</f>
        <v>-46955.43592222955</v>
      </c>
      <c r="AF154" s="282">
        <f ca="1">SUM(AF151:AF153)</f>
        <v>-68030.63578035252</v>
      </c>
      <c r="AG154" s="282">
        <f ca="1">SUM(AG151:AG153)</f>
        <v>-90403.37512341415</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59" ca="1">SUM(F145,F154)</f>
        <v>97404</v>
      </c>
      <c r="G156" s="353">
        <f ca="1">SUM(G145,G154)</f>
        <v>98456</v>
      </c>
      <c r="H156" s="353">
        <f ca="1">SUM(H145,H154)</f>
        <v>97578</v>
      </c>
      <c r="I156" s="353">
        <f ca="1">SUM(I145,I154)</f>
        <v>97703</v>
      </c>
      <c r="J156" s="282">
        <f ca="1">SUM(J145,J154)</f>
        <v>97703</v>
      </c>
      <c r="K156" s="353">
        <f ca="1">SUM(K145,K154)</f>
        <v>99392</v>
      </c>
      <c r="L156" s="353">
        <f ca="1">SUM(L145,L154)</f>
        <v>101202</v>
      </c>
      <c r="M156" s="353">
        <f ca="1">SUM(M145,M154)</f>
        <v>106266</v>
      </c>
      <c r="N156" s="353">
        <f ca="1">SUM(N145,N154)</f>
        <v>100549</v>
      </c>
      <c r="O156" s="282">
        <f ca="1">SUM(O145,O154)</f>
        <v>100549</v>
      </c>
      <c r="P156" s="353">
        <f ca="1">SUM(P145,P154)</f>
        <v>101716</v>
      </c>
      <c r="Q156" s="353">
        <f ca="1">SUM(Q145,Q154)</f>
        <v>104333</v>
      </c>
      <c r="R156" s="353">
        <f ca="1">SUM(R145,R154)</f>
        <v>106045</v>
      </c>
      <c r="S156" s="353">
        <f ca="1">SUM(S145,S154)</f>
        <v>104816</v>
      </c>
      <c r="T156" s="282">
        <f ca="1">SUM(T145,T154)</f>
        <v>104816</v>
      </c>
      <c r="U156" s="353">
        <f ca="1">SUM(U145,U154)</f>
        <v>104217</v>
      </c>
      <c r="V156" s="353">
        <f ca="1">SUM(V145,V154)</f>
        <v>49404</v>
      </c>
      <c r="W156" s="353">
        <f ca="1">SUM(W145,W154)</f>
        <v>49400</v>
      </c>
      <c r="X156" s="281">
        <f ca="1">SUM(X145,X154)</f>
        <v>43758.3319696087</v>
      </c>
      <c r="Y156" s="282">
        <f ca="1">SUM(Y145,Y154)</f>
        <v>43758.3319696087</v>
      </c>
      <c r="Z156" s="281">
        <f ca="1">SUM(Z145,Z154)</f>
        <v>44386.4952126903</v>
      </c>
      <c r="AA156" s="281">
        <f ca="1">SUM(AA145,AA154)</f>
        <v>48425.62148148186</v>
      </c>
      <c r="AB156" s="281">
        <f ca="1">SUM(AB145,AB154)</f>
        <v>47322.14520081087</v>
      </c>
      <c r="AC156" s="281">
        <f ca="1">SUM(AC145,AC154)</f>
        <v>45256.63771441496</v>
      </c>
      <c r="AD156" s="282">
        <f ca="1">SUM(AD145,AD154)</f>
        <v>45256.63771441496</v>
      </c>
      <c r="AE156" s="282">
        <f ca="1">SUM(AE145,AE154)</f>
        <v>41503.478851719796</v>
      </c>
      <c r="AF156" s="282">
        <f ca="1">SUM(AF145,AF154)</f>
        <v>41486.014555290036</v>
      </c>
      <c r="AG156" s="282">
        <f ca="1">SUM(AG145,AG154)</f>
        <v>42352.046809591964</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60" ca="1">F132-F156</f>
        <v>1e-12</v>
      </c>
      <c r="G158" s="402">
        <f ca="1">G132-G156</f>
        <v>1e-12</v>
      </c>
      <c r="H158" s="402">
        <f ca="1">H132-H156</f>
        <v>1e-12</v>
      </c>
      <c r="I158" s="402">
        <f ca="1">I132-I156</f>
        <v>1e-12</v>
      </c>
      <c r="J158" s="403">
        <f ca="1">J132-J156</f>
        <v>1e-12</v>
      </c>
      <c r="K158" s="402">
        <f ca="1">K132-K156</f>
        <v>1e-12</v>
      </c>
      <c r="L158" s="402">
        <f ca="1">L132-L156</f>
        <v>1e-12</v>
      </c>
      <c r="M158" s="402">
        <f ca="1">M132-M156</f>
        <v>1e-12</v>
      </c>
      <c r="N158" s="402">
        <f ca="1">N132-N156</f>
        <v>1e-12</v>
      </c>
      <c r="O158" s="403">
        <f ca="1">O132-O156</f>
        <v>1e-12</v>
      </c>
      <c r="P158" s="402">
        <f ca="1">P132-P156</f>
        <v>1e-12</v>
      </c>
      <c r="Q158" s="402">
        <f ca="1">Q132-Q156</f>
        <v>1e-12</v>
      </c>
      <c r="R158" s="402">
        <f ca="1">R132-R156</f>
        <v>1e-12</v>
      </c>
      <c r="S158" s="402">
        <f ca="1">S132-S156</f>
        <v>1e-12</v>
      </c>
      <c r="T158" s="403">
        <f ca="1">T132-T156</f>
        <v>1e-12</v>
      </c>
      <c r="U158" s="402">
        <f ca="1">U132-U156</f>
        <v>1e-12</v>
      </c>
      <c r="V158" s="402">
        <f ca="1">V132-V156</f>
        <v>1e-12</v>
      </c>
      <c r="W158" s="402">
        <f ca="1">W132-W156</f>
        <v>1e-12</v>
      </c>
      <c r="X158" s="404">
        <f ca="1">X132-X156</f>
        <v>1e-12</v>
      </c>
      <c r="Y158" s="403">
        <f ca="1">Y132-Y156</f>
        <v>1e-12</v>
      </c>
      <c r="Z158" s="404">
        <f ca="1">Z132-Z156</f>
        <v>-7.275957614183426e-12</v>
      </c>
      <c r="AA158" s="404">
        <f ca="1">AA132-AA156</f>
        <v>-7.275957614183426e-12</v>
      </c>
      <c r="AB158" s="404">
        <f ca="1">AB132-AB156</f>
        <v>-7.275957614183426e-12</v>
      </c>
      <c r="AC158" s="404">
        <f ca="1">AC132-AC156</f>
        <v>1e-12</v>
      </c>
      <c r="AD158" s="403">
        <f ca="1">AD132-AD156</f>
        <v>1e-12</v>
      </c>
      <c r="AE158" s="403">
        <f ca="1">AE132-AE156</f>
        <v>-7.275957614183426e-12</v>
      </c>
      <c r="AF158" s="403">
        <f ca="1">AF132-AF156</f>
        <v>-7.275957614183426e-12</v>
      </c>
      <c r="AG158" s="405">
        <f ca="1">AG132-AG156</f>
        <v>-1.4551915228366852e-11</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 ca="1">F$25</f>
        <v>1e-12</v>
      </c>
      <c r="G160" s="63">
        <f t="shared" ref="G160:AG160" si="261" ca="1">G$63</f>
        <v>1e-12</v>
      </c>
      <c r="H160" s="63">
        <f ca="1">H$63</f>
        <v>1e-12</v>
      </c>
      <c r="I160" s="63">
        <f ca="1">I$63</f>
        <v>1e-12</v>
      </c>
      <c r="J160" s="63">
        <f ca="1">J$63</f>
        <v>2023</v>
      </c>
      <c r="K160" s="63">
        <f ca="1">K$63</f>
        <v>1e-12</v>
      </c>
      <c r="L160" s="63">
        <f ca="1">L$63</f>
        <v>1e-12</v>
      </c>
      <c r="M160" s="63">
        <f ca="1">M$63</f>
        <v>1e-12</v>
      </c>
      <c r="N160" s="63">
        <f ca="1">N$63</f>
        <v>1e-12</v>
      </c>
      <c r="O160" s="63">
        <f ca="1">O$63</f>
        <v>2024</v>
      </c>
      <c r="P160" s="63">
        <f ca="1">P$63</f>
        <v>1e-12</v>
      </c>
      <c r="Q160" s="63">
        <f ca="1">Q$63</f>
        <v>1e-12</v>
      </c>
      <c r="R160" s="63">
        <f ca="1">R$63</f>
        <v>1e-12</v>
      </c>
      <c r="S160" s="63">
        <f ca="1">S$63</f>
        <v>1e-12</v>
      </c>
      <c r="T160" s="63">
        <f ca="1">T$63</f>
        <v>2025</v>
      </c>
      <c r="U160" s="63">
        <f ca="1">U$63</f>
        <v>1e-12</v>
      </c>
      <c r="V160" s="63" t="str">
        <f ca="1">V$63</f>
        <v>2Q26</v>
      </c>
      <c r="W160" s="63" t="str">
        <f ca="1">W$63</f>
        <v>3Q26e</v>
      </c>
      <c r="X160" s="63" t="str">
        <f ca="1">X$63</f>
        <v>4Q26e</v>
      </c>
      <c r="Y160" s="63" t="str">
        <f ca="1">Y$63</f>
        <v>2026e</v>
      </c>
      <c r="Z160" s="63" t="str">
        <f ca="1">Z$63</f>
        <v>1Q27e</v>
      </c>
      <c r="AA160" s="63" t="str">
        <f ca="1">AA$63</f>
        <v>2Q27e</v>
      </c>
      <c r="AB160" s="63" t="str">
        <f ca="1">AB$63</f>
        <v>3Q27e</v>
      </c>
      <c r="AC160" s="63" t="str">
        <f ca="1">AC$63</f>
        <v>4Q27e</v>
      </c>
      <c r="AD160" s="63" t="str">
        <f ca="1">AD$63</f>
        <v>2027e</v>
      </c>
      <c r="AE160" s="63" t="str">
        <f ca="1">AE$63</f>
        <v>2028e</v>
      </c>
      <c r="AF160" s="63" t="str">
        <f ca="1">AF$63</f>
        <v>2029e</v>
      </c>
      <c r="AG160" s="64" t="str">
        <f ca="1">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62" ca="1">C121</f>
        <v>Accounts Receivable</v>
      </c>
      <c r="D162" s="16"/>
      <c r="E162" s="16"/>
      <c r="F162" s="353">
        <f t="shared" ref="F162:W162" si="263" ca="1">F121</f>
        <v>4599</v>
      </c>
      <c r="G162" s="353">
        <f ca="1">G121</f>
        <v>3970</v>
      </c>
      <c r="H162" s="353">
        <f ca="1">H121</f>
        <v>3495</v>
      </c>
      <c r="I162" s="353">
        <f ca="1">I121</f>
        <v>3410</v>
      </c>
      <c r="J162" s="282">
        <f ca="1">J121</f>
        <v>3410</v>
      </c>
      <c r="K162" s="353">
        <f ca="1">K121</f>
        <v>4244</v>
      </c>
      <c r="L162" s="353">
        <f ca="1">L121</f>
        <v>4545</v>
      </c>
      <c r="M162" s="353">
        <f ca="1">M121</f>
        <v>4233</v>
      </c>
      <c r="N162" s="353">
        <f ca="1">N121</f>
        <v>3569</v>
      </c>
      <c r="O162" s="282">
        <f ca="1">O121</f>
        <v>3569</v>
      </c>
      <c r="P162" s="353">
        <f ca="1">P121</f>
        <v>4091</v>
      </c>
      <c r="Q162" s="353">
        <f ca="1">Q121</f>
        <v>4168</v>
      </c>
      <c r="R162" s="353">
        <f ca="1">R121</f>
        <v>3946</v>
      </c>
      <c r="S162" s="353">
        <f ca="1">S121</f>
        <v>3038</v>
      </c>
      <c r="T162" s="282">
        <f ca="1">T121</f>
        <v>3038</v>
      </c>
      <c r="U162" s="353">
        <f ca="1">U121</f>
        <v>3675</v>
      </c>
      <c r="V162" s="353">
        <f ca="1">V121</f>
        <v>1e-12</v>
      </c>
      <c r="W162" s="353">
        <f ca="1">W121</f>
        <v>1e-12</v>
      </c>
      <c r="X162" s="281">
        <f ca="1">X182*X28/X$26</f>
        <v>1e-12</v>
      </c>
      <c r="Y162" s="282">
        <f t="shared" ref="Y162:Y164" si="264" ca="1">X162</f>
        <v>1e-12</v>
      </c>
      <c r="Z162" s="281">
        <f t="shared" ref="Z162:AC162" si="265" ca="1">Z182*Z28/Z$26</f>
        <v>1e-12</v>
      </c>
      <c r="AA162" s="281">
        <f ca="1">AA182*AA28/AA$26</f>
        <v>1e-12</v>
      </c>
      <c r="AB162" s="281">
        <f ca="1">AB182*AB28/AB$26</f>
        <v>1e-12</v>
      </c>
      <c r="AC162" s="281">
        <f ca="1">AC182*AC28/AC$26</f>
        <v>1e-12</v>
      </c>
      <c r="AD162" s="282">
        <f t="shared" ref="AD162:AD164" si="266" ca="1">AC162</f>
        <v>1e-12</v>
      </c>
      <c r="AE162" s="282">
        <f t="shared" ref="AE162:AG162" si="267" ca="1">AE182*AE28/AE$26</f>
        <v>1e-12</v>
      </c>
      <c r="AF162" s="282">
        <f ca="1">AF182*AF28/AF$26</f>
        <v>1e-12</v>
      </c>
      <c r="AG162" s="282">
        <f ca="1">AG182*AG28/AG$26</f>
        <v>1e-12</v>
      </c>
      <c r="AH162" s="16"/>
      <c r="AI162" s="16"/>
      <c r="AJ162" s="16"/>
      <c r="AK162" s="16"/>
    </row>
    <row r="163" ht="13.5" customHeight="1" spans="1:37" x14ac:dyDescent="0.25">
      <c r="A163" s="264"/>
      <c r="B163" s="16"/>
      <c r="C163" s="139" t="str">
        <f ca="1">C122</f>
        <v>Inventory</v>
      </c>
      <c r="D163" s="16"/>
      <c r="E163" s="16"/>
      <c r="F163" s="384">
        <f t="shared" ref="F163:W163" si="268" ca="1">F122</f>
        <v>4727</v>
      </c>
      <c r="G163" s="384">
        <f ca="1">G122</f>
        <v>4646</v>
      </c>
      <c r="H163" s="384">
        <f ca="1">H122</f>
        <v>4252</v>
      </c>
      <c r="I163" s="384">
        <f ca="1">I122</f>
        <v>4424</v>
      </c>
      <c r="J163" s="162">
        <f ca="1">J122</f>
        <v>4424</v>
      </c>
      <c r="K163" s="384">
        <f ca="1">K122</f>
        <v>4961</v>
      </c>
      <c r="L163" s="384">
        <f ca="1">L122</f>
        <v>4763</v>
      </c>
      <c r="M163" s="384">
        <f ca="1">M122</f>
        <v>4714</v>
      </c>
      <c r="N163" s="384">
        <f ca="1">N122</f>
        <v>4728</v>
      </c>
      <c r="O163" s="162">
        <f ca="1">O122</f>
        <v>4728</v>
      </c>
      <c r="P163" s="384">
        <f ca="1">P122</f>
        <v>5102</v>
      </c>
      <c r="Q163" s="384">
        <f ca="1">Q122</f>
        <v>5082</v>
      </c>
      <c r="R163" s="384">
        <f ca="1">R122</f>
        <v>4802</v>
      </c>
      <c r="S163" s="384">
        <f ca="1">S122</f>
        <v>4425</v>
      </c>
      <c r="T163" s="162">
        <f ca="1">T122</f>
        <v>4425</v>
      </c>
      <c r="U163" s="384">
        <f ca="1">U122</f>
        <v>4730</v>
      </c>
      <c r="V163" s="384">
        <f ca="1">V122</f>
        <v>17322</v>
      </c>
      <c r="W163" s="384">
        <f ca="1">W122</f>
        <v>16685</v>
      </c>
      <c r="X163" s="359">
        <f ca="1">X183*-X29/X$26</f>
        <v>18529.950326086957</v>
      </c>
      <c r="Y163" s="162">
        <f ca="1">X163</f>
        <v>18529.950326086957</v>
      </c>
      <c r="Z163" s="359">
        <f t="shared" ref="Z163:AC163" si="269" ca="1">Z183*-Z29/Z$26</f>
        <v>23065.506292307695</v>
      </c>
      <c r="AA163" s="359">
        <f ca="1">AA183*-AA29/AA$26</f>
        <v>22014.14833107692</v>
      </c>
      <c r="AB163" s="359">
        <f ca="1">AB183*-AB29/AB$26</f>
        <v>20954.80490032696</v>
      </c>
      <c r="AC163" s="359">
        <f ca="1">AC183*-AC29/AC$26</f>
        <v>20718.783200747737</v>
      </c>
      <c r="AD163" s="162">
        <f ca="1">AC163</f>
        <v>20718.783200747737</v>
      </c>
      <c r="AE163" s="162">
        <f t="shared" ref="AE163:AG163" si="270" ca="1">AE183*-AE29/AE$26</f>
        <v>21269.509108004873</v>
      </c>
      <c r="AF163" s="162">
        <f ca="1">AF183*-AF29/AF$26</f>
        <v>21669.70196230183</v>
      </c>
      <c r="AG163" s="162">
        <f ca="1">AG183*-AG29/AG$26</f>
        <v>22051.69345270706</v>
      </c>
      <c r="AH163" s="16"/>
      <c r="AI163" s="16"/>
      <c r="AJ163" s="16"/>
      <c r="AK163" s="16"/>
    </row>
    <row r="164" ht="13.5" customHeight="1" spans="1:37" x14ac:dyDescent="0.25">
      <c r="A164" s="264"/>
      <c r="B164" s="16"/>
      <c r="C164" s="139" t="str">
        <f ca="1">C123</f>
        <v>Prepaid &amp; Other Current Assets</v>
      </c>
      <c r="D164" s="16"/>
      <c r="E164" s="16"/>
      <c r="F164" s="372">
        <f t="shared" ref="F164:W164" si="271" ca="1">F123</f>
        <v>4384</v>
      </c>
      <c r="G164" s="372">
        <f ca="1">G123</f>
        <v>4544</v>
      </c>
      <c r="H164" s="372">
        <f ca="1">H123</f>
        <v>5905</v>
      </c>
      <c r="I164" s="372">
        <f ca="1">I123</f>
        <v>6535</v>
      </c>
      <c r="J164" s="355">
        <f ca="1">J123</f>
        <v>6535</v>
      </c>
      <c r="K164" s="372">
        <f ca="1">K123</f>
        <v>5054</v>
      </c>
      <c r="L164" s="372">
        <f ca="1">L123</f>
        <v>4892</v>
      </c>
      <c r="M164" s="372">
        <f ca="1">M123</f>
        <v>4964</v>
      </c>
      <c r="N164" s="372">
        <f ca="1">N123</f>
        <v>4852</v>
      </c>
      <c r="O164" s="355">
        <f ca="1">O123</f>
        <v>4852</v>
      </c>
      <c r="P164" s="372">
        <f ca="1">P123</f>
        <v>4989</v>
      </c>
      <c r="Q164" s="372">
        <f ca="1">Q123</f>
        <v>5111</v>
      </c>
      <c r="R164" s="372">
        <f ca="1">R123</f>
        <v>4625</v>
      </c>
      <c r="S164" s="372">
        <f ca="1">S123</f>
        <v>9709</v>
      </c>
      <c r="T164" s="355">
        <f ca="1">T123</f>
        <v>9709</v>
      </c>
      <c r="U164" s="372">
        <f ca="1">U123</f>
        <v>10902</v>
      </c>
      <c r="V164" s="372">
        <f ca="1">V123</f>
        <v>1506</v>
      </c>
      <c r="W164" s="372">
        <f ca="1">W123</f>
        <v>1491</v>
      </c>
      <c r="X164" s="356">
        <f ca="1">X186*X28*4</f>
        <v>1e-12</v>
      </c>
      <c r="Y164" s="355">
        <f ca="1">X164</f>
        <v>1e-12</v>
      </c>
      <c r="Z164" s="356">
        <f t="shared" ref="Z164:AC164" si="272" ca="1">Z186*Z28*4</f>
        <v>1849.7576159999996</v>
      </c>
      <c r="AA164" s="356">
        <f ca="1">AA186*AA28*4</f>
        <v>2108.72368224</v>
      </c>
      <c r="AB164" s="356">
        <f ca="1">AB186*AB28*4</f>
        <v>1855.6768403712</v>
      </c>
      <c r="AC164" s="356">
        <f ca="1">AC186*AC28*4</f>
        <v>1762.8929983526398</v>
      </c>
      <c r="AD164" s="355">
        <f ca="1">AC164</f>
        <v>1762.8929983526398</v>
      </c>
      <c r="AE164" s="355">
        <f t="shared" ref="AE164:AG164" si="273" ca="1">AE186*AE28</f>
        <v>1932.1480399257787</v>
      </c>
      <c r="AF164" s="355">
        <f ca="1">AF186*AF28</f>
        <v>1970.7910007242942</v>
      </c>
      <c r="AG164" s="355">
        <f ca="1">AG186*AG28</f>
        <v>2010.2068207387802</v>
      </c>
      <c r="AH164" s="16"/>
      <c r="AI164" s="16"/>
      <c r="AJ164" s="16"/>
      <c r="AK164" s="16"/>
    </row>
    <row r="165" ht="13.5" customHeight="1" spans="1:37" x14ac:dyDescent="0.25">
      <c r="A165" s="264"/>
      <c r="B165" s="16"/>
      <c r="C165" s="16" t="s">
        <v>361</v>
      </c>
      <c r="D165" s="16"/>
      <c r="E165" s="16"/>
      <c r="F165" s="353">
        <f t="shared" ref="F165:AG165" si="274" ca="1">SUM(F162:F164)</f>
        <v>13710</v>
      </c>
      <c r="G165" s="353">
        <f ca="1">SUM(G162:G164)</f>
        <v>13160</v>
      </c>
      <c r="H165" s="353">
        <f ca="1">SUM(H162:H164)</f>
        <v>13652</v>
      </c>
      <c r="I165" s="353">
        <f ca="1">SUM(I162:I164)</f>
        <v>14369</v>
      </c>
      <c r="J165" s="282">
        <f ca="1">SUM(J162:J164)</f>
        <v>14369</v>
      </c>
      <c r="K165" s="353">
        <f ca="1">SUM(K162:K164)</f>
        <v>14259</v>
      </c>
      <c r="L165" s="353">
        <f ca="1">SUM(L162:L164)</f>
        <v>14200</v>
      </c>
      <c r="M165" s="353">
        <f ca="1">SUM(M162:M164)</f>
        <v>13911</v>
      </c>
      <c r="N165" s="353">
        <f ca="1">SUM(N162:N164)</f>
        <v>13149</v>
      </c>
      <c r="O165" s="282">
        <f ca="1">SUM(O162:O164)</f>
        <v>13149</v>
      </c>
      <c r="P165" s="353">
        <f ca="1">SUM(P162:P164)</f>
        <v>14182</v>
      </c>
      <c r="Q165" s="353">
        <f ca="1">SUM(Q162:Q164)</f>
        <v>14361</v>
      </c>
      <c r="R165" s="353">
        <f ca="1">SUM(R162:R164)</f>
        <v>13373</v>
      </c>
      <c r="S165" s="353">
        <f ca="1">SUM(S162:S164)</f>
        <v>17172</v>
      </c>
      <c r="T165" s="282">
        <f ca="1">SUM(T162:T164)</f>
        <v>17172</v>
      </c>
      <c r="U165" s="353">
        <f ca="1">SUM(U162:U164)</f>
        <v>19307</v>
      </c>
      <c r="V165" s="353">
        <f ca="1">SUM(V162:V164)</f>
        <v>18828</v>
      </c>
      <c r="W165" s="353">
        <f ca="1">SUM(W162:W164)</f>
        <v>18176</v>
      </c>
      <c r="X165" s="281">
        <f ca="1">SUM(X162:X164)</f>
        <v>18529.950326086957</v>
      </c>
      <c r="Y165" s="282">
        <f ca="1">SUM(Y162:Y164)</f>
        <v>18529.950326086957</v>
      </c>
      <c r="Z165" s="281">
        <f ca="1">SUM(Z162:Z164)</f>
        <v>24915.263908307694</v>
      </c>
      <c r="AA165" s="281">
        <f ca="1">SUM(AA162:AA164)</f>
        <v>24122.872013316923</v>
      </c>
      <c r="AB165" s="281">
        <f ca="1">SUM(AB162:AB164)</f>
        <v>22810.48174069816</v>
      </c>
      <c r="AC165" s="281">
        <f ca="1">SUM(AC162:AC164)</f>
        <v>22481.676199100377</v>
      </c>
      <c r="AD165" s="282">
        <f ca="1">SUM(AD162:AD164)</f>
        <v>22481.676199100377</v>
      </c>
      <c r="AE165" s="282">
        <f ca="1">SUM(AE162:AE164)</f>
        <v>23201.65714793065</v>
      </c>
      <c r="AF165" s="282">
        <f ca="1">SUM(AF162:AF164)</f>
        <v>23640.492963026125</v>
      </c>
      <c r="AG165" s="282">
        <f ca="1">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75" ca="1">C134</f>
        <v>Accounts Payable</v>
      </c>
      <c r="D167" s="16"/>
      <c r="E167" s="16"/>
      <c r="F167" s="353">
        <f t="shared" ref="F167:W167" si="276" ca="1">F134</f>
        <v>15593</v>
      </c>
      <c r="G167" s="353">
        <f ca="1">G134</f>
        <v>16483</v>
      </c>
      <c r="H167" s="353">
        <f ca="1">H134</f>
        <v>16837</v>
      </c>
      <c r="I167" s="353">
        <f ca="1">I134</f>
        <v>5590</v>
      </c>
      <c r="J167" s="282">
        <f ca="1">J134</f>
        <v>5590</v>
      </c>
      <c r="K167" s="353">
        <f ca="1">K134</f>
        <v>19425</v>
      </c>
      <c r="L167" s="353">
        <f ca="1">L134</f>
        <v>21909</v>
      </c>
      <c r="M167" s="353">
        <f ca="1">M134</f>
        <v>23820</v>
      </c>
      <c r="N167" s="353">
        <f ca="1">N134</f>
        <v>5468</v>
      </c>
      <c r="O167" s="282">
        <f ca="1">O134</f>
        <v>5468</v>
      </c>
      <c r="P167" s="353">
        <f ca="1">P134</f>
        <v>16499</v>
      </c>
      <c r="Q167" s="353">
        <f ca="1">Q134</f>
        <v>17030</v>
      </c>
      <c r="R167" s="353">
        <f ca="1">R134</f>
        <v>17692</v>
      </c>
      <c r="S167" s="353">
        <f ca="1">S134</f>
        <v>5649</v>
      </c>
      <c r="T167" s="282">
        <f ca="1">T134</f>
        <v>5649</v>
      </c>
      <c r="U167" s="353">
        <f ca="1">U134</f>
        <v>14409</v>
      </c>
      <c r="V167" s="353">
        <f ca="1">V134</f>
        <v>12011</v>
      </c>
      <c r="W167" s="353">
        <f ca="1">W134</f>
        <v>11334</v>
      </c>
      <c r="X167" s="281">
        <f ca="1">X184*-X29/X26</f>
        <v>11323.858532608696</v>
      </c>
      <c r="Y167" s="282">
        <f t="shared" ref="Y167:Y169" si="277" ca="1">X167</f>
        <v>11323.858532608696</v>
      </c>
      <c r="Z167" s="281">
        <f t="shared" ref="Z167:AC167" si="278" ca="1">Z184*-Z29/Z26</f>
        <v>14082.098578461539</v>
      </c>
      <c r="AA167" s="281">
        <f ca="1">AA184*-AA29/AA26</f>
        <v>13208.488998646155</v>
      </c>
      <c r="AB167" s="281">
        <f ca="1">AB184*-AB29/AB26</f>
        <v>13065.937173145043</v>
      </c>
      <c r="AC167" s="281">
        <f ca="1">AC184*-AC29/AC26</f>
        <v>12661.478622679173</v>
      </c>
      <c r="AD167" s="282">
        <f t="shared" ref="AD167:AD169" si="279" ca="1">AC167</f>
        <v>12661.478622679173</v>
      </c>
      <c r="AE167" s="282">
        <f t="shared" ref="AE167:AG167" si="280" ca="1">AE184*-AE29/AE26</f>
        <v>13673.255855145992</v>
      </c>
      <c r="AF167" s="282">
        <f ca="1">AF184*-AF29/AF26</f>
        <v>13930.522690051177</v>
      </c>
      <c r="AG167" s="282">
        <f ca="1">AG184*-AG29/AG26</f>
        <v>14176.088648168821</v>
      </c>
      <c r="AH167" s="16"/>
      <c r="AI167" s="16"/>
      <c r="AJ167" s="16"/>
      <c r="AK167" s="16"/>
    </row>
    <row r="168" ht="13.5" customHeight="1" spans="1:37" x14ac:dyDescent="0.25">
      <c r="A168" s="264"/>
      <c r="B168" s="16"/>
      <c r="C168" s="139" t="str">
        <f ca="1">C135</f>
        <v>Accrued Liabilities</v>
      </c>
      <c r="D168" s="16"/>
      <c r="E168" s="16"/>
      <c r="F168" s="384">
        <f t="shared" ref="F168:W168" si="281" ca="1">F135</f>
        <v>1498</v>
      </c>
      <c r="G168" s="384">
        <f ca="1">G135</f>
        <v>1643</v>
      </c>
      <c r="H168" s="384">
        <f ca="1">H135</f>
        <v>1603</v>
      </c>
      <c r="I168" s="384">
        <f ca="1">I135</f>
        <v>1593</v>
      </c>
      <c r="J168" s="162">
        <f ca="1">J135</f>
        <v>1593</v>
      </c>
      <c r="K168" s="384">
        <f ca="1">K135</f>
        <v>1485</v>
      </c>
      <c r="L168" s="384">
        <f ca="1">L135</f>
        <v>1622</v>
      </c>
      <c r="M168" s="384">
        <f ca="1">M135</f>
        <v>1479</v>
      </c>
      <c r="N168" s="384">
        <f ca="1">N135</f>
        <v>1387</v>
      </c>
      <c r="O168" s="162">
        <f ca="1">O135</f>
        <v>1387</v>
      </c>
      <c r="P168" s="384">
        <f ca="1">P135</f>
        <v>1728</v>
      </c>
      <c r="Q168" s="384">
        <f ca="1">Q135</f>
        <v>444</v>
      </c>
      <c r="R168" s="384">
        <f ca="1">R135</f>
        <v>568</v>
      </c>
      <c r="S168" s="384">
        <f ca="1">S135</f>
        <v>525</v>
      </c>
      <c r="T168" s="162">
        <f ca="1">T135</f>
        <v>525</v>
      </c>
      <c r="U168" s="384">
        <f ca="1">U135</f>
        <v>717</v>
      </c>
      <c r="V168" s="384">
        <f ca="1">V135</f>
        <v>1331</v>
      </c>
      <c r="W168" s="384">
        <f ca="1">W135</f>
        <v>1353</v>
      </c>
      <c r="X168" s="359">
        <f ca="1">X187*-X29*4</f>
        <v>947.08635</v>
      </c>
      <c r="Y168" s="162">
        <f ca="1">X168</f>
        <v>947.08635</v>
      </c>
      <c r="Z168" s="359">
        <f t="shared" ref="Z168:AC168" si="282" ca="1">Z187*-Z29*4</f>
        <v>1104.716354</v>
      </c>
      <c r="AA168" s="359">
        <f ca="1">AA187*-AA29*4</f>
        <v>1252.05468633</v>
      </c>
      <c r="AB168" s="359">
        <f ca="1">AB187*-AB29*4</f>
        <v>1134.0247357824</v>
      </c>
      <c r="AC168" s="359">
        <f ca="1">AC187*-AC29*4</f>
        <v>1058.9600302604401</v>
      </c>
      <c r="AD168" s="162">
        <f ca="1">AC168</f>
        <v>1058.9600302604401</v>
      </c>
      <c r="AE168" s="162">
        <f t="shared" ref="AE168:AG168" si="283" ca="1">AE187*-AE29</f>
        <v>1201.4740561605136</v>
      </c>
      <c r="AF168" s="162">
        <f ca="1">AF187*-AF29</f>
        <v>1224.080188227645</v>
      </c>
      <c r="AG168" s="162">
        <f ca="1">AG187*-AG29</f>
        <v>1245.6581599177973</v>
      </c>
      <c r="AH168" s="16"/>
      <c r="AI168" s="16"/>
      <c r="AJ168" s="16"/>
      <c r="AK168" s="16"/>
    </row>
    <row r="169" ht="13.5" customHeight="1" spans="1:37" x14ac:dyDescent="0.25">
      <c r="A169" s="264"/>
      <c r="B169" s="16"/>
      <c r="C169" s="139" t="str">
        <f ca="1">C136</f>
        <v>Other Current Liabilities</v>
      </c>
      <c r="D169" s="16"/>
      <c r="E169" s="16"/>
      <c r="F169" s="372">
        <f t="shared" ref="F169:W169" si="284" ca="1">F136</f>
        <v>173</v>
      </c>
      <c r="G169" s="372">
        <f ca="1">G136</f>
        <v>175</v>
      </c>
      <c r="H169" s="372">
        <f ca="1">H136</f>
        <v>191</v>
      </c>
      <c r="I169" s="372">
        <f ca="1">I136</f>
        <v>14080</v>
      </c>
      <c r="J169" s="355">
        <f ca="1">J136</f>
        <v>14080</v>
      </c>
      <c r="K169" s="372">
        <f ca="1">K136</f>
        <v>332</v>
      </c>
      <c r="L169" s="372">
        <f ca="1">L136</f>
        <v>291</v>
      </c>
      <c r="M169" s="372">
        <f ca="1">M136</f>
        <v>386</v>
      </c>
      <c r="N169" s="372">
        <f ca="1">N136</f>
        <v>17386</v>
      </c>
      <c r="O169" s="355">
        <f ca="1">O136</f>
        <v>17386</v>
      </c>
      <c r="P169" s="372">
        <f ca="1">P136</f>
        <v>373</v>
      </c>
      <c r="Q169" s="372">
        <f ca="1">Q136</f>
        <v>339</v>
      </c>
      <c r="R169" s="372">
        <f ca="1">R136</f>
        <v>327</v>
      </c>
      <c r="S169" s="372">
        <f ca="1">S136</f>
        <v>13229</v>
      </c>
      <c r="T169" s="355">
        <f ca="1">T136</f>
        <v>13229</v>
      </c>
      <c r="U169" s="372">
        <f ca="1">U136</f>
        <v>2509</v>
      </c>
      <c r="V169" s="372">
        <f ca="1">V136</f>
        <v>6978</v>
      </c>
      <c r="W169" s="372">
        <f ca="1">W136</f>
        <v>6795</v>
      </c>
      <c r="X169" s="356">
        <f ca="1">X188*-X29*4</f>
        <v>9470.8635</v>
      </c>
      <c r="Y169" s="355">
        <f ca="1">X169</f>
        <v>9470.8635</v>
      </c>
      <c r="Z169" s="356">
        <f t="shared" ref="Z169:AC169" si="285" ca="1">Z188*-Z29*4</f>
        <v>9721.503915199999</v>
      </c>
      <c r="AA169" s="356">
        <f ca="1">AA188*-AA29*4</f>
        <v>11018.081239704</v>
      </c>
      <c r="AB169" s="356">
        <f ca="1">AB188*-AB29*4</f>
        <v>11340.247357824</v>
      </c>
      <c r="AC169" s="356">
        <f ca="1">AC188*-AC29*4</f>
        <v>10589.6003026044</v>
      </c>
      <c r="AD169" s="355">
        <f ca="1">AC169</f>
        <v>10589.6003026044</v>
      </c>
      <c r="AE169" s="355">
        <f t="shared" ref="AE169:AG169" si="286" ca="1">AE188*-AE29</f>
        <v>11090.529749173971</v>
      </c>
      <c r="AF169" s="355">
        <f ca="1">AF188*-AF29</f>
        <v>11299.201737485955</v>
      </c>
      <c r="AG169" s="355">
        <f ca="1">AG188*-AG29</f>
        <v>11498.383014625822</v>
      </c>
      <c r="AH169" s="16"/>
      <c r="AI169" s="16"/>
      <c r="AJ169" s="16"/>
      <c r="AK169" s="16"/>
    </row>
    <row r="170" ht="13.5" customHeight="1" spans="1:37" x14ac:dyDescent="0.25">
      <c r="A170" s="264"/>
      <c r="B170" s="16"/>
      <c r="C170" s="16" t="s">
        <v>362</v>
      </c>
      <c r="D170" s="16"/>
      <c r="E170" s="16"/>
      <c r="F170" s="353">
        <f t="shared" ref="F170:AG170" si="287" ca="1">SUM(F167:F169)</f>
        <v>17264</v>
      </c>
      <c r="G170" s="353">
        <f ca="1">SUM(G167:G169)</f>
        <v>18301</v>
      </c>
      <c r="H170" s="353">
        <f ca="1">SUM(H167:H169)</f>
        <v>18631</v>
      </c>
      <c r="I170" s="353">
        <f ca="1">SUM(I167:I169)</f>
        <v>21263</v>
      </c>
      <c r="J170" s="282">
        <f ca="1">SUM(J167:J169)</f>
        <v>21263</v>
      </c>
      <c r="K170" s="353">
        <f ca="1">SUM(K167:K169)</f>
        <v>21242</v>
      </c>
      <c r="L170" s="353">
        <f ca="1">SUM(L167:L169)</f>
        <v>23822</v>
      </c>
      <c r="M170" s="353">
        <f ca="1">SUM(M167:M169)</f>
        <v>25685</v>
      </c>
      <c r="N170" s="353">
        <f ca="1">SUM(N167:N169)</f>
        <v>24241</v>
      </c>
      <c r="O170" s="282">
        <f ca="1">SUM(O167:O169)</f>
        <v>24241</v>
      </c>
      <c r="P170" s="353">
        <f ca="1">SUM(P167:P169)</f>
        <v>18600</v>
      </c>
      <c r="Q170" s="353">
        <f ca="1">SUM(Q167:Q169)</f>
        <v>17813</v>
      </c>
      <c r="R170" s="353">
        <f ca="1">SUM(R167:R169)</f>
        <v>18587</v>
      </c>
      <c r="S170" s="353">
        <f ca="1">SUM(S167:S169)</f>
        <v>19403</v>
      </c>
      <c r="T170" s="282">
        <f ca="1">SUM(T167:T169)</f>
        <v>19403</v>
      </c>
      <c r="U170" s="353">
        <f ca="1">SUM(U167:U169)</f>
        <v>17635</v>
      </c>
      <c r="V170" s="353">
        <f ca="1">SUM(V167:V169)</f>
        <v>20320</v>
      </c>
      <c r="W170" s="353">
        <f ca="1">SUM(W167:W169)</f>
        <v>19482</v>
      </c>
      <c r="X170" s="281">
        <f ca="1">SUM(X167:X169)</f>
        <v>21741.808382608695</v>
      </c>
      <c r="Y170" s="282">
        <f ca="1">SUM(Y167:Y169)</f>
        <v>21741.808382608695</v>
      </c>
      <c r="Z170" s="281">
        <f ca="1">SUM(Z167:Z169)</f>
        <v>24908.31884766154</v>
      </c>
      <c r="AA170" s="281">
        <f ca="1">SUM(AA167:AA169)</f>
        <v>25478.624924680156</v>
      </c>
      <c r="AB170" s="281">
        <f ca="1">SUM(AB167:AB169)</f>
        <v>25540.209266751444</v>
      </c>
      <c r="AC170" s="281">
        <f ca="1">SUM(AC167:AC169)</f>
        <v>24310.038955544012</v>
      </c>
      <c r="AD170" s="282">
        <f ca="1">SUM(AD167:AD169)</f>
        <v>24310.038955544012</v>
      </c>
      <c r="AE170" s="282">
        <f ca="1">SUM(AE167:AE169)</f>
        <v>25965.25966048048</v>
      </c>
      <c r="AF170" s="282">
        <f ca="1">SUM(AF167:AF169)</f>
        <v>26453.804615764777</v>
      </c>
      <c r="AG170" s="282">
        <f ca="1">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88" ca="1">F165-F170</f>
        <v>-3554</v>
      </c>
      <c r="G172" s="353">
        <f ca="1">G165-G170</f>
        <v>-5141</v>
      </c>
      <c r="H172" s="353">
        <f ca="1">H165-H170</f>
        <v>-4979</v>
      </c>
      <c r="I172" s="353">
        <f ca="1">I165-I170</f>
        <v>-6894</v>
      </c>
      <c r="J172" s="282">
        <f ca="1">J165-J170</f>
        <v>-6894</v>
      </c>
      <c r="K172" s="353">
        <f ca="1">K165-K170</f>
        <v>-6983</v>
      </c>
      <c r="L172" s="353">
        <f ca="1">L165-L170</f>
        <v>-9622</v>
      </c>
      <c r="M172" s="353">
        <f ca="1">M165-M170</f>
        <v>-11774</v>
      </c>
      <c r="N172" s="353">
        <f ca="1">N165-N170</f>
        <v>-11092</v>
      </c>
      <c r="O172" s="282">
        <f ca="1">O165-O170</f>
        <v>-11092</v>
      </c>
      <c r="P172" s="353">
        <f ca="1">P165-P170</f>
        <v>-4418</v>
      </c>
      <c r="Q172" s="353">
        <f ca="1">Q165-Q170</f>
        <v>-3452</v>
      </c>
      <c r="R172" s="353">
        <f ca="1">R165-R170</f>
        <v>-5214</v>
      </c>
      <c r="S172" s="353">
        <f ca="1">S165-S170</f>
        <v>-2231</v>
      </c>
      <c r="T172" s="282">
        <f ca="1">T165-T170</f>
        <v>-2231</v>
      </c>
      <c r="U172" s="353">
        <f ca="1">U165-U170</f>
        <v>1672</v>
      </c>
      <c r="V172" s="353">
        <f ca="1">V165-V170</f>
        <v>-1492</v>
      </c>
      <c r="W172" s="353">
        <f ca="1">W165-W170</f>
        <v>-1306</v>
      </c>
      <c r="X172" s="281">
        <f ca="1">X165-X170</f>
        <v>-3211.858056521738</v>
      </c>
      <c r="Y172" s="282">
        <f ca="1">Y165-Y170</f>
        <v>-3211.858056521738</v>
      </c>
      <c r="Z172" s="281">
        <f ca="1">Z165-Z170</f>
        <v>6.945060646154161</v>
      </c>
      <c r="AA172" s="281">
        <f ca="1">AA165-AA170</f>
        <v>-1355.7529113632336</v>
      </c>
      <c r="AB172" s="281">
        <f ca="1">AB165-AB170</f>
        <v>-2729.7275260532842</v>
      </c>
      <c r="AC172" s="281">
        <f ca="1">AC165-AC170</f>
        <v>-1828.3627564436356</v>
      </c>
      <c r="AD172" s="282">
        <f ca="1">AD165-AD170</f>
        <v>-1828.3627564436356</v>
      </c>
      <c r="AE172" s="282">
        <f ca="1">AE165-AE170</f>
        <v>-2763.602512549827</v>
      </c>
      <c r="AF172" s="282">
        <f ca="1">AF165-AF170</f>
        <v>-2813.311652738652</v>
      </c>
      <c r="AG172" s="282">
        <f ca="1">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89" ca="1">G172-F172</f>
        <v>-1587</v>
      </c>
      <c r="H174" s="388">
        <f ca="1">H172-G172</f>
        <v>162</v>
      </c>
      <c r="I174" s="388">
        <f ca="1">I172-H172</f>
        <v>-1915</v>
      </c>
      <c r="J174" s="100"/>
      <c r="K174" s="388">
        <f t="shared" ref="K174:N174" si="290" ca="1">-(K172-J172)</f>
        <v>89</v>
      </c>
      <c r="L174" s="388">
        <f ca="1">-(L172-K172)</f>
        <v>2639</v>
      </c>
      <c r="M174" s="388">
        <f ca="1">-(M172-L172)</f>
        <v>2152</v>
      </c>
      <c r="N174" s="388">
        <f ca="1">-(N172-M172)</f>
        <v>-682</v>
      </c>
      <c r="O174" s="389">
        <f ca="1">-(O172-J172)</f>
        <v>4198</v>
      </c>
      <c r="P174" s="388">
        <f t="shared" ref="P174:S174" si="291" ca="1">-(P172-O172)</f>
        <v>-6674</v>
      </c>
      <c r="Q174" s="388">
        <f ca="1">-(Q172-P172)</f>
        <v>-966</v>
      </c>
      <c r="R174" s="388">
        <f ca="1">-(R172-Q172)</f>
        <v>1762</v>
      </c>
      <c r="S174" s="388">
        <f ca="1">-(S172-R172)</f>
        <v>-2983</v>
      </c>
      <c r="T174" s="389">
        <f ca="1">-(T172-O172)</f>
        <v>-8861</v>
      </c>
      <c r="U174" s="388">
        <f t="shared" ref="U174:X174" si="292" ca="1">-(U172-T172)</f>
        <v>-3903</v>
      </c>
      <c r="V174" s="388">
        <f ca="1">-(V172-U172)</f>
        <v>-392</v>
      </c>
      <c r="W174" s="388">
        <f ca="1">-(W172-V172)</f>
        <v>-186</v>
      </c>
      <c r="X174" s="390">
        <f ca="1">-(X172-W172)</f>
        <v>1905.858056521738</v>
      </c>
      <c r="Y174" s="389">
        <f ca="1">-(Y172-T172)</f>
        <v>3432.858056521738</v>
      </c>
      <c r="Z174" s="390">
        <f t="shared" ref="Z174:AC174" si="293" ca="1">-(Z172-Y172)</f>
        <v>-3218.803117167892</v>
      </c>
      <c r="AA174" s="390">
        <f ca="1">-(AA172-Z172)</f>
        <v>1362.6979720093877</v>
      </c>
      <c r="AB174" s="390">
        <f ca="1">-(AB172-AA172)</f>
        <v>1373.9746146900507</v>
      </c>
      <c r="AC174" s="390">
        <f ca="1">-(AC172-AB172)</f>
        <v>-901.3647696096486</v>
      </c>
      <c r="AD174" s="389">
        <f ca="1">-(AD172-Y172)</f>
        <v>-1383.4953000781024</v>
      </c>
      <c r="AE174" s="389">
        <f t="shared" ref="AE174:AG174" si="294" ca="1">-(AE172-AD172)</f>
        <v>935.2397561061916</v>
      </c>
      <c r="AF174" s="389">
        <f ca="1">-(AF172-AE172)</f>
        <v>49.709140188824676</v>
      </c>
      <c r="AG174" s="407">
        <f ca="1">-(AG172-AF172)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95" ca="1">F162+F163-F167</f>
        <v>-6267</v>
      </c>
      <c r="G176" s="353">
        <f ca="1">G162+G163-G167</f>
        <v>-7867</v>
      </c>
      <c r="H176" s="353">
        <f ca="1">H162+H163-H167</f>
        <v>-9090</v>
      </c>
      <c r="I176" s="353">
        <f ca="1">I162+I163-I167</f>
        <v>2244</v>
      </c>
      <c r="J176" s="282">
        <f ca="1">J162+J163-J167</f>
        <v>2244</v>
      </c>
      <c r="K176" s="353">
        <f ca="1">K162+K163-K167</f>
        <v>-10220</v>
      </c>
      <c r="L176" s="353">
        <f ca="1">L162+L163-L167</f>
        <v>-12601</v>
      </c>
      <c r="M176" s="353">
        <f ca="1">M162+M163-M167</f>
        <v>-14873</v>
      </c>
      <c r="N176" s="353">
        <f ca="1">N162+N163-N167</f>
        <v>2829</v>
      </c>
      <c r="O176" s="282">
        <f ca="1">O162+O163-O167</f>
        <v>2829</v>
      </c>
      <c r="P176" s="353">
        <f ca="1">P162+P163-P167</f>
        <v>-7306</v>
      </c>
      <c r="Q176" s="353">
        <f ca="1">Q162+Q163-Q167</f>
        <v>-7780</v>
      </c>
      <c r="R176" s="353">
        <f ca="1">R162+R163-R167</f>
        <v>-8944</v>
      </c>
      <c r="S176" s="353">
        <f ca="1">S162+S163-S167</f>
        <v>1814</v>
      </c>
      <c r="T176" s="282">
        <f ca="1">T162+T163-T167</f>
        <v>1814</v>
      </c>
      <c r="U176" s="353">
        <f ca="1">U162+U163-U167</f>
        <v>-6004</v>
      </c>
      <c r="V176" s="353">
        <f ca="1">V162+V163-V167</f>
        <v>5311</v>
      </c>
      <c r="W176" s="353">
        <f ca="1">W162+W163-W167</f>
        <v>5351</v>
      </c>
      <c r="X176" s="281">
        <f ca="1">X162+X163-X167</f>
        <v>7206.091793478261</v>
      </c>
      <c r="Y176" s="282">
        <f ca="1">Y162+Y163-Y167</f>
        <v>7206.091793478261</v>
      </c>
      <c r="Z176" s="281">
        <f ca="1">Z162+Z163-Z167</f>
        <v>8983.407713846156</v>
      </c>
      <c r="AA176" s="281">
        <f ca="1">AA162+AA163-AA167</f>
        <v>8805.659332430767</v>
      </c>
      <c r="AB176" s="281">
        <f ca="1">AB162+AB163-AB167</f>
        <v>7888.867727181916</v>
      </c>
      <c r="AC176" s="281">
        <f ca="1">AC162+AC163-AC167</f>
        <v>8057.304578068564</v>
      </c>
      <c r="AD176" s="282">
        <f ca="1">AD162+AD163-AD167</f>
        <v>8057.304578068564</v>
      </c>
      <c r="AE176" s="282">
        <f ca="1">AE162+AE163-AE167</f>
        <v>7596.253252858882</v>
      </c>
      <c r="AF176" s="282">
        <f ca="1">AF162+AF163-AF167</f>
        <v>7739.179272250654</v>
      </c>
      <c r="AG176" s="282">
        <f ca="1">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96" ca="1">G176-F176</f>
        <v>-1600</v>
      </c>
      <c r="H178" s="388">
        <f ca="1">H176-G176</f>
        <v>-1223</v>
      </c>
      <c r="I178" s="388">
        <f ca="1">I176-H176</f>
        <v>11334</v>
      </c>
      <c r="J178" s="100"/>
      <c r="K178" s="388">
        <f t="shared" ref="K178:N178" si="297" ca="1">-(K176-J176)</f>
        <v>12464</v>
      </c>
      <c r="L178" s="388">
        <f ca="1">-(L176-K176)</f>
        <v>2381</v>
      </c>
      <c r="M178" s="388">
        <f ca="1">-(M176-L176)</f>
        <v>2272</v>
      </c>
      <c r="N178" s="388">
        <f ca="1">-(N176-M176)</f>
        <v>-17702</v>
      </c>
      <c r="O178" s="389">
        <f ca="1">-(O176-J176)</f>
        <v>-585</v>
      </c>
      <c r="P178" s="388">
        <f t="shared" ref="P178:S178" si="298" ca="1">-(P176-O176)</f>
        <v>10135</v>
      </c>
      <c r="Q178" s="388">
        <f ca="1">-(Q176-P176)</f>
        <v>474</v>
      </c>
      <c r="R178" s="388">
        <f ca="1">-(R176-Q176)</f>
        <v>1164</v>
      </c>
      <c r="S178" s="388">
        <f ca="1">-(S176-R176)</f>
        <v>-10758</v>
      </c>
      <c r="T178" s="389">
        <f ca="1">-(T176-O176)</f>
        <v>1015</v>
      </c>
      <c r="U178" s="388">
        <f t="shared" ref="U178:X178" si="299" ca="1">-(U176-T176)</f>
        <v>7818</v>
      </c>
      <c r="V178" s="388">
        <f ca="1">-(V176-U176)</f>
        <v>-893</v>
      </c>
      <c r="W178" s="388">
        <f ca="1">-(W176-V176)</f>
        <v>-40</v>
      </c>
      <c r="X178" s="390">
        <f ca="1">-(X176-W176)</f>
        <v>-1855.091793478261</v>
      </c>
      <c r="Y178" s="389">
        <f ca="1">-(Y176-T176)</f>
        <v>-1897.091793478261</v>
      </c>
      <c r="Z178" s="390">
        <f t="shared" ref="Z178:AC178" si="300" ca="1">-(Z176-Y176)</f>
        <v>-1777.3159203678952</v>
      </c>
      <c r="AA178" s="390">
        <f ca="1">-(AA176-Z176)</f>
        <v>177.7483814153893</v>
      </c>
      <c r="AB178" s="390">
        <f ca="1">-(AB176-AA176)</f>
        <v>916.7916052488508</v>
      </c>
      <c r="AC178" s="390">
        <f ca="1">-(AC176-AB176)</f>
        <v>-168.43685088664824</v>
      </c>
      <c r="AD178" s="389">
        <f ca="1">-(AD176-Y176)</f>
        <v>-851.2127845903033</v>
      </c>
      <c r="AE178" s="389">
        <f t="shared" ref="AE178:AG178" si="301" ca="1">-(AE176-AD176)</f>
        <v>461.05132520968255</v>
      </c>
      <c r="AF178" s="389">
        <f ca="1">-(AF176-AE176)</f>
        <v>-142.92601939177257</v>
      </c>
      <c r="AG178" s="407">
        <f ca="1">-(AG176-AF176)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302" ca="1">AVERAGE(F162:G162)/G$28*G$26</f>
        <v>0</v>
      </c>
      <c r="H182" s="384">
        <f ca="1">AVERAGE(G162:H162)/H$28*H$26</f>
      </c>
      <c r="I182" s="384">
        <f ca="1">AVERAGE(H162:I162)/I$28*I$26</f>
      </c>
      <c r="J182" s="162">
        <f ca="1">AVERAGE(F162:I162)/J$28*J$26</f>
        <v>0</v>
      </c>
      <c r="K182" s="382">
        <f ca="1">AVERAGE(I162,K162)/K$28*K$26</f>
        <v>0</v>
      </c>
      <c r="L182" s="384">
        <f t="shared" ref="L182:N182" si="303" ca="1">AVERAGE(K162:L162)/L$28*L$26</f>
        <v>0</v>
      </c>
      <c r="M182" s="384">
        <f ca="1">AVERAGE(L162:M162)/M$28*M$26</f>
      </c>
      <c r="N182" s="384">
        <f ca="1">AVERAGE(M162:N162)/N$28*N$26</f>
      </c>
      <c r="O182" s="162">
        <f ca="1">AVERAGE(J162,O162)/O$28*O$26</f>
        <v>0</v>
      </c>
      <c r="P182" s="382">
        <f ca="1">AVERAGE(N162,P162)/P$28*P$26</f>
        <v>0</v>
      </c>
      <c r="Q182" s="384">
        <f t="shared" ref="Q182:S182" si="304" ca="1">AVERAGE(P162:Q162)/Q$28*Q$26</f>
        <v>0</v>
      </c>
      <c r="R182" s="384">
        <f ca="1">AVERAGE(Q162:R162)/R$28*R$26</f>
      </c>
      <c r="S182" s="384">
        <f ca="1">AVERAGE(R162:S162)/S$28*S$26</f>
      </c>
      <c r="T182" s="162">
        <f ca="1">AVERAGE(O162,T162)/T$28*T$26</f>
        <v>0</v>
      </c>
      <c r="U182" s="382">
        <f ca="1">AVERAGE(S162,U162)/U$28*U$26</f>
        <v>0</v>
      </c>
      <c r="V182" s="384">
        <f t="shared" ref="V182:W182" si="305" ca="1">AVERAGE(U162:V162)/V$28*V$26</f>
        <v>0</v>
      </c>
      <c r="W182" s="384">
        <f ca="1">AVERAGE(V162:W162)/W$28*W$26</f>
      </c>
      <c r="X182" s="361">
        <f ca="1">Drivers!X113</f>
        <v>1e-12</v>
      </c>
      <c r="Y182" s="162">
        <f ca="1">AVERAGE(T162,Y162)/Y$28*Y$26</f>
        <v>0</v>
      </c>
      <c r="Z182" s="361">
        <f ca="1">Drivers!Z113</f>
        <v>1e-12</v>
      </c>
      <c r="AA182" s="361">
        <f ca="1">Drivers!AA113</f>
        <v>1e-12</v>
      </c>
      <c r="AB182" s="361">
        <f ca="1">Drivers!AB113</f>
        <v>1e-12</v>
      </c>
      <c r="AC182" s="361">
        <f ca="1">Drivers!AC113</f>
        <v>1e-12</v>
      </c>
      <c r="AD182" s="162">
        <f ca="1">AVERAGE(Y162,AD162)/AD$28*AD$26</f>
        <v>0</v>
      </c>
      <c r="AE182" s="362">
        <f ca="1">Drivers!AE113</f>
        <v>1e-12</v>
      </c>
      <c r="AF182" s="362">
        <f ca="1">Drivers!AF113</f>
        <v>1e-12</v>
      </c>
      <c r="AG182" s="362">
        <f ca="1">Drivers!AG113</f>
        <v>1e-12</v>
      </c>
      <c r="AH182" s="16"/>
      <c r="AI182" s="16"/>
      <c r="AJ182" s="16"/>
      <c r="AK182" s="16"/>
    </row>
    <row r="183" ht="13.5" customHeight="1" spans="1:37" x14ac:dyDescent="0.25">
      <c r="A183" s="264"/>
      <c r="B183" s="16"/>
      <c r="C183" s="16" t="s">
        <v>368</v>
      </c>
      <c r="D183" s="16"/>
      <c r="E183" s="16"/>
      <c r="F183" s="382"/>
      <c r="G183" s="384">
        <f t="shared" ref="G183:I183" si="306" ca="1">AVERAGE(F163:G163)/-G$29*G$26</f>
        <v>83.39173789173789</v>
      </c>
      <c r="H183" s="384">
        <f ca="1">AVERAGE(G163:H163)/-H$29*H$26</f>
        <v>94.8957890259464</v>
      </c>
      <c r="I183" s="384">
        <f ca="1">AVERAGE(H163:I163)/-I$29*I$26</f>
        <v>98.76785252821087</v>
      </c>
      <c r="J183" s="162">
        <f ca="1">AVERAGE(F163:I163)/-J$29*J$26</f>
        <v>94.5511972893122</v>
      </c>
      <c r="K183" s="382">
        <f ca="1">AVERAGE(I163,K163)/-K$29*K$26</f>
        <v>102.09004934210527</v>
      </c>
      <c r="L183" s="384">
        <f t="shared" ref="L183:N183" si="307" ca="1">AVERAGE(K163:L163)/-L$29*L$26</f>
        <v>91.80451866404715</v>
      </c>
      <c r="M183" s="384">
        <f ca="1">AVERAGE(L163:M163)/-M$29*M$26</f>
        <v>107.46646237657474</v>
      </c>
      <c r="N183" s="384">
        <f ca="1">AVERAGE(M163:N163)/-N$29*N$26</f>
        <v>112.01177003168854</v>
      </c>
      <c r="O183" s="162">
        <f ca="1">AVERAGE(J163,O163)/-O$29*O$26</f>
        <v>95.46895640686921</v>
      </c>
      <c r="P183" s="382">
        <f ca="1">AVERAGE(N163,P163)/-P$29*P$26</f>
        <v>93.89074608722079</v>
      </c>
      <c r="Q183" s="384">
        <f t="shared" ref="Q183:S183" si="308" ca="1">AVERAGE(P163:Q163)/-Q$29*Q$26</f>
        <v>71.07384153794867</v>
      </c>
      <c r="R183" s="384">
        <f ca="1">AVERAGE(Q163:R163)/-R$29*R$26</f>
        <v>90.54420680924778</v>
      </c>
      <c r="S183" s="384">
        <f ca="1">AVERAGE(R163:S163)/-S$29*S$26</f>
        <v>106.00433369447454</v>
      </c>
      <c r="T183" s="162">
        <f ca="1">AVERAGE(O163,T163)/-T$29*T$26</f>
        <v>89.31899223514513</v>
      </c>
      <c r="U183" s="382">
        <f ca="1">AVERAGE(S163,U163)/-U$29*U$26</f>
        <v>95.49932482199853</v>
      </c>
      <c r="V183" s="384">
        <f t="shared" ref="V183:W183" si="309" ca="1">AVERAGE(U163:V163)/-V$29*V$26</f>
        <v>88.97644868003067</v>
      </c>
      <c r="W183" s="384">
        <f ca="1">AVERAGE(V163:W163)/-W$29*W$26</f>
        <v>102.03652729763225</v>
      </c>
      <c r="X183" s="361">
        <f ca="1">Drivers!X118</f>
        <v>90</v>
      </c>
      <c r="Y183" s="162">
        <f ca="1">AVERAGE(T163,Y163)/-Y$29*Y$26</f>
        <v>92.07624734938022</v>
      </c>
      <c r="Z183" s="361">
        <f ca="1">Drivers!Z118</f>
        <v>95</v>
      </c>
      <c r="AA183" s="361">
        <f ca="1">Drivers!AA118</f>
        <v>80</v>
      </c>
      <c r="AB183" s="361">
        <f ca="1">Drivers!AB118</f>
        <v>85</v>
      </c>
      <c r="AC183" s="361">
        <f ca="1">Drivers!AC118</f>
        <v>90</v>
      </c>
      <c r="AD183" s="162">
        <f ca="1">AVERAGE(Y163,AD163)/-AD$29*AD$26</f>
        <v>78.93300806770992</v>
      </c>
      <c r="AE183" s="362">
        <f ca="1">Drivers!AE118</f>
        <v>84</v>
      </c>
      <c r="AF183" s="362">
        <f ca="1">Drivers!AF118</f>
        <v>84</v>
      </c>
      <c r="AG183" s="362">
        <f ca="1">Drivers!AG118</f>
        <v>84</v>
      </c>
      <c r="AH183" s="16"/>
      <c r="AI183" s="16"/>
      <c r="AJ183" s="16"/>
      <c r="AK183" s="16"/>
    </row>
    <row r="184" ht="13.5" customHeight="1" spans="1:37" x14ac:dyDescent="0.25">
      <c r="A184" s="264"/>
      <c r="B184" s="16"/>
      <c r="C184" s="16" t="s">
        <v>369</v>
      </c>
      <c r="D184" s="16"/>
      <c r="E184" s="16"/>
      <c r="F184" s="382"/>
      <c r="G184" s="384">
        <f t="shared" ref="G184:I184" si="310" ca="1">AVERAGE(F167:G167)/-G$29*G$26</f>
        <v>63.44539411206078</v>
      </c>
      <c r="H184" s="384">
        <f ca="1">AVERAGE(G167:H167)/-H$29*H$26</f>
        <v>71.48294342832837</v>
      </c>
      <c r="I184" s="384">
        <f ca="1">AVERAGE(H167:I167)/-I$29*I$26</f>
        <v>69.58842277543286</v>
      </c>
      <c r="J184" s="162">
        <f ca="1">AVERAGE(F167:I167)/-J$29*J$26</f>
        <v>69.28524204045371</v>
      </c>
      <c r="K184" s="382">
        <f ca="1">AVERAGE(I167,K167)/-K$29*K$26</f>
        <v>73.13980263157895</v>
      </c>
      <c r="L184" s="384">
        <f t="shared" ref="L184:N184" si="311" ca="1">AVERAGE(K167:L167)/-L$29*L$26</f>
        <v>66.99214145383104</v>
      </c>
      <c r="M184" s="384">
        <f ca="1">AVERAGE(L167:M167)/-M$29*M$26</f>
        <v>71.73697650663944</v>
      </c>
      <c r="N184" s="384">
        <f ca="1">AVERAGE(M167:N167)/-N$29*N$26</f>
        <v>68.63974649162517</v>
      </c>
      <c r="O184" s="162">
        <f ca="1">AVERAGE(J167,O167)/-O$29*O$26</f>
        <v>59.11360634081902</v>
      </c>
      <c r="P184" s="382">
        <f ca="1">AVERAGE(N167,P167)/-P$29*P$26</f>
        <v>63.250265917033886</v>
      </c>
      <c r="Q184" s="384">
        <f t="shared" ref="Q184:S184" si="312" ca="1">AVERAGE(P167:Q167)/-Q$29*Q$26</f>
        <v>60.05908989887765</v>
      </c>
      <c r="R184" s="384">
        <f ca="1">AVERAGE(Q167:R167)/-R$29*R$26</f>
        <v>78.68945299486974</v>
      </c>
      <c r="S184" s="384">
        <f ca="1">AVERAGE(R167:S167)/-S$29*S$26</f>
        <v>78.55384615384615</v>
      </c>
      <c r="T184" s="162">
        <f ca="1">AVERAGE(O167,T167)/-T$29*T$26</f>
        <v>56.38846769087213</v>
      </c>
      <c r="U184" s="382">
        <f ca="1">AVERAGE(S167,U167)/-U$29*U$26</f>
        <v>68.63245764792536</v>
      </c>
      <c r="V184" s="384">
        <f t="shared" ref="V184:W184" si="313" ca="1">AVERAGE(U167:V167)/-V$29*V$26</f>
        <v>64.7312137145361</v>
      </c>
      <c r="W184" s="384">
        <f ca="1">AVERAGE(V167:W167)/-W$29*W$26</f>
        <v>70.04565912204032</v>
      </c>
      <c r="X184" s="361">
        <f ca="1">Drivers!X135</f>
        <v>55</v>
      </c>
      <c r="Y184" s="162">
        <f ca="1">AVERAGE(T167,Y167)/-Y$29*Y$26</f>
        <v>58.889473853616515</v>
      </c>
      <c r="Z184" s="361">
        <f ca="1">Drivers!Z135</f>
        <v>58</v>
      </c>
      <c r="AA184" s="361">
        <f ca="1">Drivers!AA135</f>
        <v>48</v>
      </c>
      <c r="AB184" s="361">
        <f ca="1">Drivers!AB135</f>
        <v>53</v>
      </c>
      <c r="AC184" s="361">
        <f ca="1">Drivers!AC135</f>
        <v>55</v>
      </c>
      <c r="AD184" s="162">
        <f ca="1">AVERAGE(Y167,AD167)/-AD$29*AD$26</f>
        <v>48.236838263600504</v>
      </c>
      <c r="AE184" s="362">
        <f ca="1">Drivers!AE135</f>
        <v>54</v>
      </c>
      <c r="AF184" s="362">
        <f ca="1">Drivers!AF135</f>
        <v>54</v>
      </c>
      <c r="AG184" s="362">
        <f ca="1">Drivers!AG135</f>
        <v>54</v>
      </c>
      <c r="AH184" s="16"/>
      <c r="AI184" s="16"/>
      <c r="AJ184" s="16"/>
      <c r="AK184" s="16"/>
    </row>
    <row r="185" ht="13.5" customHeight="1" spans="1:37" x14ac:dyDescent="0.25">
      <c r="A185" s="264"/>
      <c r="B185" s="16"/>
      <c r="C185" s="16" t="s">
        <v>131</v>
      </c>
      <c r="D185" s="16"/>
      <c r="E185" s="16"/>
      <c r="F185" s="382"/>
      <c r="G185" s="384">
        <f t="shared" ref="G185:AG185" si="314" ca="1">SUM(G182:G183)-G184</f>
        <v>19.946343779677107</v>
      </c>
      <c r="H185" s="384">
        <f ca="1">SUM(H182:H183)-H184</f>
        <v>23.41284559761803</v>
      </c>
      <c r="I185" s="384">
        <f ca="1">SUM(I182:I183)-I184</f>
        <v>29.179429752778006</v>
      </c>
      <c r="J185" s="162">
        <f ca="1">SUM(J182:J183)-J184</f>
        <v>25.26595524885849</v>
      </c>
      <c r="K185" s="382">
        <f ca="1">SUM(K182:K183)-K184</f>
        <v>28.95024671052633</v>
      </c>
      <c r="L185" s="384">
        <f ca="1">SUM(L182:L183)-L184</f>
        <v>24.812377210216113</v>
      </c>
      <c r="M185" s="384">
        <f ca="1">SUM(M182:M183)-M184</f>
        <v>35.7294858699353</v>
      </c>
      <c r="N185" s="384">
        <f ca="1">SUM(N182:N183)-N184</f>
        <v>43.37202354006337</v>
      </c>
      <c r="O185" s="162">
        <f ca="1">SUM(O182:O183)-O184</f>
        <v>36.35535006605019</v>
      </c>
      <c r="P185" s="382">
        <f ca="1">SUM(P182:P183)-P184</f>
        <v>30.640480170186905</v>
      </c>
      <c r="Q185" s="384">
        <f ca="1">SUM(Q182:Q183)-Q184</f>
        <v>11.014751639071015</v>
      </c>
      <c r="R185" s="384">
        <f ca="1">SUM(R182:R183)-R184</f>
        <v>11.854753814378043</v>
      </c>
      <c r="S185" s="384">
        <f ca="1">SUM(S182:S183)-S184</f>
        <v>27.450487540628387</v>
      </c>
      <c r="T185" s="162">
        <f ca="1">SUM(T182:T183)-T184</f>
        <v>32.930524544273</v>
      </c>
      <c r="U185" s="382">
        <f ca="1">SUM(U182:U183)-U184</f>
        <v>26.866867174073164</v>
      </c>
      <c r="V185" s="384">
        <f ca="1">SUM(V182:V183)-V184</f>
        <v>24.245234965494575</v>
      </c>
      <c r="W185" s="384">
        <f ca="1">SUM(W182:W183)-W184</f>
        <v>31.990868175591928</v>
      </c>
      <c r="X185" s="359">
        <f ca="1">SUM(X182:X183)-X184</f>
        <v>35</v>
      </c>
      <c r="Y185" s="162">
        <f ca="1">SUM(Y182:Y183)-Y184</f>
        <v>33.18677349576371</v>
      </c>
      <c r="Z185" s="359">
        <f ca="1">SUM(Z182:Z183)-Z184</f>
        <v>37</v>
      </c>
      <c r="AA185" s="359">
        <f ca="1">SUM(AA182:AA183)-AA184</f>
        <v>32</v>
      </c>
      <c r="AB185" s="359">
        <f ca="1">SUM(AB182:AB183)-AB184</f>
        <v>32</v>
      </c>
      <c r="AC185" s="359">
        <f ca="1">SUM(AC182:AC183)-AC184</f>
        <v>35</v>
      </c>
      <c r="AD185" s="162">
        <f ca="1">SUM(AD182:AD183)-AD184</f>
        <v>30.696169804109417</v>
      </c>
      <c r="AE185" s="162">
        <f ca="1">SUM(AE182:AE183)-AE184</f>
        <v>30</v>
      </c>
      <c r="AF185" s="162">
        <f ca="1">SUM(AF182:AF183)-AF184</f>
        <v>30</v>
      </c>
      <c r="AG185" s="162">
        <f ca="1">SUM(AG182:AG183)-AG184</f>
        <v>30</v>
      </c>
      <c r="AH185" s="16"/>
      <c r="AI185" s="16"/>
      <c r="AJ185" s="16"/>
      <c r="AK185" s="16"/>
    </row>
    <row r="186" ht="13.5" customHeight="1" spans="1:37" x14ac:dyDescent="0.25">
      <c r="A186" s="264"/>
      <c r="B186" s="16"/>
      <c r="C186" s="139" t="s">
        <v>370</v>
      </c>
      <c r="D186" s="16"/>
      <c r="E186" s="16"/>
      <c r="F186" s="410">
        <f t="shared" ref="F186:I186" si="315" ca="1">F164/(4*F28)</f>
        <v>0.09981785063752277</v>
      </c>
      <c r="G186" s="410">
        <f ca="1">G164/(4*G28)</f>
        <v>0.09488807216839291</v>
      </c>
      <c r="H186" s="410">
        <f ca="1">H164/(4*H28)</f>
        <v>0.12350455952480549</v>
      </c>
      <c r="I186" s="410">
        <f ca="1">I164/(4*I28)</f>
        <v>0.15058991612130151</v>
      </c>
      <c r="J186" s="214">
        <f ca="1">J164/(J28)</f>
        <v>0.14282904226952833</v>
      </c>
      <c r="K186" s="410">
        <f t="shared" ref="K186:N186" si="316" ca="1">K164/(4*K28)</f>
        <v>0.11181415929203539</v>
      </c>
      <c r="L186" s="410">
        <f ca="1">L164/(4*L28)</f>
        <v>0.09892420933430397</v>
      </c>
      <c r="M186" s="410">
        <f ca="1">M164/(4*M28)</f>
        <v>0.10469039986502446</v>
      </c>
      <c r="N186" s="410">
        <f ca="1">N164/(4*N28)</f>
        <v>0.10507623007623007</v>
      </c>
      <c r="O186" s="214">
        <f ca="1">O164/(O28)</f>
        <v>0.10310023161428784</v>
      </c>
      <c r="P186" s="410">
        <f t="shared" ref="P186:S186" si="317" ca="1">P164/(4*P28)</f>
        <v>0.11207206397699704</v>
      </c>
      <c r="Q186" s="410">
        <f ca="1">Q164/(4*Q28)</f>
        <v>0.10193458316713203</v>
      </c>
      <c r="R186" s="410">
        <f ca="1">R164/(4*R28)</f>
        <v>0.09283420313127258</v>
      </c>
      <c r="S186" s="410">
        <f ca="1">S164/(4*S28)</f>
        <v>0.2053163593300626</v>
      </c>
      <c r="T186" s="214">
        <f ca="1">T164/(T28)</f>
        <v>0.20251976387643145</v>
      </c>
      <c r="U186" s="410">
        <f t="shared" ref="U186:W186" si="318" ca="1">U164/(4*U28)</f>
        <v>0.21852950609364977</v>
      </c>
      <c r="V186" s="410">
        <f ca="1">V164/(4*V28)</f>
        <v>0.013656147986942329</v>
      </c>
      <c r="W186" s="410">
        <f ca="1">W164/(4*W28)</f>
        <v>0.016264508246792913</v>
      </c>
      <c r="X186" s="411">
        <f ca="1">Drivers!X123</f>
        <v>1e-12</v>
      </c>
      <c r="Y186" s="214">
        <f ca="1">Y164/(Y28)</f>
        <v>1e-12</v>
      </c>
      <c r="Z186" s="411">
        <f ca="1">Drivers!Z123</f>
        <v>0.018</v>
      </c>
      <c r="AA186" s="411">
        <f ca="1">Drivers!AA123</f>
        <v>0.018</v>
      </c>
      <c r="AB186" s="411">
        <f ca="1">Drivers!AB123</f>
        <v>0.018</v>
      </c>
      <c r="AC186" s="411">
        <f ca="1">Drivers!AC123</f>
        <v>0.018</v>
      </c>
      <c r="AD186" s="214">
        <f ca="1">AD164/(AD28)</f>
        <v>0.016751674706560162</v>
      </c>
      <c r="AE186" s="412">
        <f ca="1">Drivers!AE123</f>
        <v>0.018</v>
      </c>
      <c r="AF186" s="412">
        <f ca="1">Drivers!AF123</f>
        <v>0.018</v>
      </c>
      <c r="AG186" s="412">
        <f ca="1">Drivers!AG123</f>
        <v>0.018</v>
      </c>
      <c r="AH186" s="16"/>
      <c r="AI186" s="16"/>
      <c r="AJ186" s="16"/>
      <c r="AK186" s="16"/>
    </row>
    <row r="187" ht="13.5" customHeight="1" spans="1:37" x14ac:dyDescent="0.25">
      <c r="A187" s="264"/>
      <c r="B187" s="16"/>
      <c r="C187" s="16" t="s">
        <v>371</v>
      </c>
      <c r="D187" s="16"/>
      <c r="E187" s="16"/>
      <c r="F187" s="410">
        <f t="shared" ref="F187:I187" si="319" ca="1">F168/(4*-F29)</f>
        <v>0.08675005791058606</v>
      </c>
      <c r="G187" s="410">
        <f ca="1">G168/(4*-G29)</f>
        <v>0.08362174267100977</v>
      </c>
      <c r="H187" s="410">
        <f ca="1">H168/(4*-H29)</f>
        <v>0.08605325316727507</v>
      </c>
      <c r="I187" s="410">
        <f ca="1">I168/(4*-I29)</f>
        <v>0.03430528038590749</v>
      </c>
      <c r="J187" s="214">
        <f ca="1">J168/(-J29)</f>
        <v>0.06248283977250441</v>
      </c>
      <c r="K187" s="410">
        <f t="shared" ref="K187:N187" si="320" ca="1">K168/(4*-K29)</f>
        <v>0.08766233766233766</v>
      </c>
      <c r="L187" s="410">
        <f ca="1">L168/(4*-L29)</f>
        <v>0.08426849542809643</v>
      </c>
      <c r="M187" s="410">
        <f ca="1">M168/(4*-M29)</f>
        <v>0.07927744425385935</v>
      </c>
      <c r="N187" s="410">
        <f ca="1">N168/(4*-N29)</f>
        <v>0.0751680034684587</v>
      </c>
      <c r="O187" s="214">
        <f ca="1">O168/(-O29)</f>
        <v>0.07569308011351233</v>
      </c>
      <c r="P187" s="410">
        <f t="shared" ref="P187:S187" si="321" ca="1">P168/(4*-P29)</f>
        <v>0.10377131876050925</v>
      </c>
      <c r="Q187" s="410">
        <f ca="1">Q168/(4*-Q29)</f>
        <v>0.023546881629189647</v>
      </c>
      <c r="R187" s="410">
        <f ca="1">R168/(4*-R29)</f>
        <v>0.029601834479883262</v>
      </c>
      <c r="S187" s="410">
        <f ca="1">S168/(4*-S29)</f>
        <v>0.027789540546262967</v>
      </c>
      <c r="T187" s="214">
        <f ca="1">T168/(-T29)</f>
        <v>0.02853726151002881</v>
      </c>
      <c r="U187" s="410">
        <f t="shared" ref="U187:W187" si="322" ca="1">U168/(4*-U29)</f>
        <v>0.0387987012987013</v>
      </c>
      <c r="V187" s="410">
        <f ca="1">V168/(4*-V29)</f>
        <v>0.01822488772045131</v>
      </c>
      <c r="W187" s="410">
        <f ca="1">W168/(4*-W29)</f>
        <v>0.02206314004305003</v>
      </c>
      <c r="X187" s="411">
        <f ca="1">Drivers!X140</f>
        <v>0.0125</v>
      </c>
      <c r="Y187" s="214">
        <f ca="1">Y168/(-Y29)</f>
        <v>0.013761244159941528</v>
      </c>
      <c r="Z187" s="411">
        <f ca="1">Drivers!Z140</f>
        <v>0.0125</v>
      </c>
      <c r="AA187" s="411">
        <f ca="1">Drivers!AA140</f>
        <v>0.0125</v>
      </c>
      <c r="AB187" s="411">
        <f ca="1">Drivers!AB140</f>
        <v>0.0125</v>
      </c>
      <c r="AC187" s="411">
        <f ca="1">Drivers!AC140</f>
        <v>0.0125</v>
      </c>
      <c r="AD187" s="214">
        <f ca="1">AD168/(-AD29)</f>
        <v>0.01163754798419242</v>
      </c>
      <c r="AE187" s="412">
        <f ca="1">Drivers!AE140</f>
        <v>0.013</v>
      </c>
      <c r="AF187" s="412">
        <f ca="1">Drivers!AF140</f>
        <v>0.013</v>
      </c>
      <c r="AG187" s="412">
        <f ca="1">Drivers!AG140</f>
        <v>0.013</v>
      </c>
      <c r="AH187" s="16"/>
      <c r="AI187" s="16"/>
      <c r="AJ187" s="16"/>
      <c r="AK187" s="16"/>
    </row>
    <row r="188" ht="13.5" customHeight="1" spans="1:37" x14ac:dyDescent="0.25">
      <c r="A188" s="264"/>
      <c r="B188" s="16"/>
      <c r="C188" s="16" t="s">
        <v>372</v>
      </c>
      <c r="D188" s="16"/>
      <c r="E188" s="16"/>
      <c r="F188" s="410">
        <f t="shared" ref="F188:I188" si="323" ca="1">F169/(4*-F29)</f>
        <v>0.010018531387537642</v>
      </c>
      <c r="G188" s="410">
        <f ca="1">G169/(4*-G29)</f>
        <v>0.008906758957654724</v>
      </c>
      <c r="H188" s="410">
        <f ca="1">H169/(4*-H29)</f>
        <v>0.010253382005582993</v>
      </c>
      <c r="I188" s="410">
        <f ca="1">I169/(4*-I29)</f>
        <v>0.30321302437763803</v>
      </c>
      <c r="J188" s="214">
        <f ca="1">J169/(-J29)</f>
        <v>0.5522651500294176</v>
      </c>
      <c r="K188" s="410">
        <f t="shared" ref="K188:N188" si="324" ca="1">K169/(4*-K29)</f>
        <v>0.01959858323494687</v>
      </c>
      <c r="L188" s="410">
        <f ca="1">L169/(4*-L29)</f>
        <v>0.015118453865336659</v>
      </c>
      <c r="M188" s="410">
        <f ca="1">M169/(4*-M29)</f>
        <v>0.020690394511149228</v>
      </c>
      <c r="N188" s="410">
        <f ca="1">N169/(4*-N29)</f>
        <v>0.9422284847171039</v>
      </c>
      <c r="O188" s="214">
        <f ca="1">O169/(-O29)</f>
        <v>0.9488103034271993</v>
      </c>
      <c r="P188" s="410">
        <f t="shared" ref="P188:S188" si="325" ca="1">P169/(4*-P29)</f>
        <v>0.022399711746336776</v>
      </c>
      <c r="Q188" s="410">
        <f ca="1">Q169/(4*-Q29)</f>
        <v>0.017978362324989394</v>
      </c>
      <c r="R188" s="410">
        <f ca="1">R169/(4*-R29)</f>
        <v>0.017041901188242652</v>
      </c>
      <c r="S188" s="410">
        <f ca="1">S169/(4*-S29)</f>
        <v>0.7002434893076435</v>
      </c>
      <c r="T188" s="214">
        <f ca="1">T169/(-T29)</f>
        <v>0.7190846333641354</v>
      </c>
      <c r="U188" s="410">
        <f t="shared" ref="U188:W188" si="326" ca="1">U169/(4*-U29)</f>
        <v>0.13576839826839826</v>
      </c>
      <c r="V188" s="410">
        <f ca="1">V169/(4*-V29)</f>
        <v>0.09554715741045021</v>
      </c>
      <c r="W188" s="410">
        <f ca="1">W169/(4*-W29)</f>
        <v>0.11080490509425348</v>
      </c>
      <c r="X188" s="411">
        <f ca="1">Drivers!X145</f>
        <v>0.125</v>
      </c>
      <c r="Y188" s="214">
        <f ca="1">Y169/(-Y29)</f>
        <v>0.13761244159941527</v>
      </c>
      <c r="Z188" s="411">
        <f ca="1">Drivers!Z145</f>
        <v>0.11</v>
      </c>
      <c r="AA188" s="411">
        <f ca="1">Drivers!AA145</f>
        <v>0.11</v>
      </c>
      <c r="AB188" s="411">
        <f ca="1">Drivers!AB145</f>
        <v>0.125</v>
      </c>
      <c r="AC188" s="411">
        <f ca="1">Drivers!AC145</f>
        <v>0.125</v>
      </c>
      <c r="AD188" s="214">
        <f ca="1">AD169/(-AD29)</f>
        <v>0.11637547984192419</v>
      </c>
      <c r="AE188" s="412">
        <f ca="1">Drivers!AE145</f>
        <v>0.12</v>
      </c>
      <c r="AF188" s="412">
        <f ca="1">Drivers!AF145</f>
        <v>0.12</v>
      </c>
      <c r="AG188" s="412">
        <f ca="1">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 ca="1">F$25</f>
        <v>1e-12</v>
      </c>
      <c r="G190" s="63">
        <f t="shared" ref="G190:AG190" si="327" ca="1">G$63</f>
        <v>1e-12</v>
      </c>
      <c r="H190" s="63">
        <f ca="1">H$63</f>
        <v>1e-12</v>
      </c>
      <c r="I190" s="63">
        <f ca="1">I$63</f>
        <v>1e-12</v>
      </c>
      <c r="J190" s="63">
        <f ca="1">J$63</f>
        <v>2023</v>
      </c>
      <c r="K190" s="63">
        <f ca="1">K$63</f>
        <v>1e-12</v>
      </c>
      <c r="L190" s="63">
        <f ca="1">L$63</f>
        <v>1e-12</v>
      </c>
      <c r="M190" s="63">
        <f ca="1">M$63</f>
        <v>1e-12</v>
      </c>
      <c r="N190" s="63">
        <f ca="1">N$63</f>
        <v>1e-12</v>
      </c>
      <c r="O190" s="63">
        <f ca="1">O$63</f>
        <v>2024</v>
      </c>
      <c r="P190" s="63">
        <f ca="1">P$63</f>
        <v>1e-12</v>
      </c>
      <c r="Q190" s="63">
        <f ca="1">Q$63</f>
        <v>1e-12</v>
      </c>
      <c r="R190" s="63">
        <f ca="1">R$63</f>
        <v>1e-12</v>
      </c>
      <c r="S190" s="63">
        <f ca="1">S$63</f>
        <v>1e-12</v>
      </c>
      <c r="T190" s="63">
        <f ca="1">T$63</f>
        <v>2025</v>
      </c>
      <c r="U190" s="63">
        <f ca="1">U$63</f>
        <v>1e-12</v>
      </c>
      <c r="V190" s="63" t="str">
        <f ca="1">V$63</f>
        <v>2Q26</v>
      </c>
      <c r="W190" s="63" t="str">
        <f ca="1">W$63</f>
        <v>3Q26e</v>
      </c>
      <c r="X190" s="63" t="str">
        <f ca="1">X$63</f>
        <v>4Q26e</v>
      </c>
      <c r="Y190" s="63" t="str">
        <f ca="1">Y$63</f>
        <v>2026e</v>
      </c>
      <c r="Z190" s="63" t="str">
        <f ca="1">Z$63</f>
        <v>1Q27e</v>
      </c>
      <c r="AA190" s="63" t="str">
        <f ca="1">AA$63</f>
        <v>2Q27e</v>
      </c>
      <c r="AB190" s="63" t="str">
        <f ca="1">AB$63</f>
        <v>3Q27e</v>
      </c>
      <c r="AC190" s="63" t="str">
        <f ca="1">AC$63</f>
        <v>4Q27e</v>
      </c>
      <c r="AD190" s="63" t="str">
        <f ca="1">AD$63</f>
        <v>2027e</v>
      </c>
      <c r="AE190" s="63" t="str">
        <f ca="1">AE$63</f>
        <v>2028e</v>
      </c>
      <c r="AF190" s="63" t="str">
        <f ca="1">AF$63</f>
        <v>2029e</v>
      </c>
      <c r="AG190" s="64" t="str">
        <f ca="1">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 ca="1">W196</f>
        <v>18925</v>
      </c>
      <c r="Y192" s="282">
        <f ca="1">U192</f>
        <v>1e-12</v>
      </c>
      <c r="Z192" s="281">
        <f t="shared" ref="Z192:AC192" si="328" ca="1">Y196</f>
        <v>18963.9382</v>
      </c>
      <c r="AA192" s="281">
        <f ca="1">Z196</f>
        <v>19248.6551535</v>
      </c>
      <c r="AB192" s="281">
        <f ca="1">AA196</f>
        <v>19556.13592455375</v>
      </c>
      <c r="AC192" s="281">
        <f ca="1">AB196</f>
        <v>19652.04946651726</v>
      </c>
      <c r="AD192" s="282">
        <f ca="1">Y196</f>
        <v>18963.9382</v>
      </c>
      <c r="AE192" s="282">
        <f t="shared" ref="AE192:AG192" si="329" ca="1">AD196</f>
        <v>19724.377225464246</v>
      </c>
      <c r="AF192" s="282">
        <f ca="1">AE196</f>
        <v>20451.053220703907</v>
      </c>
      <c r="AG192" s="282">
        <f ca="1">AF196</f>
        <v>21168.345167395775</v>
      </c>
      <c r="AH192" s="16"/>
      <c r="AI192" s="16"/>
      <c r="AJ192" s="16"/>
      <c r="AK192" s="16"/>
    </row>
    <row r="193" ht="13.5" customHeight="1" spans="1:37" x14ac:dyDescent="0.25">
      <c r="A193" s="264"/>
      <c r="B193" s="16"/>
      <c r="C193" s="139" t="s">
        <v>121</v>
      </c>
      <c r="D193" s="16"/>
      <c r="E193" s="16"/>
      <c r="F193" s="413"/>
      <c r="G193" s="413"/>
      <c r="H193" s="413"/>
      <c r="I193" s="413"/>
      <c r="J193" s="329">
        <f t="shared" ref="J193:J195" si="330" ca="1">SUM(F193:I193)</f>
        <v>1e-12</v>
      </c>
      <c r="K193" s="413"/>
      <c r="L193" s="413"/>
      <c r="M193" s="413"/>
      <c r="N193" s="413"/>
      <c r="O193" s="329">
        <f t="shared" ref="O193:O195" si="331" ca="1">SUM(K193:N193)</f>
        <v>1e-12</v>
      </c>
      <c r="P193" s="413"/>
      <c r="Q193" s="413"/>
      <c r="R193" s="413"/>
      <c r="S193" s="413"/>
      <c r="T193" s="329">
        <f t="shared" ref="T193:T195" si="332" ca="1">SUM(P193:S193)</f>
        <v>1e-12</v>
      </c>
      <c r="U193" s="413"/>
      <c r="V193" s="413">
        <f ca="1">846-U193</f>
        <v>385</v>
      </c>
      <c r="W193" s="413">
        <f ca="1">1256-SUM(U193:V193)</f>
        <v>410</v>
      </c>
      <c r="X193" s="330">
        <f ca="1">X200*X28</f>
        <v>370.1257</v>
      </c>
      <c r="Y193" s="329">
        <f t="shared" ref="Y193:Y195" si="333" ca="1">SUM(U193:X193)</f>
        <v>1626.1257</v>
      </c>
      <c r="Z193" s="330">
        <f t="shared" ref="Z193:AC193" si="334" ca="1">Z200*Z28</f>
        <v>616.585872</v>
      </c>
      <c r="AA193" s="330">
        <f ca="1">AA200*AA28</f>
        <v>644.3322362399999</v>
      </c>
      <c r="AB193" s="330">
        <f ca="1">AB200*AB28</f>
        <v>438.14592064320004</v>
      </c>
      <c r="AC193" s="330">
        <f ca="1">AC200*AC28</f>
        <v>416.23862461104</v>
      </c>
      <c r="AD193" s="329">
        <f t="shared" ref="AD193:AD195" si="335" ca="1">SUM(Z193:AC193)</f>
        <v>2115.30265349424</v>
      </c>
      <c r="AE193" s="329">
        <f t="shared" ref="AE193:AG193" si="336" ca="1">AE200*AE28</f>
        <v>2146.8311554730876</v>
      </c>
      <c r="AF193" s="329">
        <f ca="1">AF200*AF28</f>
        <v>2189.7677785825495</v>
      </c>
      <c r="AG193" s="329">
        <f ca="1">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 ca="1">SUM(F194:I194)</f>
        <v>1e-12</v>
      </c>
      <c r="K194" s="358"/>
      <c r="L194" s="358"/>
      <c r="M194" s="358"/>
      <c r="N194" s="358"/>
      <c r="O194" s="366">
        <f ca="1">SUM(K194:N194)</f>
        <v>1e-12</v>
      </c>
      <c r="P194" s="358"/>
      <c r="Q194" s="358"/>
      <c r="R194" s="358"/>
      <c r="S194" s="358"/>
      <c r="T194" s="366">
        <f ca="1">SUM(P194:S194)</f>
        <v>1e-12</v>
      </c>
      <c r="U194" s="358"/>
      <c r="V194" s="358">
        <f ca="1">-409+207</f>
        <v>-202</v>
      </c>
      <c r="W194" s="358">
        <f ca="1">-425+216</f>
        <v>-209</v>
      </c>
      <c r="X194" s="359">
        <f ca="1">-X201*X192/4</f>
        <v>-331.18750000000006</v>
      </c>
      <c r="Y194" s="329">
        <f ca="1">SUM(U194:X194)</f>
        <v>-1133.1875</v>
      </c>
      <c r="Z194" s="359">
        <f t="shared" ref="Z194:AC194" si="337" ca="1">-Z201*Z192/4</f>
        <v>-331.86891850000006</v>
      </c>
      <c r="AA194" s="359">
        <f ca="1">-AA201*AA192/4</f>
        <v>-336.85146518625004</v>
      </c>
      <c r="AB194" s="359">
        <f ca="1">-AB201*AB192/4</f>
        <v>-342.23237867969067</v>
      </c>
      <c r="AC194" s="359">
        <f ca="1">-AC201*AC192/4</f>
        <v>-343.91086566405204</v>
      </c>
      <c r="AD194" s="329">
        <f ca="1">SUM(Z194:AC194)</f>
        <v>-1354.863628029993</v>
      </c>
      <c r="AE194" s="162">
        <f t="shared" ref="AE194:AG194" si="338" ca="1">-AE201*AE192</f>
        <v>-1420.1551602334257</v>
      </c>
      <c r="AF194" s="162">
        <f ca="1">-AF201*AF192</f>
        <v>-1472.475831890681</v>
      </c>
      <c r="AG194" s="162">
        <f ca="1">-AG201*AG192</f>
        <v>-1524.1208520524956</v>
      </c>
      <c r="AH194" s="16"/>
      <c r="AI194" s="16"/>
      <c r="AJ194" s="16"/>
      <c r="AK194" s="16"/>
    </row>
    <row r="195" ht="13.5" customHeight="1" spans="1:37" x14ac:dyDescent="0.25">
      <c r="A195" s="264"/>
      <c r="B195" s="16"/>
      <c r="C195" s="139" t="s">
        <v>376</v>
      </c>
      <c r="D195" s="16"/>
      <c r="E195" s="16"/>
      <c r="F195" s="354"/>
      <c r="G195" s="367"/>
      <c r="H195" s="354"/>
      <c r="I195" s="354"/>
      <c r="J195" s="414">
        <f ca="1">SUM(F195:I195)</f>
        <v>1e-12</v>
      </c>
      <c r="K195" s="354"/>
      <c r="L195" s="354"/>
      <c r="M195" s="354"/>
      <c r="N195" s="354"/>
      <c r="O195" s="414">
        <f ca="1">SUM(K195:N195)</f>
        <v>1e-12</v>
      </c>
      <c r="P195" s="354"/>
      <c r="Q195" s="354"/>
      <c r="R195" s="354"/>
      <c r="S195" s="354"/>
      <c r="T195" s="414">
        <f ca="1">SUM(P195:S195)</f>
        <v>1e-12</v>
      </c>
      <c r="U195" s="354"/>
      <c r="V195" s="354">
        <f ca="1">-78-U195</f>
        <v>-14</v>
      </c>
      <c r="W195" s="354">
        <v>0</v>
      </c>
      <c r="X195" s="385">
        <f ca="1">-Drivers!X97</f>
        <v>1e-12</v>
      </c>
      <c r="Y195" s="414">
        <f ca="1">SUM(U195:X195)</f>
        <v>-78</v>
      </c>
      <c r="Z195" s="385">
        <f ca="1">-Drivers!Z97</f>
        <v>1e-12</v>
      </c>
      <c r="AA195" s="385">
        <f ca="1">-Drivers!AA97</f>
        <v>1e-12</v>
      </c>
      <c r="AB195" s="385">
        <f ca="1">-Drivers!AB97</f>
        <v>1e-12</v>
      </c>
      <c r="AC195" s="385">
        <f ca="1">-Drivers!AC97</f>
        <v>1e-12</v>
      </c>
      <c r="AD195" s="414">
        <f ca="1">SUM(Z195:AC195)</f>
        <v>1e-12</v>
      </c>
      <c r="AE195" s="391">
        <f ca="1">-Drivers!AE97</f>
        <v>1e-12</v>
      </c>
      <c r="AF195" s="391">
        <f ca="1">-Drivers!AF97</f>
        <v>1e-12</v>
      </c>
      <c r="AG195" s="391">
        <f ca="1">-Drivers!AG97</f>
        <v>1e-12</v>
      </c>
      <c r="AH195" s="16"/>
      <c r="AI195" s="16"/>
      <c r="AJ195" s="16"/>
      <c r="AK195" s="16"/>
    </row>
    <row r="196" ht="13.5" customHeight="1" spans="1:37" x14ac:dyDescent="0.25">
      <c r="A196" s="264"/>
      <c r="B196" s="16"/>
      <c r="C196" s="16" t="s">
        <v>377</v>
      </c>
      <c r="D196" s="16"/>
      <c r="E196" s="16"/>
      <c r="F196" s="353">
        <f t="shared" ref="F196:W196" si="339" ca="1">F126</f>
        <v>9848</v>
      </c>
      <c r="G196" s="353">
        <f ca="1">G126</f>
        <v>9706</v>
      </c>
      <c r="H196" s="353">
        <f ca="1">H126</f>
        <v>8860</v>
      </c>
      <c r="I196" s="353">
        <f ca="1">I126</f>
        <v>9236</v>
      </c>
      <c r="J196" s="282">
        <f ca="1">J126</f>
        <v>9236</v>
      </c>
      <c r="K196" s="353">
        <f ca="1">K126</f>
        <v>9306</v>
      </c>
      <c r="L196" s="353">
        <f ca="1">L126</f>
        <v>9508</v>
      </c>
      <c r="M196" s="353">
        <f ca="1">M126</f>
        <v>9864</v>
      </c>
      <c r="N196" s="353">
        <f ca="1">N126</f>
        <v>10303</v>
      </c>
      <c r="O196" s="282">
        <f ca="1">O126</f>
        <v>10303</v>
      </c>
      <c r="P196" s="353">
        <f ca="1">P126</f>
        <v>10431</v>
      </c>
      <c r="Q196" s="353">
        <f ca="1">Q126</f>
        <v>10784</v>
      </c>
      <c r="R196" s="353">
        <f ca="1">R126</f>
        <v>10902</v>
      </c>
      <c r="S196" s="353">
        <f ca="1">S126</f>
        <v>9613</v>
      </c>
      <c r="T196" s="282">
        <f ca="1">T126</f>
        <v>9613</v>
      </c>
      <c r="U196" s="353">
        <f ca="1">U126</f>
        <v>9522</v>
      </c>
      <c r="V196" s="353">
        <f ca="1">V126</f>
        <v>19031</v>
      </c>
      <c r="W196" s="353">
        <f ca="1">W126</f>
        <v>18925</v>
      </c>
      <c r="X196" s="281">
        <f ca="1">SUM(X192:X195)</f>
        <v>18963.9382</v>
      </c>
      <c r="Y196" s="282">
        <f ca="1">X196</f>
        <v>18963.9382</v>
      </c>
      <c r="Z196" s="281">
        <f t="shared" ref="Z196:AG196" si="340" ca="1">SUM(Z192:Z195)</f>
        <v>19248.6551535</v>
      </c>
      <c r="AA196" s="281">
        <f ca="1">SUM(AA192:AA195)</f>
        <v>19556.13592455375</v>
      </c>
      <c r="AB196" s="281">
        <f ca="1">SUM(AB192:AB195)</f>
        <v>19652.04946651726</v>
      </c>
      <c r="AC196" s="281">
        <f ca="1">SUM(AC192:AC195)</f>
        <v>19724.377225464246</v>
      </c>
      <c r="AD196" s="282">
        <f ca="1">SUM(AD192:AD195)</f>
        <v>19724.377225464246</v>
      </c>
      <c r="AE196" s="282">
        <f ca="1">SUM(AE192:AE195)</f>
        <v>20451.053220703907</v>
      </c>
      <c r="AF196" s="282">
        <f ca="1">SUM(AF192:AF195)</f>
        <v>21168.345167395775</v>
      </c>
      <c r="AG196" s="282">
        <f ca="1">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41" ca="1">F193/F28</f>
        <v>1e-12</v>
      </c>
      <c r="G200" s="410">
        <f ca="1">G193/G28</f>
        <v>1e-12</v>
      </c>
      <c r="H200" s="410">
        <f ca="1">H193/H28</f>
        <v>1e-12</v>
      </c>
      <c r="I200" s="410">
        <f ca="1">I193/I28</f>
        <v>1e-12</v>
      </c>
      <c r="J200" s="214">
        <f ca="1">J193/J28</f>
        <v>1e-12</v>
      </c>
      <c r="K200" s="410">
        <f ca="1">K193/K28</f>
        <v>1e-12</v>
      </c>
      <c r="L200" s="410">
        <f ca="1">L193/L28</f>
        <v>1e-12</v>
      </c>
      <c r="M200" s="410">
        <f ca="1">M193/M28</f>
        <v>1e-12</v>
      </c>
      <c r="N200" s="410">
        <f ca="1">N193/N28</f>
        <v>1e-12</v>
      </c>
      <c r="O200" s="214">
        <f ca="1">O193/O28</f>
        <v>1e-12</v>
      </c>
      <c r="P200" s="410">
        <f ca="1">P193/P28</f>
        <v>1e-12</v>
      </c>
      <c r="Q200" s="410">
        <f ca="1">Q193/Q28</f>
        <v>1e-12</v>
      </c>
      <c r="R200" s="410">
        <f ca="1">R193/R28</f>
        <v>1e-12</v>
      </c>
      <c r="S200" s="410">
        <f ca="1">S193/S28</f>
        <v>1e-12</v>
      </c>
      <c r="T200" s="214">
        <f ca="1">T193/T28</f>
        <v>1e-12</v>
      </c>
      <c r="U200" s="410">
        <f ca="1">U193/U28</f>
        <v>1e-12</v>
      </c>
      <c r="V200" s="410">
        <f ca="1">V193/V28</f>
        <v>0.013964454116793616</v>
      </c>
      <c r="W200" s="410">
        <f ca="1">W193/W28</f>
        <v>0.017889868225848676</v>
      </c>
      <c r="X200" s="411">
        <f ca="1">Drivers!X92</f>
        <v>0.017</v>
      </c>
      <c r="Y200" s="214">
        <f ca="1">Y193/Y28</f>
        <v>0.016819304711006483</v>
      </c>
      <c r="Z200" s="411">
        <f ca="1">Drivers!Z92</f>
        <v>0.024</v>
      </c>
      <c r="AA200" s="411">
        <f ca="1">Drivers!AA92</f>
        <v>0.022</v>
      </c>
      <c r="AB200" s="411">
        <f ca="1">Drivers!AB92</f>
        <v>0.017</v>
      </c>
      <c r="AC200" s="411">
        <f ca="1">Drivers!AC92</f>
        <v>0.017</v>
      </c>
      <c r="AD200" s="214">
        <f ca="1">AD193/AD28</f>
        <v>0.02010040427318712</v>
      </c>
      <c r="AE200" s="412">
        <f ca="1">Drivers!AE92</f>
        <v>0.02</v>
      </c>
      <c r="AF200" s="412">
        <f ca="1">Drivers!AF92</f>
        <v>0.02</v>
      </c>
      <c r="AG200" s="412">
        <f ca="1">Drivers!AG92</f>
        <v>0.021</v>
      </c>
      <c r="AH200" s="16"/>
      <c r="AI200" s="16"/>
      <c r="AJ200" s="16"/>
      <c r="AK200" s="16"/>
    </row>
    <row r="201" ht="13.5" customHeight="1" spans="1:37" x14ac:dyDescent="0.25">
      <c r="A201" s="264"/>
      <c r="B201" s="16"/>
      <c r="C201" s="16" t="s">
        <v>379</v>
      </c>
      <c r="D201" s="16"/>
      <c r="E201" s="16"/>
      <c r="F201" s="410"/>
      <c r="G201" s="410">
        <f t="shared" ref="G201:I201" si="342" ca="1">-G194*4/AVERAGE(F196:G196)</f>
        <v>0.07136946628051304</v>
      </c>
      <c r="H201" s="410">
        <f ca="1">-H194*4/AVERAGE(G196:H196)</f>
        <v>0.09093056831605198</v>
      </c>
      <c r="I201" s="410">
        <f ca="1">-I194*4/AVERAGE(H196:I196)</f>
        <v>0.07260072279480659</v>
      </c>
      <c r="J201" s="214">
        <f ca="1">-J194/AVERAGE(F196:I196)</f>
        <v>0.07770923487708314</v>
      </c>
      <c r="K201" s="410">
        <f t="shared" ref="K201:N201" si="343" ca="1">-K194*4/AVERAGE(J196:K196)</f>
        <v>0.06604340932699142</v>
      </c>
      <c r="L201" s="410">
        <f ca="1">-L194*4/AVERAGE(K196:L196)</f>
        <v>0.06844001870547135</v>
      </c>
      <c r="M201" s="410">
        <f ca="1">-M194*4/AVERAGE(L196:M196)</f>
        <v>0.06780773226882485</v>
      </c>
      <c r="N201" s="410">
        <f ca="1">-N194*4/AVERAGE(M196:N196)</f>
        <v>0.07321814254859611</v>
      </c>
      <c r="O201" s="214">
        <f ca="1">-O194/AVERAGE(J196,O196)</f>
        <v>0.06803051130697285</v>
      </c>
      <c r="P201" s="410">
        <f t="shared" ref="P201:S201" si="344" ca="1">-P194*4/AVERAGE(O196:P196)</f>
        <v>0.07016411084207694</v>
      </c>
      <c r="Q201" s="410">
        <f ca="1">-Q194*4/AVERAGE(P196:Q196)</f>
        <v>0.0704874302804947</v>
      </c>
      <c r="R201" s="410">
        <f ca="1">-R194*4/AVERAGE(Q196:R196)</f>
        <v>0.07614961791124816</v>
      </c>
      <c r="S201" s="410">
        <f ca="1">-S194*4/AVERAGE(R196:S196)</f>
        <v>0.07487401007919367</v>
      </c>
      <c r="T201" s="214">
        <f ca="1">-T194/AVERAGE(O196,T196)</f>
        <v>0.06712118302285384</v>
      </c>
      <c r="U201" s="410">
        <f t="shared" ref="U201:W201" si="345" ca="1">-U194*4/AVERAGE(T196:U196)</f>
        <v>0.07439471055510631</v>
      </c>
      <c r="V201" s="410">
        <f ca="1">-V194*4/AVERAGE(U196:V196)</f>
        <v>0.042425833552113414</v>
      </c>
      <c r="W201" s="410">
        <f ca="1">-W194*4/AVERAGE(V196:W196)</f>
        <v>0.04405100642849615</v>
      </c>
      <c r="X201" s="411">
        <f ca="1">Drivers!X72</f>
        <v>0.07</v>
      </c>
      <c r="Y201" s="214">
        <f ca="1">-Y194/AVERAGE(T196,Y196)</f>
        <v>0.054024417503968955</v>
      </c>
      <c r="Z201" s="411">
        <f ca="1">Drivers!Z72</f>
        <v>0.07</v>
      </c>
      <c r="AA201" s="411">
        <f ca="1">Drivers!AA72</f>
        <v>0.07</v>
      </c>
      <c r="AB201" s="411">
        <f ca="1">Drivers!AB72</f>
        <v>0.07</v>
      </c>
      <c r="AC201" s="411">
        <f ca="1">Drivers!AC72</f>
        <v>0.07</v>
      </c>
      <c r="AD201" s="214">
        <f ca="1">-AD194/AVERAGE(Y196,AD196)</f>
        <v>0.07003993909428458</v>
      </c>
      <c r="AE201" s="412">
        <f ca="1">Drivers!AE72</f>
        <v>0.072</v>
      </c>
      <c r="AF201" s="412">
        <f ca="1">Drivers!AF72</f>
        <v>0.072</v>
      </c>
      <c r="AG201" s="412">
        <f ca="1">Drivers!AG72</f>
        <v>0.072</v>
      </c>
      <c r="AH201" s="16"/>
      <c r="AI201" s="16"/>
      <c r="AJ201" s="16"/>
      <c r="AK201" s="16"/>
    </row>
    <row r="202" ht="13.5" customHeight="1" spans="1:37" x14ac:dyDescent="0.25">
      <c r="A202" s="264"/>
      <c r="B202" s="16"/>
      <c r="C202" s="16" t="s">
        <v>380</v>
      </c>
      <c r="D202" s="16"/>
      <c r="E202" s="16"/>
      <c r="F202" s="410">
        <f t="shared" ref="F202:AG202" si="346" ca="1">-F194/F28</f>
        <v>1e-12</v>
      </c>
      <c r="G202" s="410">
        <f ca="1">-G194/G28</f>
        <v>1e-12</v>
      </c>
      <c r="H202" s="410">
        <f ca="1">-H194/H28</f>
        <v>1e-12</v>
      </c>
      <c r="I202" s="410">
        <f ca="1">-I194/I28</f>
        <v>1e-12</v>
      </c>
      <c r="J202" s="214">
        <f ca="1">-J194/J28</f>
        <v>1e-12</v>
      </c>
      <c r="K202" s="410">
        <f ca="1">-K194/K28</f>
        <v>1e-12</v>
      </c>
      <c r="L202" s="410">
        <f ca="1">-L194/L28</f>
        <v>1e-12</v>
      </c>
      <c r="M202" s="410">
        <f ca="1">-M194/M28</f>
        <v>1e-12</v>
      </c>
      <c r="N202" s="410">
        <f ca="1">-N194/N28</f>
        <v>1e-12</v>
      </c>
      <c r="O202" s="214">
        <f ca="1">-O194/O28</f>
        <v>1e-12</v>
      </c>
      <c r="P202" s="410">
        <f ca="1">-P194/P28</f>
        <v>1e-12</v>
      </c>
      <c r="Q202" s="410">
        <f ca="1">-Q194/Q28</f>
        <v>1e-12</v>
      </c>
      <c r="R202" s="410">
        <f ca="1">-R194/R28</f>
        <v>1e-12</v>
      </c>
      <c r="S202" s="410">
        <f ca="1">-S194/S28</f>
        <v>1e-12</v>
      </c>
      <c r="T202" s="214">
        <f ca="1">-T194/T28</f>
        <v>1e-12</v>
      </c>
      <c r="U202" s="410">
        <f ca="1">-U194/U28</f>
        <v>1e-12</v>
      </c>
      <c r="V202" s="410">
        <f ca="1">-V194/V28</f>
        <v>0.007326804497642365</v>
      </c>
      <c r="W202" s="410">
        <f ca="1">-W194/W28</f>
        <v>0.009119469412688716</v>
      </c>
      <c r="X202" s="415">
        <f ca="1">-X194/X28</f>
        <v>0.015211555155451245</v>
      </c>
      <c r="Y202" s="214">
        <f ca="1">-Y194/Y28</f>
        <v>0.011720758030700615</v>
      </c>
      <c r="Z202" s="415">
        <f ca="1">-Z194/Z28</f>
        <v>0.012917671983246483</v>
      </c>
      <c r="AA202" s="415">
        <f ca="1">-AA194/AA28</f>
        <v>0.011501414669771639</v>
      </c>
      <c r="AB202" s="415">
        <f ca="1">-AB194/AB28</f>
        <v>0.013278568083012084</v>
      </c>
      <c r="AC202" s="415">
        <f ca="1">-AC194/AC28</f>
        <v>0.014045992780588814</v>
      </c>
      <c r="AD202" s="214">
        <f ca="1">-AD194/AD28</f>
        <v>0.012874425611603874</v>
      </c>
      <c r="AE202" s="214">
        <f ca="1">-AE194/AE28</f>
        <v>0.013230245486357053</v>
      </c>
      <c r="AF202" s="214">
        <f ca="1">-AF194/AF28</f>
        <v>0.01344869393268563</v>
      </c>
      <c r="AG202" s="214">
        <f ca="1">-AG194/AG28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 ca="1">F$25</f>
        <v>1e-12</v>
      </c>
      <c r="G204" s="63">
        <f t="shared" ref="G204:AG204" si="347" ca="1">G$63</f>
        <v>1e-12</v>
      </c>
      <c r="H204" s="63">
        <f ca="1">H$63</f>
        <v>1e-12</v>
      </c>
      <c r="I204" s="63">
        <f ca="1">I$63</f>
        <v>1e-12</v>
      </c>
      <c r="J204" s="63">
        <f ca="1">J$63</f>
        <v>2023</v>
      </c>
      <c r="K204" s="63">
        <f ca="1">K$63</f>
        <v>1e-12</v>
      </c>
      <c r="L204" s="63">
        <f ca="1">L$63</f>
        <v>1e-12</v>
      </c>
      <c r="M204" s="63">
        <f ca="1">M$63</f>
        <v>1e-12</v>
      </c>
      <c r="N204" s="63">
        <f ca="1">N$63</f>
        <v>1e-12</v>
      </c>
      <c r="O204" s="63">
        <f ca="1">O$63</f>
        <v>2024</v>
      </c>
      <c r="P204" s="63">
        <f ca="1">P$63</f>
        <v>1e-12</v>
      </c>
      <c r="Q204" s="63">
        <f ca="1">Q$63</f>
        <v>1e-12</v>
      </c>
      <c r="R204" s="63">
        <f ca="1">R$63</f>
        <v>1e-12</v>
      </c>
      <c r="S204" s="63">
        <f ca="1">S$63</f>
        <v>1e-12</v>
      </c>
      <c r="T204" s="63">
        <f ca="1">T$63</f>
        <v>2025</v>
      </c>
      <c r="U204" s="63">
        <f ca="1">U$63</f>
        <v>1e-12</v>
      </c>
      <c r="V204" s="63" t="str">
        <f ca="1">V$63</f>
        <v>2Q26</v>
      </c>
      <c r="W204" s="63" t="str">
        <f ca="1">W$63</f>
        <v>3Q26e</v>
      </c>
      <c r="X204" s="63" t="str">
        <f ca="1">X$63</f>
        <v>4Q26e</v>
      </c>
      <c r="Y204" s="63" t="str">
        <f ca="1">Y$63</f>
        <v>2026e</v>
      </c>
      <c r="Z204" s="63" t="str">
        <f ca="1">Z$63</f>
        <v>1Q27e</v>
      </c>
      <c r="AA204" s="63" t="str">
        <f ca="1">AA$63</f>
        <v>2Q27e</v>
      </c>
      <c r="AB204" s="63" t="str">
        <f ca="1">AB$63</f>
        <v>3Q27e</v>
      </c>
      <c r="AC204" s="63" t="str">
        <f ca="1">AC$63</f>
        <v>4Q27e</v>
      </c>
      <c r="AD204" s="63" t="str">
        <f ca="1">AD$63</f>
        <v>2027e</v>
      </c>
      <c r="AE204" s="63" t="str">
        <f ca="1">AE$63</f>
        <v>2028e</v>
      </c>
      <c r="AF204" s="63" t="str">
        <f ca="1">AF$63</f>
        <v>2029e</v>
      </c>
      <c r="AG204" s="64" t="str">
        <f ca="1">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48" ca="1">E210</f>
        <v>1e-12</v>
      </c>
      <c r="G206" s="353">
        <f ca="1">F210</f>
        <v>1e-12</v>
      </c>
      <c r="H206" s="353">
        <f ca="1">G210</f>
        <v>1e-12</v>
      </c>
      <c r="I206" s="353">
        <f ca="1">H210</f>
        <v>1e-12</v>
      </c>
      <c r="J206" s="282">
        <f ca="1">F206</f>
        <v>1e-12</v>
      </c>
      <c r="K206" s="353">
        <f t="shared" ref="K206:N206" si="349" ca="1">J210</f>
        <v>355</v>
      </c>
      <c r="L206" s="353">
        <f ca="1">K210</f>
        <v>1e-12</v>
      </c>
      <c r="M206" s="353">
        <f ca="1">L210</f>
        <v>1e-12</v>
      </c>
      <c r="N206" s="353">
        <f ca="1">M210</f>
        <v>1e-12</v>
      </c>
      <c r="O206" s="282">
        <f ca="1">K206</f>
        <v>355</v>
      </c>
      <c r="P206" s="353">
        <f t="shared" ref="P206:S206" si="350" ca="1">O210</f>
        <v>1e-12</v>
      </c>
      <c r="Q206" s="353">
        <f ca="1">P210</f>
        <v>1e-12</v>
      </c>
      <c r="R206" s="353">
        <f ca="1">Q210</f>
        <v>1e-12</v>
      </c>
      <c r="S206" s="353">
        <f ca="1">R210</f>
        <v>1e-12</v>
      </c>
      <c r="T206" s="282">
        <f ca="1">P206</f>
        <v>1e-12</v>
      </c>
      <c r="U206" s="353">
        <f t="shared" ref="U206:X206" si="351" ca="1">T210</f>
        <v>1e-12</v>
      </c>
      <c r="V206" s="353">
        <f ca="1">U210</f>
        <v>1e-12</v>
      </c>
      <c r="W206" s="353">
        <f ca="1">V210</f>
        <v>1e-12</v>
      </c>
      <c r="X206" s="281">
        <f ca="1">W210</f>
        <v>1e-12</v>
      </c>
      <c r="Y206" s="282">
        <f ca="1">U206</f>
        <v>1e-12</v>
      </c>
      <c r="Z206" s="281">
        <f t="shared" ref="Z206:AC206" si="352" ca="1">Y210</f>
        <v>1e-12</v>
      </c>
      <c r="AA206" s="281">
        <f ca="1">Z210</f>
        <v>1e-12</v>
      </c>
      <c r="AB206" s="281">
        <f ca="1">AA210</f>
        <v>1e-12</v>
      </c>
      <c r="AC206" s="281">
        <f ca="1">AB210</f>
        <v>1e-12</v>
      </c>
      <c r="AD206" s="282">
        <f ca="1">Z206</f>
        <v>1e-12</v>
      </c>
      <c r="AE206" s="282">
        <f t="shared" ref="AE206:AG206" si="353" ca="1">AD210</f>
        <v>1e-12</v>
      </c>
      <c r="AF206" s="282">
        <f ca="1">AE210</f>
        <v>1e-12</v>
      </c>
      <c r="AG206" s="282">
        <f ca="1">AF210</f>
        <v>1e-12</v>
      </c>
      <c r="AH206" s="282"/>
      <c r="AI206" s="16"/>
      <c r="AJ206" s="16"/>
      <c r="AK206" s="16"/>
    </row>
    <row r="207" ht="13.5" customHeight="1" spans="1:37" x14ac:dyDescent="0.25">
      <c r="A207" s="264"/>
      <c r="B207" s="16"/>
      <c r="C207" s="139" t="s">
        <v>305</v>
      </c>
      <c r="D207" s="16"/>
      <c r="E207" s="16"/>
      <c r="F207" s="413"/>
      <c r="G207" s="413"/>
      <c r="H207" s="413"/>
      <c r="I207" s="413"/>
      <c r="J207" s="329">
        <f t="shared" ref="J207:J209" si="354" ca="1">SUM(F207:I207)</f>
        <v>1e-12</v>
      </c>
      <c r="K207" s="413"/>
      <c r="L207" s="413"/>
      <c r="M207" s="413"/>
      <c r="N207" s="413"/>
      <c r="O207" s="329">
        <f t="shared" ref="O207:O209" si="355" ca="1">SUM(K207:N207)</f>
        <v>1e-12</v>
      </c>
      <c r="P207" s="413"/>
      <c r="Q207" s="413"/>
      <c r="R207" s="413"/>
      <c r="S207" s="413"/>
      <c r="T207" s="329">
        <f t="shared" ref="T207:T209" si="356" ca="1">SUM(P207:S207)</f>
        <v>1e-12</v>
      </c>
      <c r="U207" s="413"/>
      <c r="V207" s="413">
        <v>0</v>
      </c>
      <c r="W207" s="413">
        <v>0</v>
      </c>
      <c r="X207" s="417">
        <f ca="1">W207</f>
        <v>1e-12</v>
      </c>
      <c r="Y207" s="329">
        <f t="shared" ref="Y207:Y209" si="357" ca="1">SUM(U207:X207)</f>
        <v>1e-12</v>
      </c>
      <c r="Z207" s="417">
        <f t="shared" ref="Z207:AC207" si="358" ca="1">Y207</f>
        <v>1e-12</v>
      </c>
      <c r="AA207" s="417">
        <f ca="1">Z207</f>
        <v>1e-12</v>
      </c>
      <c r="AB207" s="417">
        <f ca="1">AA207</f>
        <v>1e-12</v>
      </c>
      <c r="AC207" s="417">
        <f ca="1">AB207</f>
        <v>1e-12</v>
      </c>
      <c r="AD207" s="329">
        <f t="shared" ref="AD207:AD209" si="359" ca="1">SUM(Z207:AC207)</f>
        <v>1e-12</v>
      </c>
      <c r="AE207" s="418">
        <f t="shared" ref="AE207:AG207" si="360" ca="1">AD207</f>
        <v>1e-12</v>
      </c>
      <c r="AF207" s="418">
        <f ca="1">AE207</f>
        <v>1e-12</v>
      </c>
      <c r="AG207" s="418">
        <f ca="1">AF207</f>
        <v>1e-12</v>
      </c>
      <c r="AH207" s="16"/>
      <c r="AI207" s="16"/>
      <c r="AJ207" s="16"/>
      <c r="AK207" s="16"/>
    </row>
    <row r="208" ht="13.5" customHeight="1" spans="1:37" x14ac:dyDescent="0.25">
      <c r="A208" s="264"/>
      <c r="B208" s="16"/>
      <c r="C208" s="139" t="s">
        <v>383</v>
      </c>
      <c r="D208" s="16"/>
      <c r="E208" s="16"/>
      <c r="F208" s="328">
        <f t="shared" ref="F208:I208" si="361" ca="1">F34-F194</f>
        <v>1e-12</v>
      </c>
      <c r="G208" s="328">
        <f ca="1">G34-G194</f>
        <v>1e-12</v>
      </c>
      <c r="H208" s="328">
        <f ca="1">H34-H194</f>
        <v>1e-12</v>
      </c>
      <c r="I208" s="328">
        <f ca="1">I34-I194</f>
        <v>-1477</v>
      </c>
      <c r="J208" s="329">
        <f ca="1">SUM(F208:I208)</f>
        <v>-1477</v>
      </c>
      <c r="K208" s="328">
        <f t="shared" ref="K208:N208" si="362" ca="1">K34-K194</f>
        <v>1e-12</v>
      </c>
      <c r="L208" s="328">
        <f ca="1">L34-L194</f>
        <v>1e-12</v>
      </c>
      <c r="M208" s="328">
        <f ca="1">M34-M194</f>
        <v>1e-12</v>
      </c>
      <c r="N208" s="328">
        <f ca="1">N34-N194</f>
        <v>1e-12</v>
      </c>
      <c r="O208" s="329">
        <f ca="1">SUM(K208:N208)</f>
        <v>1e-12</v>
      </c>
      <c r="P208" s="328">
        <f t="shared" ref="P208:S208" si="363" ca="1">P34-P194</f>
        <v>1e-12</v>
      </c>
      <c r="Q208" s="328">
        <f ca="1">Q34-Q194</f>
        <v>1e-12</v>
      </c>
      <c r="R208" s="328">
        <f ca="1">R34-R194</f>
        <v>1e-12</v>
      </c>
      <c r="S208" s="328">
        <f ca="1">S34-S194</f>
        <v>1e-12</v>
      </c>
      <c r="T208" s="329">
        <f ca="1">SUM(P208:S208)</f>
        <v>1e-12</v>
      </c>
      <c r="U208" s="328">
        <f t="shared" ref="U208:W208" si="364" ca="1">U34-U194</f>
        <v>1e-12</v>
      </c>
      <c r="V208" s="328">
        <f ca="1">V34-V194</f>
        <v>-207</v>
      </c>
      <c r="W208" s="328">
        <f ca="1">W34-W194</f>
        <v>-216</v>
      </c>
      <c r="X208" s="330">
        <f ca="1">X214*X206/4</f>
        <v>1e-12</v>
      </c>
      <c r="Y208" s="329">
        <f ca="1">SUM(U208:X208)</f>
        <v>-423</v>
      </c>
      <c r="Z208" s="330">
        <f t="shared" ref="Z208:AC208" si="365" ca="1">Z214*Z206/4</f>
        <v>1e-12</v>
      </c>
      <c r="AA208" s="330">
        <f ca="1">AA214*AA206/4</f>
        <v>1e-12</v>
      </c>
      <c r="AB208" s="330">
        <f ca="1">AB214*AB206/4</f>
        <v>1e-12</v>
      </c>
      <c r="AC208" s="330">
        <f ca="1">AC214*AC206/4</f>
        <v>1e-12</v>
      </c>
      <c r="AD208" s="329">
        <f ca="1">SUM(Z208:AC208)</f>
        <v>1e-12</v>
      </c>
      <c r="AE208" s="329">
        <f t="shared" ref="AE208:AG208" si="366" ca="1">AE214*AE206</f>
        <v>1e-12</v>
      </c>
      <c r="AF208" s="329">
        <f ca="1">AF214*AF206</f>
        <v>1e-12</v>
      </c>
      <c r="AG208" s="329">
        <f ca="1">AG214*AG206</f>
        <v>1e-12</v>
      </c>
      <c r="AH208" s="16"/>
      <c r="AI208" s="16"/>
      <c r="AJ208" s="16"/>
      <c r="AK208" s="16"/>
    </row>
    <row r="209" ht="13.5" customHeight="1" spans="1:37" x14ac:dyDescent="0.25">
      <c r="A209" s="264"/>
      <c r="B209" s="16"/>
      <c r="C209" s="139" t="s">
        <v>384</v>
      </c>
      <c r="D209" s="16"/>
      <c r="E209" s="16"/>
      <c r="F209" s="419"/>
      <c r="G209" s="419"/>
      <c r="H209" s="419"/>
      <c r="I209" s="419"/>
      <c r="J209" s="414">
        <f ca="1">SUM(F209:I209)</f>
        <v>1e-12</v>
      </c>
      <c r="K209" s="419"/>
      <c r="L209" s="419"/>
      <c r="M209" s="419"/>
      <c r="N209" s="419"/>
      <c r="O209" s="414">
        <f ca="1">SUM(K209:N209)</f>
        <v>1e-12</v>
      </c>
      <c r="P209" s="419"/>
      <c r="Q209" s="419"/>
      <c r="R209" s="419"/>
      <c r="S209" s="419"/>
      <c r="T209" s="414">
        <f ca="1">SUM(P209:S209)</f>
        <v>1e-12</v>
      </c>
      <c r="U209" s="419"/>
      <c r="V209" s="419">
        <v>0</v>
      </c>
      <c r="W209" s="419">
        <v>0</v>
      </c>
      <c r="X209" s="420">
        <f ca="1">W209</f>
        <v>1e-12</v>
      </c>
      <c r="Y209" s="414">
        <f ca="1">SUM(U209:X209)</f>
        <v>1e-12</v>
      </c>
      <c r="Z209" s="420">
        <f t="shared" ref="Z209:AC209" si="367" ca="1">Y209</f>
        <v>1e-12</v>
      </c>
      <c r="AA209" s="420">
        <f ca="1">Z209</f>
        <v>1e-12</v>
      </c>
      <c r="AB209" s="420">
        <f ca="1">AA209</f>
        <v>1e-12</v>
      </c>
      <c r="AC209" s="420">
        <f ca="1">AB209</f>
        <v>1e-12</v>
      </c>
      <c r="AD209" s="414">
        <f ca="1">SUM(Z209:AC209)</f>
        <v>1e-12</v>
      </c>
      <c r="AE209" s="421">
        <f t="shared" ref="AE209:AG209" si="368" ca="1">AD209</f>
        <v>1e-12</v>
      </c>
      <c r="AF209" s="421">
        <f ca="1">AE209</f>
        <v>1e-12</v>
      </c>
      <c r="AG209" s="421">
        <f ca="1">AF209</f>
        <v>1e-12</v>
      </c>
      <c r="AH209" s="16"/>
      <c r="AI209" s="16"/>
      <c r="AJ209" s="16"/>
      <c r="AK209" s="16"/>
    </row>
    <row r="210" ht="13.5" customHeight="1" spans="1:37" x14ac:dyDescent="0.25">
      <c r="A210" s="264"/>
      <c r="B210" s="16"/>
      <c r="C210" s="16" t="s">
        <v>385</v>
      </c>
      <c r="D210" s="16"/>
      <c r="E210" s="16"/>
      <c r="F210" s="353">
        <f t="shared" ref="F210:W210" si="369" ca="1">F127</f>
        <v>1e-12</v>
      </c>
      <c r="G210" s="353">
        <f ca="1">G127</f>
        <v>1e-12</v>
      </c>
      <c r="H210" s="353">
        <f ca="1">H127</f>
        <v>1e-12</v>
      </c>
      <c r="I210" s="353">
        <f ca="1">I127</f>
        <v>355</v>
      </c>
      <c r="J210" s="282">
        <f ca="1">J127</f>
        <v>355</v>
      </c>
      <c r="K210" s="353">
        <f ca="1">K127</f>
        <v>1e-12</v>
      </c>
      <c r="L210" s="353">
        <f ca="1">L127</f>
        <v>1e-12</v>
      </c>
      <c r="M210" s="353">
        <f ca="1">M127</f>
        <v>1e-12</v>
      </c>
      <c r="N210" s="353">
        <f ca="1">N127</f>
        <v>1e-12</v>
      </c>
      <c r="O210" s="282">
        <f ca="1">O127</f>
        <v>1e-12</v>
      </c>
      <c r="P210" s="353">
        <f ca="1">P127</f>
        <v>1e-12</v>
      </c>
      <c r="Q210" s="353">
        <f ca="1">Q127</f>
        <v>1e-12</v>
      </c>
      <c r="R210" s="353">
        <f ca="1">R127</f>
        <v>1e-12</v>
      </c>
      <c r="S210" s="353">
        <f ca="1">S127</f>
        <v>1e-12</v>
      </c>
      <c r="T210" s="282">
        <f ca="1">T127</f>
        <v>1e-12</v>
      </c>
      <c r="U210" s="353">
        <f ca="1">U127</f>
        <v>1e-12</v>
      </c>
      <c r="V210" s="353">
        <f ca="1">V127</f>
        <v>1e-12</v>
      </c>
      <c r="W210" s="353">
        <f ca="1">W127</f>
        <v>1e-12</v>
      </c>
      <c r="X210" s="281">
        <f ca="1">SUM(X206:X209)</f>
        <v>1e-12</v>
      </c>
      <c r="Y210" s="282">
        <f ca="1">X210</f>
        <v>1e-12</v>
      </c>
      <c r="Z210" s="281">
        <f t="shared" ref="Z210:AC210" si="370" ca="1">SUM(Z206:Z209)</f>
        <v>1e-12</v>
      </c>
      <c r="AA210" s="281">
        <f ca="1">SUM(AA206:AA209)</f>
        <v>1e-12</v>
      </c>
      <c r="AB210" s="281">
        <f ca="1">SUM(AB206:AB209)</f>
        <v>1e-12</v>
      </c>
      <c r="AC210" s="281">
        <f ca="1">SUM(AC206:AC209)</f>
        <v>1e-12</v>
      </c>
      <c r="AD210" s="282">
        <f ca="1">AC210</f>
        <v>1e-12</v>
      </c>
      <c r="AE210" s="282">
        <f t="shared" ref="AE210:AG210" si="371" ca="1">SUM(AE206:AE209)</f>
        <v>1e-12</v>
      </c>
      <c r="AF210" s="282">
        <f ca="1">SUM(AF206:AF209)</f>
        <v>1e-12</v>
      </c>
      <c r="AG210" s="282">
        <f ca="1">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f ca="1">4*-G208/AVERAGE(F210:G210)</f>
      </c>
      <c r="H214" s="397">
        <f ca="1">4*-H208/AVERAGE(G210:H210)</f>
      </c>
      <c r="I214" s="397">
        <f ca="1">4*-I208/AVERAGE(H210:I210)</f>
      </c>
      <c r="J214" s="398">
        <f ca="1">J208/AVERAGE(F206,I210)</f>
      </c>
      <c r="K214" s="397">
        <f ca="1">4*-K208/AVERAGE(J210:K210)</f>
      </c>
      <c r="L214" s="397">
        <f ca="1">4*-L208/AVERAGE(K210:L210)</f>
      </c>
      <c r="M214" s="397">
        <f ca="1">4*-M208/AVERAGE(L210:M210)</f>
      </c>
      <c r="N214" s="397">
        <f ca="1">4*-N208/AVERAGE(M210:N210)</f>
      </c>
      <c r="O214" s="398">
        <f ca="1">O208/AVERAGE(K206,N210)</f>
      </c>
      <c r="P214" s="397">
        <f ca="1">4*-P208/AVERAGE(O210:P210)</f>
      </c>
      <c r="Q214" s="397">
        <f ca="1">4*-Q208/AVERAGE(P210:Q210)</f>
      </c>
      <c r="R214" s="397">
        <f ca="1">4*-R208/AVERAGE(Q210:R210)</f>
      </c>
      <c r="S214" s="397">
        <f ca="1">4*-S208/AVERAGE(R210:S210)</f>
      </c>
      <c r="T214" s="398">
        <f ca="1">T208/AVERAGE(P206,S210)</f>
      </c>
      <c r="U214" s="397">
        <f ca="1">4*-U208/AVERAGE(T210:U210)</f>
      </c>
      <c r="V214" s="397">
        <f ca="1">4*-V208/AVERAGE(U210:V210)</f>
      </c>
      <c r="W214" s="397">
        <f ca="1">4*-W208/AVERAGE(V210:W210)</f>
      </c>
      <c r="X214" s="422">
        <f ca="1">Drivers!X85</f>
        <v>1e-12</v>
      </c>
      <c r="Y214" s="398">
        <f ca="1">Y208/AVERAGE(U206,X210)</f>
      </c>
      <c r="Z214" s="422">
        <f ca="1">Drivers!Z85</f>
        <v>1e-12</v>
      </c>
      <c r="AA214" s="422">
        <f ca="1">Drivers!AA85</f>
        <v>1e-12</v>
      </c>
      <c r="AB214" s="422">
        <f ca="1">Drivers!AB85</f>
        <v>1e-12</v>
      </c>
      <c r="AC214" s="422">
        <f ca="1">Drivers!AC85</f>
        <v>1e-12</v>
      </c>
      <c r="AD214" s="398">
        <f ca="1">AD208/AVERAGE(Z206,AC210)</f>
      </c>
      <c r="AE214" s="423">
        <f ca="1">Drivers!AE85</f>
        <v>1e-12</v>
      </c>
      <c r="AF214" s="423">
        <f ca="1">Drivers!AF85</f>
        <v>1e-12</v>
      </c>
      <c r="AG214" s="423">
        <f ca="1">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 ca="1">F$25</f>
        <v>1e-12</v>
      </c>
      <c r="G216" s="63">
        <f t="shared" ref="G216:AG216" si="372" ca="1">G$63</f>
        <v>1e-12</v>
      </c>
      <c r="H216" s="63">
        <f ca="1">H$63</f>
        <v>1e-12</v>
      </c>
      <c r="I216" s="63">
        <f ca="1">I$63</f>
        <v>1e-12</v>
      </c>
      <c r="J216" s="63">
        <f ca="1">J$63</f>
        <v>2023</v>
      </c>
      <c r="K216" s="63">
        <f ca="1">K$63</f>
        <v>1e-12</v>
      </c>
      <c r="L216" s="63">
        <f ca="1">L$63</f>
        <v>1e-12</v>
      </c>
      <c r="M216" s="63">
        <f ca="1">M$63</f>
        <v>1e-12</v>
      </c>
      <c r="N216" s="63">
        <f ca="1">N$63</f>
        <v>1e-12</v>
      </c>
      <c r="O216" s="63">
        <f ca="1">O$63</f>
        <v>2024</v>
      </c>
      <c r="P216" s="63">
        <f ca="1">P$63</f>
        <v>1e-12</v>
      </c>
      <c r="Q216" s="63">
        <f ca="1">Q$63</f>
        <v>1e-12</v>
      </c>
      <c r="R216" s="63">
        <f ca="1">R$63</f>
        <v>1e-12</v>
      </c>
      <c r="S216" s="63">
        <f ca="1">S$63</f>
        <v>1e-12</v>
      </c>
      <c r="T216" s="63">
        <f ca="1">T$63</f>
        <v>2025</v>
      </c>
      <c r="U216" s="63">
        <f ca="1">U$63</f>
        <v>1e-12</v>
      </c>
      <c r="V216" s="63" t="str">
        <f ca="1">V$63</f>
        <v>2Q26</v>
      </c>
      <c r="W216" s="63" t="str">
        <f ca="1">W$63</f>
        <v>3Q26e</v>
      </c>
      <c r="X216" s="63" t="str">
        <f ca="1">X$63</f>
        <v>4Q26e</v>
      </c>
      <c r="Y216" s="63" t="str">
        <f ca="1">Y$63</f>
        <v>2026e</v>
      </c>
      <c r="Z216" s="63" t="str">
        <f ca="1">Z$63</f>
        <v>1Q27e</v>
      </c>
      <c r="AA216" s="63" t="str">
        <f ca="1">AA$63</f>
        <v>2Q27e</v>
      </c>
      <c r="AB216" s="63" t="str">
        <f ca="1">AB$63</f>
        <v>3Q27e</v>
      </c>
      <c r="AC216" s="63" t="str">
        <f ca="1">AC$63</f>
        <v>4Q27e</v>
      </c>
      <c r="AD216" s="63" t="str">
        <f ca="1">AD$63</f>
        <v>2027e</v>
      </c>
      <c r="AE216" s="63" t="str">
        <f ca="1">AE$63</f>
        <v>2028e</v>
      </c>
      <c r="AF216" s="63" t="str">
        <f ca="1">AF$63</f>
        <v>2029e</v>
      </c>
      <c r="AG216" s="64" t="str">
        <f ca="1">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73" ca="1">F128</f>
        <v>18678</v>
      </c>
      <c r="G218" s="353">
        <f ca="1">G128</f>
        <v>18545</v>
      </c>
      <c r="H218" s="353">
        <f ca="1">H128</f>
        <v>18144</v>
      </c>
      <c r="I218" s="353">
        <f ca="1">I128</f>
        <v>18358</v>
      </c>
      <c r="J218" s="282">
        <f ca="1">J128</f>
        <v>18358</v>
      </c>
      <c r="K218" s="353">
        <f ca="1">K128</f>
        <v>18210</v>
      </c>
      <c r="L218" s="353">
        <f ca="1">L128</f>
        <v>18324</v>
      </c>
      <c r="M218" s="353">
        <f ca="1">M128</f>
        <v>18686</v>
      </c>
      <c r="N218" s="353">
        <f ca="1">N128</f>
        <v>18139</v>
      </c>
      <c r="O218" s="282">
        <f ca="1">O128</f>
        <v>18139</v>
      </c>
      <c r="P218" s="353">
        <f ca="1">P128</f>
        <v>18333</v>
      </c>
      <c r="Q218" s="353">
        <f ca="1">Q128</f>
        <v>18663</v>
      </c>
      <c r="R218" s="353">
        <f ca="1">R128</f>
        <v>18662</v>
      </c>
      <c r="S218" s="353">
        <f ca="1">S128</f>
        <v>15491</v>
      </c>
      <c r="T218" s="282">
        <f ca="1">T128</f>
        <v>15491</v>
      </c>
      <c r="U218" s="353">
        <f ca="1">U128</f>
        <v>15411</v>
      </c>
      <c r="V218" s="353">
        <f ca="1">V128</f>
        <v>1e-12</v>
      </c>
      <c r="W218" s="353">
        <f ca="1">W128</f>
        <v>1e-12</v>
      </c>
      <c r="X218" s="281">
        <f ca="1">Drivers!X62+W218</f>
        <v>1e-12</v>
      </c>
      <c r="Y218" s="282">
        <f t="shared" ref="Y218:Y219" si="374" ca="1">X218</f>
        <v>1e-12</v>
      </c>
      <c r="Z218" s="281">
        <f ca="1">Drivers!Z62+Y218</f>
        <v>1e-12</v>
      </c>
      <c r="AA218" s="281">
        <f ca="1">Drivers!AA62+Z218</f>
        <v>1e-12</v>
      </c>
      <c r="AB218" s="281">
        <f ca="1">Drivers!AB62+AA218</f>
        <v>1e-12</v>
      </c>
      <c r="AC218" s="281">
        <f ca="1">Drivers!AC62+AB218</f>
        <v>1e-12</v>
      </c>
      <c r="AD218" s="282">
        <f t="shared" ref="AD218:AD219" si="375" ca="1">AC218</f>
        <v>1e-12</v>
      </c>
      <c r="AE218" s="282">
        <f ca="1">Drivers!AE62+AD218</f>
        <v>1e-12</v>
      </c>
      <c r="AF218" s="282">
        <f ca="1">Drivers!AF62+AE218</f>
        <v>1e-12</v>
      </c>
      <c r="AG218" s="282">
        <f ca="1">Drivers!AG62+AF218</f>
        <v>1e-12</v>
      </c>
      <c r="AH218" s="16"/>
      <c r="AI218" s="16"/>
      <c r="AJ218" s="16"/>
      <c r="AK218" s="16"/>
    </row>
    <row r="219" ht="13.5" customHeight="1" spans="1:37" x14ac:dyDescent="0.25">
      <c r="A219" s="264"/>
      <c r="B219" s="16"/>
      <c r="C219" s="139" t="s">
        <v>338</v>
      </c>
      <c r="D219" s="16"/>
      <c r="E219" s="16"/>
      <c r="F219" s="372">
        <f t="shared" ref="F219:W219" si="376" ca="1">F129</f>
        <v>1416</v>
      </c>
      <c r="G219" s="372">
        <f ca="1">G129</f>
        <v>1179</v>
      </c>
      <c r="H219" s="372">
        <f ca="1">H129</f>
        <v>1380</v>
      </c>
      <c r="I219" s="372">
        <f ca="1">I129</f>
        <v>1545</v>
      </c>
      <c r="J219" s="355">
        <f ca="1">J129</f>
        <v>1545</v>
      </c>
      <c r="K219" s="372">
        <f ca="1">K129</f>
        <v>5431</v>
      </c>
      <c r="L219" s="372">
        <f ca="1">L129</f>
        <v>5393</v>
      </c>
      <c r="M219" s="372">
        <f ca="1">M129</f>
        <v>5428</v>
      </c>
      <c r="N219" s="372">
        <f ca="1">N129</f>
        <v>5181</v>
      </c>
      <c r="O219" s="355">
        <f ca="1">O129</f>
        <v>5181</v>
      </c>
      <c r="P219" s="372">
        <f ca="1">P129</f>
        <v>46774</v>
      </c>
      <c r="Q219" s="372">
        <f ca="1">Q129</f>
        <v>48277</v>
      </c>
      <c r="R219" s="372">
        <f ca="1">R129</f>
        <v>49234</v>
      </c>
      <c r="S219" s="372">
        <f ca="1">S129</f>
        <v>48668</v>
      </c>
      <c r="T219" s="355">
        <f ca="1">T129</f>
        <v>48668</v>
      </c>
      <c r="U219" s="372">
        <f ca="1">U129</f>
        <v>5325</v>
      </c>
      <c r="V219" s="372">
        <f ca="1">V129</f>
        <v>5290</v>
      </c>
      <c r="W219" s="372">
        <f ca="1">W129</f>
        <v>5626</v>
      </c>
      <c r="X219" s="356">
        <f ca="1">W219*(1+X232)</f>
        <v>5738.52</v>
      </c>
      <c r="Y219" s="355">
        <f ca="1">X219</f>
        <v>5738.52</v>
      </c>
      <c r="Z219" s="356">
        <f t="shared" ref="Z219:AC219" si="377" ca="1">Y219*(1+Z232)</f>
        <v>5853.290400000001</v>
      </c>
      <c r="AA219" s="356">
        <f ca="1">Z219*(1+AA232)</f>
        <v>5970.356208000001</v>
      </c>
      <c r="AB219" s="356">
        <f ca="1">AA219*(1+AB232)</f>
        <v>6089.7633321600015</v>
      </c>
      <c r="AC219" s="356">
        <f ca="1">AB219*(1+AC232)</f>
        <v>6211.558598803202</v>
      </c>
      <c r="AD219" s="355">
        <f ca="1">AC219</f>
        <v>6211.558598803202</v>
      </c>
      <c r="AE219" s="355">
        <f t="shared" ref="AE219:AG219" si="378" ca="1">AD219*(1+AE232)</f>
        <v>6335.789770779265</v>
      </c>
      <c r="AF219" s="355">
        <f ca="1">AE219*(1+AF232)</f>
        <v>6462.505566194851</v>
      </c>
      <c r="AG219" s="355">
        <f ca="1">AF219*(1+AG232)</f>
        <v>6591.755677518748</v>
      </c>
      <c r="AH219" s="16"/>
      <c r="AI219" s="16"/>
      <c r="AJ219" s="16"/>
      <c r="AK219" s="16"/>
    </row>
    <row r="220" ht="13.5" customHeight="1" spans="1:37" x14ac:dyDescent="0.25">
      <c r="A220" s="264"/>
      <c r="B220" s="16"/>
      <c r="C220" s="16" t="s">
        <v>388</v>
      </c>
      <c r="D220" s="16"/>
      <c r="E220" s="16"/>
      <c r="F220" s="353">
        <f t="shared" ref="F220:AG220" si="379" ca="1">SUM(F218:F219)</f>
        <v>20094</v>
      </c>
      <c r="G220" s="353">
        <f ca="1">SUM(G218:G219)</f>
        <v>19724</v>
      </c>
      <c r="H220" s="353">
        <f ca="1">SUM(H218:H219)</f>
        <v>19524</v>
      </c>
      <c r="I220" s="353">
        <f ca="1">SUM(I218:I219)</f>
        <v>19903</v>
      </c>
      <c r="J220" s="282">
        <f ca="1">SUM(J218:J219)</f>
        <v>19903</v>
      </c>
      <c r="K220" s="353">
        <f ca="1">SUM(K218:K219)</f>
        <v>23641</v>
      </c>
      <c r="L220" s="353">
        <f ca="1">SUM(L218:L219)</f>
        <v>23717</v>
      </c>
      <c r="M220" s="353">
        <f ca="1">SUM(M218:M219)</f>
        <v>24114</v>
      </c>
      <c r="N220" s="353">
        <f ca="1">SUM(N218:N219)</f>
        <v>23320</v>
      </c>
      <c r="O220" s="282">
        <f ca="1">SUM(O218:O219)</f>
        <v>23320</v>
      </c>
      <c r="P220" s="353">
        <f ca="1">SUM(P218:P219)</f>
        <v>65107</v>
      </c>
      <c r="Q220" s="353">
        <f ca="1">SUM(Q218:Q219)</f>
        <v>66940</v>
      </c>
      <c r="R220" s="353">
        <f ca="1">SUM(R218:R219)</f>
        <v>67896</v>
      </c>
      <c r="S220" s="353">
        <f ca="1">SUM(S218:S219)</f>
        <v>64159</v>
      </c>
      <c r="T220" s="282">
        <f ca="1">SUM(T218:T219)</f>
        <v>64159</v>
      </c>
      <c r="U220" s="353">
        <f ca="1">SUM(U218:U219)</f>
        <v>20736</v>
      </c>
      <c r="V220" s="353">
        <f ca="1">SUM(V218:V219)</f>
        <v>5290</v>
      </c>
      <c r="W220" s="353">
        <f ca="1">SUM(W218:W219)</f>
        <v>5626</v>
      </c>
      <c r="X220" s="281">
        <f ca="1">SUM(X218:X219)</f>
        <v>5738.52</v>
      </c>
      <c r="Y220" s="282">
        <f ca="1">SUM(Y218:Y219)</f>
        <v>5738.52</v>
      </c>
      <c r="Z220" s="281">
        <f ca="1">SUM(Z218:Z219)</f>
        <v>5853.290400000001</v>
      </c>
      <c r="AA220" s="281">
        <f ca="1">SUM(AA218:AA219)</f>
        <v>5970.356208000001</v>
      </c>
      <c r="AB220" s="281">
        <f ca="1">SUM(AB218:AB219)</f>
        <v>6089.7633321600015</v>
      </c>
      <c r="AC220" s="281">
        <f ca="1">SUM(AC218:AC219)</f>
        <v>6211.558598803202</v>
      </c>
      <c r="AD220" s="282">
        <f ca="1">SUM(AD218:AD219)</f>
        <v>6211.558598803202</v>
      </c>
      <c r="AE220" s="282">
        <f ca="1">SUM(AE218:AE219)</f>
        <v>6335.789770779265</v>
      </c>
      <c r="AF220" s="282">
        <f ca="1">SUM(AF218:AF219)</f>
        <v>6462.505566194851</v>
      </c>
      <c r="AG220" s="282">
        <f ca="1">SUM(AG218:AG219)</f>
        <v>6591.755677518748</v>
      </c>
      <c r="AH220" s="16"/>
      <c r="AI220" s="16"/>
      <c r="AJ220" s="16"/>
      <c r="AK220" s="16"/>
    </row>
    <row r="221" ht="13.5" customHeight="1" spans="1:37" x14ac:dyDescent="0.25">
      <c r="A221" s="302"/>
      <c r="B221" s="303"/>
      <c r="C221" s="120" t="s">
        <v>389</v>
      </c>
      <c r="D221" s="303"/>
      <c r="E221" s="303"/>
      <c r="F221" s="424"/>
      <c r="G221" s="425">
        <f t="shared" ref="G221:I221" si="380" ca="1">G220-F220</f>
        <v>-370</v>
      </c>
      <c r="H221" s="425">
        <f ca="1">H220-G220</f>
        <v>-200</v>
      </c>
      <c r="I221" s="425">
        <f ca="1">I220-H220</f>
        <v>379</v>
      </c>
      <c r="J221" s="426"/>
      <c r="K221" s="425">
        <f t="shared" ref="K221:N221" si="381" ca="1">K220-J220</f>
        <v>3738</v>
      </c>
      <c r="L221" s="425">
        <f ca="1">L220-K220</f>
        <v>76</v>
      </c>
      <c r="M221" s="425">
        <f ca="1">M220-L220</f>
        <v>397</v>
      </c>
      <c r="N221" s="425">
        <f ca="1">N220-M220</f>
        <v>-794</v>
      </c>
      <c r="O221" s="426">
        <f ca="1">O220-J220</f>
        <v>3417</v>
      </c>
      <c r="P221" s="425">
        <f t="shared" ref="P221:S221" si="382" ca="1">P220-O220</f>
        <v>41787</v>
      </c>
      <c r="Q221" s="425">
        <f ca="1">Q220-P220</f>
        <v>1833</v>
      </c>
      <c r="R221" s="425">
        <f ca="1">R220-Q220</f>
        <v>956</v>
      </c>
      <c r="S221" s="425">
        <f ca="1">S220-R220</f>
        <v>-3737</v>
      </c>
      <c r="T221" s="426">
        <f ca="1">T220-O220</f>
        <v>40839</v>
      </c>
      <c r="U221" s="425">
        <f t="shared" ref="U221:X221" si="383" ca="1">U220-T220</f>
        <v>-43423</v>
      </c>
      <c r="V221" s="425">
        <f ca="1">V220-U220</f>
        <v>-35</v>
      </c>
      <c r="W221" s="425">
        <f ca="1">W220-V220</f>
        <v>336</v>
      </c>
      <c r="X221" s="427">
        <f ca="1">X220-W220</f>
        <v>112.52000000000044</v>
      </c>
      <c r="Y221" s="426">
        <f ca="1">Y220-T220</f>
        <v>4316.52</v>
      </c>
      <c r="Z221" s="427">
        <f t="shared" ref="Z221:AC221" si="384" ca="1">Z220-Y220</f>
        <v>114.77040000000034</v>
      </c>
      <c r="AA221" s="427">
        <f ca="1">AA220-Z220</f>
        <v>117.06580800000029</v>
      </c>
      <c r="AB221" s="427">
        <f ca="1">AB220-AA220</f>
        <v>119.40712416000042</v>
      </c>
      <c r="AC221" s="427">
        <f ca="1">AC220-AB220</f>
        <v>121.7952666432002</v>
      </c>
      <c r="AD221" s="426">
        <f ca="1">AD220-Y220</f>
        <v>473.03859880320124</v>
      </c>
      <c r="AE221" s="426">
        <f t="shared" ref="AE221:AG221" si="385" ca="1">AE220-AD220</f>
        <v>124.2311719760637</v>
      </c>
      <c r="AF221" s="426">
        <f ca="1">AF220-AE220</f>
        <v>126.71579541558549</v>
      </c>
      <c r="AG221" s="426">
        <f ca="1">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86" ca="1">F141</f>
        <v>3171</v>
      </c>
      <c r="G223" s="353">
        <f ca="1">G141</f>
        <v>2714</v>
      </c>
      <c r="H223" s="353">
        <f ca="1">H141</f>
        <v>2733</v>
      </c>
      <c r="I223" s="353">
        <f ca="1">I141</f>
        <v>2639</v>
      </c>
      <c r="J223" s="282">
        <f ca="1">J141</f>
        <v>2639</v>
      </c>
      <c r="K223" s="353">
        <f ca="1">K141</f>
        <v>2521</v>
      </c>
      <c r="L223" s="353">
        <f ca="1">L141</f>
        <v>2366</v>
      </c>
      <c r="M223" s="353">
        <f ca="1">M141</f>
        <v>2292</v>
      </c>
      <c r="N223" s="353">
        <f ca="1">N141</f>
        <v>2469</v>
      </c>
      <c r="O223" s="282">
        <f ca="1">O141</f>
        <v>2469</v>
      </c>
      <c r="P223" s="353">
        <f ca="1">P141</f>
        <v>2311</v>
      </c>
      <c r="Q223" s="353">
        <f ca="1">Q141</f>
        <v>2375</v>
      </c>
      <c r="R223" s="353">
        <f ca="1">R141</f>
        <v>2435</v>
      </c>
      <c r="S223" s="353">
        <f ca="1">S141</f>
        <v>2406</v>
      </c>
      <c r="T223" s="282">
        <f ca="1">T141</f>
        <v>2406</v>
      </c>
      <c r="U223" s="353">
        <f ca="1">U141</f>
        <v>2615</v>
      </c>
      <c r="V223" s="353">
        <f ca="1">V141</f>
        <v>1e-12</v>
      </c>
      <c r="W223" s="353">
        <f ca="1">W141</f>
        <v>1e-12</v>
      </c>
      <c r="X223" s="281">
        <f t="shared" ref="X223:AG223" si="387" ca="1">W223</f>
        <v>1e-12</v>
      </c>
      <c r="Y223" s="282">
        <f ca="1">X223</f>
        <v>1e-12</v>
      </c>
      <c r="Z223" s="281">
        <f ca="1">Y223</f>
        <v>1e-12</v>
      </c>
      <c r="AA223" s="281">
        <f ca="1">Z223</f>
        <v>1e-12</v>
      </c>
      <c r="AB223" s="281">
        <f ca="1">AA223</f>
        <v>1e-12</v>
      </c>
      <c r="AC223" s="281">
        <f ca="1">AB223</f>
        <v>1e-12</v>
      </c>
      <c r="AD223" s="282">
        <f ca="1">AC223</f>
        <v>1e-12</v>
      </c>
      <c r="AE223" s="282">
        <f ca="1">AD223</f>
        <v>1e-12</v>
      </c>
      <c r="AF223" s="282">
        <f ca="1">AE223</f>
        <v>1e-12</v>
      </c>
      <c r="AG223" s="282">
        <f ca="1">AF223</f>
        <v>1e-12</v>
      </c>
      <c r="AH223" s="16"/>
      <c r="AI223" s="16"/>
      <c r="AJ223" s="16"/>
      <c r="AK223" s="16"/>
    </row>
    <row r="224" ht="13.5" customHeight="1" spans="1:37" x14ac:dyDescent="0.25">
      <c r="A224" s="264"/>
      <c r="B224" s="16"/>
      <c r="C224" s="139" t="s">
        <v>348</v>
      </c>
      <c r="D224" s="16"/>
      <c r="E224" s="16"/>
      <c r="F224" s="372">
        <f t="shared" ref="F224:W224" si="388" ca="1">F142</f>
        <v>7874</v>
      </c>
      <c r="G224" s="372">
        <f ca="1">G142</f>
        <v>8449</v>
      </c>
      <c r="H224" s="372">
        <f ca="1">H142</f>
        <v>8427</v>
      </c>
      <c r="I224" s="372">
        <f ca="1">I142</f>
        <v>8466</v>
      </c>
      <c r="J224" s="355">
        <f ca="1">J142</f>
        <v>8466</v>
      </c>
      <c r="K224" s="372">
        <f ca="1">K142</f>
        <v>5465</v>
      </c>
      <c r="L224" s="372">
        <f ca="1">L142</f>
        <v>4077</v>
      </c>
      <c r="M224" s="372">
        <f ca="1">M142</f>
        <v>4257</v>
      </c>
      <c r="N224" s="372">
        <f ca="1">N142</f>
        <v>4084</v>
      </c>
      <c r="O224" s="355">
        <f ca="1">O142</f>
        <v>4084</v>
      </c>
      <c r="P224" s="372">
        <f ca="1">P142</f>
        <v>4313</v>
      </c>
      <c r="Q224" s="372">
        <f ca="1">Q142</f>
        <v>4856</v>
      </c>
      <c r="R224" s="372">
        <f ca="1">R142</f>
        <v>4667</v>
      </c>
      <c r="S224" s="372">
        <f ca="1">S142</f>
        <v>4735</v>
      </c>
      <c r="T224" s="355">
        <f ca="1">T142</f>
        <v>4735</v>
      </c>
      <c r="U224" s="372">
        <f ca="1">U142</f>
        <v>4425</v>
      </c>
      <c r="V224" s="372">
        <f ca="1">V142</f>
        <v>5948</v>
      </c>
      <c r="W224" s="372">
        <f ca="1">W142</f>
        <v>6261</v>
      </c>
      <c r="X224" s="356">
        <f t="shared" ref="X224:AG224" si="389" ca="1">W224</f>
        <v>6261</v>
      </c>
      <c r="Y224" s="355">
        <f ca="1">X224</f>
        <v>6261</v>
      </c>
      <c r="Z224" s="356">
        <f ca="1">Y224</f>
        <v>6261</v>
      </c>
      <c r="AA224" s="356">
        <f ca="1">Z224</f>
        <v>6261</v>
      </c>
      <c r="AB224" s="356">
        <f ca="1">AA224</f>
        <v>6261</v>
      </c>
      <c r="AC224" s="356">
        <f ca="1">AB224</f>
        <v>6261</v>
      </c>
      <c r="AD224" s="355">
        <f ca="1">AC224</f>
        <v>6261</v>
      </c>
      <c r="AE224" s="355">
        <f ca="1">AD224</f>
        <v>6261</v>
      </c>
      <c r="AF224" s="355">
        <f ca="1">AE224</f>
        <v>6261</v>
      </c>
      <c r="AG224" s="355">
        <f ca="1">AF224</f>
        <v>6261</v>
      </c>
      <c r="AH224" s="16"/>
      <c r="AI224" s="16"/>
      <c r="AJ224" s="16"/>
      <c r="AK224" s="16"/>
    </row>
    <row r="225" ht="13.5" customHeight="1" spans="1:37" x14ac:dyDescent="0.25">
      <c r="A225" s="264"/>
      <c r="B225" s="16"/>
      <c r="C225" s="16" t="s">
        <v>391</v>
      </c>
      <c r="D225" s="16"/>
      <c r="E225" s="16"/>
      <c r="F225" s="353">
        <f t="shared" ref="F225:AG225" si="390" ca="1">SUM(F223:F224)</f>
        <v>11045</v>
      </c>
      <c r="G225" s="353">
        <f ca="1">SUM(G223:G224)</f>
        <v>11163</v>
      </c>
      <c r="H225" s="353">
        <f ca="1">SUM(H223:H224)</f>
        <v>11160</v>
      </c>
      <c r="I225" s="353">
        <f ca="1">SUM(I223:I224)</f>
        <v>11105</v>
      </c>
      <c r="J225" s="282">
        <f ca="1">SUM(J223:J224)</f>
        <v>11105</v>
      </c>
      <c r="K225" s="353">
        <f ca="1">SUM(K223:K224)</f>
        <v>7986</v>
      </c>
      <c r="L225" s="353">
        <f ca="1">SUM(L223:L224)</f>
        <v>6443</v>
      </c>
      <c r="M225" s="353">
        <f ca="1">SUM(M223:M224)</f>
        <v>6549</v>
      </c>
      <c r="N225" s="353">
        <f ca="1">SUM(N223:N224)</f>
        <v>6553</v>
      </c>
      <c r="O225" s="282">
        <f ca="1">SUM(O223:O224)</f>
        <v>6553</v>
      </c>
      <c r="P225" s="353">
        <f ca="1">SUM(P223:P224)</f>
        <v>6624</v>
      </c>
      <c r="Q225" s="353">
        <f ca="1">SUM(Q223:Q224)</f>
        <v>7231</v>
      </c>
      <c r="R225" s="353">
        <f ca="1">SUM(R223:R224)</f>
        <v>7102</v>
      </c>
      <c r="S225" s="353">
        <f ca="1">SUM(S223:S224)</f>
        <v>7141</v>
      </c>
      <c r="T225" s="282">
        <f ca="1">SUM(T223:T224)</f>
        <v>7141</v>
      </c>
      <c r="U225" s="353">
        <f ca="1">SUM(U223:U224)</f>
        <v>7040</v>
      </c>
      <c r="V225" s="353">
        <f ca="1">SUM(V223:V224)</f>
        <v>5948</v>
      </c>
      <c r="W225" s="353">
        <f ca="1">SUM(W223:W224)</f>
        <v>6261</v>
      </c>
      <c r="X225" s="281">
        <f ca="1">SUM(X223:X224)</f>
        <v>6261</v>
      </c>
      <c r="Y225" s="282">
        <f ca="1">SUM(Y223:Y224)</f>
        <v>6261</v>
      </c>
      <c r="Z225" s="281">
        <f ca="1">SUM(Z223:Z224)</f>
        <v>6261</v>
      </c>
      <c r="AA225" s="281">
        <f ca="1">SUM(AA223:AA224)</f>
        <v>6261</v>
      </c>
      <c r="AB225" s="281">
        <f ca="1">SUM(AB223:AB224)</f>
        <v>6261</v>
      </c>
      <c r="AC225" s="281">
        <f ca="1">SUM(AC223:AC224)</f>
        <v>6261</v>
      </c>
      <c r="AD225" s="282">
        <f ca="1">SUM(AD223:AD224)</f>
        <v>6261</v>
      </c>
      <c r="AE225" s="282">
        <f ca="1">SUM(AE223:AE224)</f>
        <v>6261</v>
      </c>
      <c r="AF225" s="282">
        <f ca="1">SUM(AF223:AF224)</f>
        <v>6261</v>
      </c>
      <c r="AG225" s="282">
        <f ca="1">SUM(AG223:AG224)</f>
        <v>6261</v>
      </c>
      <c r="AH225" s="16"/>
      <c r="AI225" s="16"/>
      <c r="AJ225" s="16"/>
      <c r="AK225" s="16"/>
    </row>
    <row r="226" ht="13.5" customHeight="1" spans="1:37" x14ac:dyDescent="0.25">
      <c r="A226" s="302"/>
      <c r="B226" s="303"/>
      <c r="C226" s="120" t="s">
        <v>392</v>
      </c>
      <c r="D226" s="303"/>
      <c r="E226" s="303"/>
      <c r="F226" s="424"/>
      <c r="G226" s="425">
        <f t="shared" ref="G226:I226" si="391" ca="1">G225-F225</f>
        <v>118</v>
      </c>
      <c r="H226" s="425">
        <f ca="1">H225-G225</f>
        <v>-3</v>
      </c>
      <c r="I226" s="425">
        <f ca="1">I225-H225</f>
        <v>-55</v>
      </c>
      <c r="J226" s="426"/>
      <c r="K226" s="425">
        <f t="shared" ref="K226:N226" si="392" ca="1">K225-J225</f>
        <v>-3119</v>
      </c>
      <c r="L226" s="425">
        <f ca="1">L225-K225</f>
        <v>-1543</v>
      </c>
      <c r="M226" s="425">
        <f ca="1">M225-L225</f>
        <v>106</v>
      </c>
      <c r="N226" s="425">
        <f ca="1">N225-M225</f>
        <v>4</v>
      </c>
      <c r="O226" s="426">
        <f ca="1">O225-J225</f>
        <v>-4552</v>
      </c>
      <c r="P226" s="425">
        <f t="shared" ref="P226:S226" si="393" ca="1">P225-O225</f>
        <v>71</v>
      </c>
      <c r="Q226" s="425">
        <f ca="1">Q225-P225</f>
        <v>607</v>
      </c>
      <c r="R226" s="425">
        <f ca="1">R225-Q225</f>
        <v>-129</v>
      </c>
      <c r="S226" s="425">
        <f ca="1">S225-R225</f>
        <v>39</v>
      </c>
      <c r="T226" s="426">
        <f ca="1">T225-O225</f>
        <v>588</v>
      </c>
      <c r="U226" s="425">
        <f t="shared" ref="U226:X226" si="394" ca="1">U225-T225</f>
        <v>-101</v>
      </c>
      <c r="V226" s="425">
        <f ca="1">V225-U225</f>
        <v>-9</v>
      </c>
      <c r="W226" s="425">
        <f ca="1">W225-V225</f>
        <v>313</v>
      </c>
      <c r="X226" s="427">
        <f ca="1">X225-W225</f>
        <v>1e-12</v>
      </c>
      <c r="Y226" s="426">
        <f ca="1">Y225-T225</f>
        <v>4083</v>
      </c>
      <c r="Z226" s="427">
        <f t="shared" ref="Z226:AC226" si="395" ca="1">Z225-Y225</f>
        <v>1e-12</v>
      </c>
      <c r="AA226" s="427">
        <f ca="1">AA225-Z225</f>
        <v>1e-12</v>
      </c>
      <c r="AB226" s="427">
        <f ca="1">AB225-AA225</f>
        <v>1e-12</v>
      </c>
      <c r="AC226" s="427">
        <f ca="1">AC225-AB225</f>
        <v>1e-12</v>
      </c>
      <c r="AD226" s="426">
        <f ca="1">AD225-Y225</f>
        <v>1e-12</v>
      </c>
      <c r="AE226" s="426">
        <f t="shared" ref="AE226:AG226" si="396" ca="1">AE225-AD225</f>
        <v>1e-12</v>
      </c>
      <c r="AF226" s="426">
        <f ca="1">AF225-AE225</f>
        <v>1e-12</v>
      </c>
      <c r="AG226" s="426">
        <f ca="1">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97" ca="1">G226-G221</f>
        <v>488</v>
      </c>
      <c r="H228" s="388">
        <f ca="1">H226-H221</f>
        <v>197</v>
      </c>
      <c r="I228" s="388">
        <f ca="1">I226-I221</f>
        <v>-434</v>
      </c>
      <c r="J228" s="389"/>
      <c r="K228" s="388">
        <f t="shared" ref="K228:AG228" si="398" ca="1">K226-K221</f>
        <v>-6857</v>
      </c>
      <c r="L228" s="388">
        <f ca="1">L226-L221</f>
        <v>-1619</v>
      </c>
      <c r="M228" s="388">
        <f ca="1">M226-M221</f>
        <v>-291</v>
      </c>
      <c r="N228" s="388">
        <f ca="1">N226-N221</f>
        <v>798</v>
      </c>
      <c r="O228" s="389">
        <f ca="1">O226-O221</f>
        <v>-7969</v>
      </c>
      <c r="P228" s="388">
        <f ca="1">P226-P221</f>
        <v>-41716</v>
      </c>
      <c r="Q228" s="388">
        <f ca="1">Q226-Q221</f>
        <v>-1226</v>
      </c>
      <c r="R228" s="388">
        <f ca="1">R226-R221</f>
        <v>-1085</v>
      </c>
      <c r="S228" s="388">
        <f ca="1">S226-S221</f>
        <v>3776</v>
      </c>
      <c r="T228" s="389">
        <f ca="1">T226-T221</f>
        <v>-40251</v>
      </c>
      <c r="U228" s="388">
        <f ca="1">U226-U221</f>
        <v>43322</v>
      </c>
      <c r="V228" s="388">
        <f ca="1">V226-V221</f>
        <v>26</v>
      </c>
      <c r="W228" s="388">
        <f ca="1">W226-W221</f>
        <v>-23</v>
      </c>
      <c r="X228" s="390">
        <f ca="1">X226-X221</f>
        <v>-112.52000000000044</v>
      </c>
      <c r="Y228" s="389">
        <f ca="1">Y226-Y221</f>
        <v>-233.52000000000044</v>
      </c>
      <c r="Z228" s="390">
        <f ca="1">Z226-Z221</f>
        <v>-114.77040000000034</v>
      </c>
      <c r="AA228" s="390">
        <f ca="1">AA226-AA221</f>
        <v>-117.06580800000029</v>
      </c>
      <c r="AB228" s="390">
        <f ca="1">AB226-AB221</f>
        <v>-119.40712416000042</v>
      </c>
      <c r="AC228" s="390">
        <f ca="1">AC226-AC221</f>
        <v>-121.7952666432002</v>
      </c>
      <c r="AD228" s="389">
        <f ca="1">AD226-AD221</f>
        <v>-473.03859880320124</v>
      </c>
      <c r="AE228" s="389">
        <f ca="1">AE226-AE221</f>
        <v>-124.2311719760637</v>
      </c>
      <c r="AF228" s="389">
        <f ca="1">AF226-AF221</f>
        <v>-126.71579541558549</v>
      </c>
      <c r="AG228" s="407">
        <f ca="1">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99" ca="1">G219/F219-1</f>
        <v>-0.1673728813559322</v>
      </c>
      <c r="H232" s="397">
        <f ca="1">H219/G219-1</f>
        <v>0.17048346055979646</v>
      </c>
      <c r="I232" s="397">
        <f ca="1">I219/H219-1</f>
        <v>0.11956521739130443</v>
      </c>
      <c r="J232" s="398"/>
      <c r="K232" s="397">
        <f ca="1">K219/I219-1</f>
        <v>2.515210355987055</v>
      </c>
      <c r="L232" s="397">
        <f t="shared" ref="L232:N232" si="400" ca="1">L219/K219-1</f>
        <v>-0.00699686982139569</v>
      </c>
      <c r="M232" s="397">
        <f ca="1">M219/L219-1</f>
        <v>0.0064898943074356286</v>
      </c>
      <c r="N232" s="397">
        <f ca="1">N219/M219-1</f>
        <v>-0.045504789977892424</v>
      </c>
      <c r="O232" s="398">
        <f ca="1">O219/J219-1</f>
        <v>2.353398058252427</v>
      </c>
      <c r="P232" s="397">
        <f ca="1">P219/N219-1</f>
        <v>8.027986875120632</v>
      </c>
      <c r="Q232" s="397">
        <f t="shared" ref="Q232:S232" si="401" ca="1">Q219/P219-1</f>
        <v>0.03213323641339216</v>
      </c>
      <c r="R232" s="397">
        <f ca="1">R219/Q219-1</f>
        <v>0.019823104169687467</v>
      </c>
      <c r="S232" s="397">
        <f ca="1">S219/R219-1</f>
        <v>-0.01149612056708782</v>
      </c>
      <c r="T232" s="398">
        <f ca="1">T219/O219-1</f>
        <v>8.393553368075661</v>
      </c>
      <c r="U232" s="397">
        <f ca="1">U219/S219-1</f>
        <v>-0.8905851894468645</v>
      </c>
      <c r="V232" s="397">
        <f t="shared" ref="V232:W232" si="402" ca="1">V219/U219-1</f>
        <v>-0.0065727699530516714</v>
      </c>
      <c r="W232" s="397">
        <f ca="1">W219/V219-1</f>
        <v>0.06351606805293009</v>
      </c>
      <c r="X232" s="422">
        <f ca="1">Drivers!X128</f>
        <v>0.02</v>
      </c>
      <c r="Y232" s="398">
        <f ca="1">Y219/T219-1</f>
        <v>4.165184518451846</v>
      </c>
      <c r="Z232" s="422">
        <f ca="1">Drivers!Z128</f>
        <v>0.02</v>
      </c>
      <c r="AA232" s="422">
        <f ca="1">Drivers!AA128</f>
        <v>0.02</v>
      </c>
      <c r="AB232" s="422">
        <f ca="1">Drivers!AB128</f>
        <v>0.02</v>
      </c>
      <c r="AC232" s="422">
        <f ca="1">Drivers!AC128</f>
        <v>0.02</v>
      </c>
      <c r="AD232" s="398">
        <f ca="1">AD219/Y219-1</f>
        <v>0.0824321600000002</v>
      </c>
      <c r="AE232" s="423">
        <f ca="1">Drivers!AE128</f>
        <v>0.02</v>
      </c>
      <c r="AF232" s="423">
        <f ca="1">Drivers!AF128</f>
        <v>0.02</v>
      </c>
      <c r="AG232" s="423">
        <f ca="1">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 ca="1">F$25</f>
        <v>1e-12</v>
      </c>
      <c r="G234" s="63">
        <f t="shared" ref="G234:AG234" si="403" ca="1">G$63</f>
        <v>1e-12</v>
      </c>
      <c r="H234" s="63">
        <f ca="1">H$63</f>
        <v>1e-12</v>
      </c>
      <c r="I234" s="63">
        <f ca="1">I$63</f>
        <v>1e-12</v>
      </c>
      <c r="J234" s="63">
        <f ca="1">J$63</f>
        <v>2023</v>
      </c>
      <c r="K234" s="63">
        <f ca="1">K$63</f>
        <v>1e-12</v>
      </c>
      <c r="L234" s="63">
        <f ca="1">L$63</f>
        <v>1e-12</v>
      </c>
      <c r="M234" s="63">
        <f ca="1">M$63</f>
        <v>1e-12</v>
      </c>
      <c r="N234" s="63">
        <f ca="1">N$63</f>
        <v>1e-12</v>
      </c>
      <c r="O234" s="63">
        <f ca="1">O$63</f>
        <v>2024</v>
      </c>
      <c r="P234" s="63">
        <f ca="1">P$63</f>
        <v>1e-12</v>
      </c>
      <c r="Q234" s="63">
        <f ca="1">Q$63</f>
        <v>1e-12</v>
      </c>
      <c r="R234" s="63">
        <f ca="1">R$63</f>
        <v>1e-12</v>
      </c>
      <c r="S234" s="63">
        <f ca="1">S$63</f>
        <v>1e-12</v>
      </c>
      <c r="T234" s="63">
        <f ca="1">T$63</f>
        <v>2025</v>
      </c>
      <c r="U234" s="63">
        <f ca="1">U$63</f>
        <v>1e-12</v>
      </c>
      <c r="V234" s="63" t="str">
        <f ca="1">V$63</f>
        <v>2Q26</v>
      </c>
      <c r="W234" s="63" t="str">
        <f ca="1">W$63</f>
        <v>3Q26e</v>
      </c>
      <c r="X234" s="63" t="str">
        <f ca="1">X$63</f>
        <v>4Q26e</v>
      </c>
      <c r="Y234" s="63" t="str">
        <f ca="1">Y$63</f>
        <v>2026e</v>
      </c>
      <c r="Z234" s="63" t="str">
        <f ca="1">Z$63</f>
        <v>1Q27e</v>
      </c>
      <c r="AA234" s="63" t="str">
        <f ca="1">AA$63</f>
        <v>2Q27e</v>
      </c>
      <c r="AB234" s="63" t="str">
        <f ca="1">AB$63</f>
        <v>3Q27e</v>
      </c>
      <c r="AC234" s="63" t="str">
        <f ca="1">AC$63</f>
        <v>4Q27e</v>
      </c>
      <c r="AD234" s="63" t="str">
        <f ca="1">AD$63</f>
        <v>2027e</v>
      </c>
      <c r="AE234" s="63" t="str">
        <f ca="1">AE$63</f>
        <v>2028e</v>
      </c>
      <c r="AF234" s="63" t="str">
        <f ca="1">AF$63</f>
        <v>2029e</v>
      </c>
      <c r="AG234" s="64" t="str">
        <f ca="1">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404" ca="1">F53</f>
        <v>1.1975757575757575</v>
      </c>
      <c r="G237" s="370">
        <f ca="1">G53</f>
        <v>1.8708487084870848</v>
      </c>
      <c r="H237" s="370">
        <f ca="1">H53</f>
        <v>0.7803970223325062</v>
      </c>
      <c r="I237" s="370">
        <f ca="1">I53</f>
        <v>-1.0287141073657928</v>
      </c>
      <c r="J237" s="127">
        <f ca="1">J53</f>
        <v>2.888888888888889</v>
      </c>
      <c r="K237" s="370">
        <f ca="1">K53</f>
        <v>1.2678787878787878</v>
      </c>
      <c r="L237" s="370">
        <f ca="1">L53</f>
        <v>2.06150061500615</v>
      </c>
      <c r="M237" s="370">
        <f ca="1">M53</f>
        <v>1.3014888337468982</v>
      </c>
      <c r="N237" s="370">
        <f ca="1">N53</f>
        <v>0.6367041198501873</v>
      </c>
      <c r="O237" s="127">
        <f ca="1">O53</f>
        <v>5.344569288389513</v>
      </c>
      <c r="P237" s="370">
        <f ca="1">P53</f>
        <v>1.770860927152318</v>
      </c>
      <c r="Q237" s="370">
        <f ca="1">Q53</f>
        <v>3.7606382978723403</v>
      </c>
      <c r="R237" s="370">
        <f ca="1">R53</f>
        <v>0.9202127659574468</v>
      </c>
      <c r="S237" s="370">
        <f ca="1">S53</f>
        <v>1.3074866310160427</v>
      </c>
      <c r="T237" s="127">
        <f ca="1">T53</f>
        <v>7.800802139037433</v>
      </c>
      <c r="U237" s="370">
        <f ca="1">U53</f>
        <v>3.232590529247911</v>
      </c>
      <c r="V237" s="370">
        <f ca="1">V53</f>
        <v>4.280851063829787</v>
      </c>
      <c r="W237" s="370">
        <f ca="1">W53</f>
        <v>2.747826086956522</v>
      </c>
      <c r="X237" s="371">
        <f ca="1">X53</f>
        <v>-2.834320072259252</v>
      </c>
      <c r="Y237" s="127">
        <f ca="1">Y53</f>
        <v>10.043416330596425</v>
      </c>
      <c r="Z237" s="371">
        <f ca="1">Z53</f>
        <v>-3.11544054821415</v>
      </c>
      <c r="AA237" s="371">
        <f ca="1">AA53</f>
        <v>-3.365103148457663</v>
      </c>
      <c r="AB237" s="371">
        <f ca="1">AB53</f>
        <v>-3.70079101571967</v>
      </c>
      <c r="AC237" s="371">
        <f ca="1">AC53</f>
        <v>-3.2201054841465635</v>
      </c>
      <c r="AD237" s="127">
        <f ca="1">AD53</f>
        <v>-13.400396391217834</v>
      </c>
      <c r="AE237" s="127">
        <f ca="1">AE53</f>
        <v>-13.538518048543551</v>
      </c>
      <c r="AF237" s="127">
        <f ca="1">AF53</f>
        <v>-14.474095110603075</v>
      </c>
      <c r="AG237" s="127">
        <f ca="1">AG53</f>
        <v>-15.405101258553348</v>
      </c>
      <c r="AH237" s="16"/>
      <c r="AI237" s="16"/>
      <c r="AJ237" s="16"/>
      <c r="AK237" s="16"/>
    </row>
    <row r="238" ht="13.5" customHeight="1" spans="1:37" x14ac:dyDescent="0.25">
      <c r="A238" s="264"/>
      <c r="B238" s="16"/>
      <c r="C238" s="139" t="s">
        <v>398</v>
      </c>
      <c r="D238" s="16"/>
      <c r="E238" s="16"/>
      <c r="F238" s="428">
        <f ca="1">F239/SUM(F237,B238:D238)</f>
        <v>1e-12</v>
      </c>
      <c r="G238" s="428">
        <f ca="1">G239/SUM(F237:G237,C237:D237)</f>
        <v>1e-12</v>
      </c>
      <c r="H238" s="428">
        <f ca="1">H239/SUM(F237:H237,D237)</f>
        <v>1e-12</v>
      </c>
      <c r="I238" s="429">
        <f ca="1">I239/SUM(F237:I237)</f>
        <v>1e-12</v>
      </c>
      <c r="J238" s="430">
        <f ca="1">J239/J237</f>
        <v>1e-12</v>
      </c>
      <c r="K238" s="429">
        <f ca="1">K239/SUM(K237,G237:I237)</f>
        <v>1e-12</v>
      </c>
      <c r="L238" s="429">
        <f ca="1">L239/SUM(K237:L237,H237:I237)</f>
        <v>1e-12</v>
      </c>
      <c r="M238" s="429">
        <f ca="1">M239/SUM(K237:M237,I237)</f>
        <v>1e-12</v>
      </c>
      <c r="N238" s="429">
        <f ca="1">N239/SUM(K237:N237)</f>
        <v>1e-12</v>
      </c>
      <c r="O238" s="430">
        <f ca="1">O239/O237</f>
        <v>1e-12</v>
      </c>
      <c r="P238" s="429">
        <f ca="1">P239/SUM(P237,L237:N237)</f>
        <v>1e-12</v>
      </c>
      <c r="Q238" s="429">
        <f ca="1">Q239/SUM(P237:Q237,M237:N237)</f>
        <v>1e-12</v>
      </c>
      <c r="R238" s="429">
        <f ca="1">R239/SUM(P237:R237,N237)</f>
        <v>1e-12</v>
      </c>
      <c r="S238" s="429">
        <f ca="1">S239/SUM(P237:S237)</f>
        <v>1e-12</v>
      </c>
      <c r="T238" s="430">
        <f ca="1">T239/T237</f>
        <v>1e-12</v>
      </c>
      <c r="U238" s="429">
        <f ca="1">U239/SUM(U237,Q237:S237)</f>
        <v>1e-12</v>
      </c>
      <c r="V238" s="429">
        <f ca="1">V239/SUM(U237:V237,R237:S237)</f>
        <v>19.599003929404308</v>
      </c>
      <c r="W238" s="429">
        <f ca="1">W239/SUM(U237:W237,S237)</f>
        <v>17.837991361091575</v>
      </c>
      <c r="X238" s="431">
        <f ca="1">X239/SUM(U237:X237)</f>
        <v>31.39647838041747</v>
      </c>
      <c r="Y238" s="430">
        <f ca="1">Y239/Y237</f>
        <v>19.255291913628355</v>
      </c>
      <c r="Z238" s="431">
        <f ca="1">Z239/SUM(Z237,V237:X237)</f>
        <v>216.1242259698934</v>
      </c>
      <c r="AA238" s="431">
        <f ca="1">AA239/SUM(Z237:AA237,W237:X237)</f>
        <v>-35.50763849582307</v>
      </c>
      <c r="AB238" s="431">
        <f ca="1">AB239/SUM(Z237:AB237,X237)</f>
        <v>-17.915349158997937</v>
      </c>
      <c r="AC238" s="431">
        <f ca="1">AC239/SUM(Z237:AC237)</f>
        <v>-17.399622471936762</v>
      </c>
      <c r="AD238" s="430">
        <f ca="1">AD239/AD237</f>
        <v>-17.40097779143446</v>
      </c>
      <c r="AE238" s="430">
        <f ca="1">AE239/AE237</f>
        <v>-17.22345083589744</v>
      </c>
      <c r="AF238" s="430">
        <f ca="1">AF239/AF237</f>
        <v>-16.110160823054336</v>
      </c>
      <c r="AG238" s="430">
        <f ca="1">AG239/AG237</f>
        <v>-15.13654445280143</v>
      </c>
      <c r="AH238" s="16"/>
      <c r="AI238" s="16"/>
      <c r="AJ238" s="16"/>
      <c r="AK238" s="16"/>
    </row>
    <row r="239" ht="13.5" customHeight="1" spans="1:37" x14ac:dyDescent="0.25">
      <c r="A239" s="264"/>
      <c r="B239" s="16"/>
      <c r="C239" s="139" t="s">
        <v>399</v>
      </c>
      <c r="D239" s="16"/>
      <c r="E239" s="16"/>
      <c r="F239" s="432"/>
      <c r="G239" s="432"/>
      <c r="H239" s="432"/>
      <c r="I239" s="432"/>
      <c r="J239" s="127">
        <f ca="1">F239*(F240/(SUM(F240:I240)))+G239*(G240/(SUM(F240:I240)))+H239*(H240/(SUM(F240:I240)))+I239*(I240/(SUM(F240:I240)))</f>
        <v>1e-12</v>
      </c>
      <c r="K239" s="432"/>
      <c r="L239" s="432"/>
      <c r="M239" s="432"/>
      <c r="N239" s="433"/>
      <c r="O239" s="127">
        <f ca="1">K239*(K240/(SUM(K240:N240)))+L239*(L240/(SUM(K240:N240)))+M239*(M240/(SUM(K240:N240)))+N239*(N240/(SUM(K240:N240)))</f>
        <v>1e-12</v>
      </c>
      <c r="P239" s="432"/>
      <c r="Q239" s="432"/>
      <c r="R239" s="433"/>
      <c r="S239" s="432"/>
      <c r="T239" s="127">
        <f ca="1">P239*(P240/(SUM(P240:S240)))+Q239*(Q240/(SUM(P240:S240)))+R239*(R240/(SUM(P240:S240)))+S239*(S240/(SUM(P240:S240)))</f>
        <v>1e-12</v>
      </c>
      <c r="U239" s="432"/>
      <c r="V239" s="432">
        <f ca="1">V241/V240</f>
        <v>190.91666054089455</v>
      </c>
      <c r="W239" s="433">
        <f ca="1">193.16*3-SUM(U239:V239)</f>
        <v>206.36333945910548</v>
      </c>
      <c r="X239" s="434">
        <f ca="1">Share_Price</f>
        <v>233.18</v>
      </c>
      <c r="Y239" s="127">
        <f ca="1">U239*(U240/(SUM(U240:X240)))+V239*(V240/(SUM(U240:X240)))+W239*(W240/(SUM(U240:X240)))+X239*(X240/(SUM(U240:X240)))</f>
        <v>194.11974630490172</v>
      </c>
      <c r="Z239" s="435">
        <f ca="1">X239</f>
        <v>233.18</v>
      </c>
      <c r="AA239" s="435">
        <f t="shared" ref="AA239:AC239" si="405" ca="1">Z239</f>
        <v>233.18</v>
      </c>
      <c r="AB239" s="435">
        <f ca="1">AA239</f>
        <v>233.18</v>
      </c>
      <c r="AC239" s="435">
        <f ca="1">AB239</f>
        <v>233.18</v>
      </c>
      <c r="AD239" s="127">
        <f ca="1">AVERAGE(Z239:AC239)</f>
        <v>233.18</v>
      </c>
      <c r="AE239" s="436">
        <f ca="1">AC239</f>
        <v>233.18</v>
      </c>
      <c r="AF239" s="436">
        <f t="shared" ref="AF239:AG239" si="406" ca="1">AE239</f>
        <v>233.18</v>
      </c>
      <c r="AG239" s="436">
        <f ca="1">AF239</f>
        <v>233.18</v>
      </c>
      <c r="AH239" s="16"/>
      <c r="AI239" s="16"/>
      <c r="AJ239" s="16"/>
      <c r="AK239" s="16"/>
    </row>
    <row r="240" ht="13.5" customHeight="1" spans="1:37" x14ac:dyDescent="0.25">
      <c r="A240" s="264"/>
      <c r="B240" s="16"/>
      <c r="C240" s="139" t="s">
        <v>400</v>
      </c>
      <c r="D240" s="16"/>
      <c r="E240" s="16"/>
      <c r="F240" s="384">
        <f t="shared" ref="F240:I240" si="407" ca="1">F241/F239</f>
        <v>8.467085368690393</v>
      </c>
      <c r="G240" s="384">
        <f ca="1">G241/G239</f>
        <v>12.178649237472767</v>
      </c>
      <c r="H240" s="384">
        <f ca="1">H241/H239</f>
        <v>6.815093550747361</v>
      </c>
      <c r="I240" s="384">
        <f ca="1">I241/I239</f>
        <v>4.844072975644826</v>
      </c>
      <c r="J240" s="162">
        <f t="shared" ref="J240:J241" si="408" ca="1">SUM(F240:I240)</f>
        <v>32.304901132555344</v>
      </c>
      <c r="K240" s="384">
        <f t="shared" ref="K240:N240" si="409" ca="1">K241/K239</f>
        <v>8.070346849047388</v>
      </c>
      <c r="L240" s="384">
        <f ca="1">L241/L239</f>
        <v>18.949215323130908</v>
      </c>
      <c r="M240" s="384">
        <f ca="1">M241/M239</f>
        <v>8.108108108108109</v>
      </c>
      <c r="N240" s="437">
        <f ca="1">N241/N239</f>
        <v>6.301603872069848</v>
      </c>
      <c r="O240" s="162">
        <f t="shared" ref="O240:O241" si="410" ca="1">SUM(K240:N240)</f>
        <v>41.42927415235626</v>
      </c>
      <c r="P240" s="384">
        <f t="shared" ref="P240:S240" si="411" ca="1">P241/P239</f>
        <v>9.77930755213606</v>
      </c>
      <c r="Q240" s="384">
        <f ca="1">Q241/Q239</f>
      </c>
      <c r="R240" s="437">
        <f ca="1">R241/R239</f>
        <v>3.320692447863939</v>
      </c>
      <c r="S240" s="384">
        <f ca="1">S241/S239</f>
        <v>16.4329036978314</v>
      </c>
      <c r="T240" s="162">
        <f t="shared" ref="T240:T241" si="412" ca="1">SUM(P240:S240)</f>
        <v>29.5329036978314</v>
      </c>
      <c r="U240" s="384">
        <f ca="1">U241/U239</f>
        <v>16.67398463227223</v>
      </c>
      <c r="V240" s="384">
        <f ca="1">33.1-U240</f>
        <v>16.42601536772777</v>
      </c>
      <c r="W240" s="437">
        <f t="shared" ref="W240:X240" si="413" ca="1">W241/W239</f>
        <v>13.689447008390864</v>
      </c>
      <c r="X240" s="359">
        <f ca="1">X241/X239</f>
        <v>2.1442662320953767</v>
      </c>
      <c r="Y240" s="162">
        <f t="shared" ref="Y240:Y241" si="414" ca="1">SUM(U240:X240)</f>
        <v>48.93371324048624</v>
      </c>
      <c r="Z240" s="359">
        <f t="shared" ref="Z240:AC240" si="415" ca="1">Z241/Z239</f>
        <v>2.1442662320953767</v>
      </c>
      <c r="AA240" s="359">
        <f ca="1">AA241/AA239</f>
        <v>2.1442662320953767</v>
      </c>
      <c r="AB240" s="359">
        <f ca="1">AB241/AB239</f>
        <v>2.1442662320953767</v>
      </c>
      <c r="AC240" s="359">
        <f ca="1">AC241/AC239</f>
        <v>2.1442662320953767</v>
      </c>
      <c r="AD240" s="162">
        <f t="shared" ref="AD240:AD241" si="416" ca="1">SUM(Z240:AC240)</f>
        <v>8.577064928381507</v>
      </c>
      <c r="AE240" s="162">
        <f t="shared" ref="AE240:AG240" si="417" ca="1">AE241/AE239</f>
        <v>12.865597392572262</v>
      </c>
      <c r="AF240" s="162">
        <f ca="1">AF241/AF239</f>
        <v>12.865597392572262</v>
      </c>
      <c r="AG240" s="162">
        <f ca="1">AG241/AG239</f>
        <v>12.865597392572262</v>
      </c>
      <c r="AH240" s="16"/>
      <c r="AI240" s="16"/>
      <c r="AJ240" s="16"/>
      <c r="AK240" s="16"/>
    </row>
    <row r="241" ht="13.5" customHeight="1" spans="1:37" x14ac:dyDescent="0.25">
      <c r="A241" s="264"/>
      <c r="B241" s="16"/>
      <c r="C241" s="139" t="s">
        <v>401</v>
      </c>
      <c r="D241" s="16"/>
      <c r="E241" s="16"/>
      <c r="F241" s="358"/>
      <c r="G241" s="358"/>
      <c r="H241" s="358">
        <f ca="1">2498-SUM(F241:G241)</f>
        <v>2498</v>
      </c>
      <c r="I241" s="358"/>
      <c r="J241" s="162">
        <f ca="1">SUM(F241:I241)</f>
        <v>2498</v>
      </c>
      <c r="K241" s="358"/>
      <c r="L241" s="358"/>
      <c r="M241" s="358"/>
      <c r="N241" s="438"/>
      <c r="O241" s="162">
        <f ca="1">SUM(K241:N241)</f>
        <v>1e-12</v>
      </c>
      <c r="P241" s="358"/>
      <c r="Q241" s="358"/>
      <c r="R241" s="438"/>
      <c r="S241" s="358">
        <f ca="1">4971-SUM(P241:R241)</f>
        <v>4971</v>
      </c>
      <c r="T241" s="162">
        <f ca="1">SUM(P241:S241)</f>
        <v>4971</v>
      </c>
      <c r="U241" s="358"/>
      <c r="V241" s="358">
        <f ca="1">6174-U241</f>
        <v>3136</v>
      </c>
      <c r="W241" s="438">
        <f ca="1">8999-SUM(U241:V241)</f>
        <v>2825</v>
      </c>
      <c r="X241" s="359">
        <f ca="1">X272</f>
        <v>500</v>
      </c>
      <c r="Y241" s="162">
        <f ca="1">SUM(U241:X241)</f>
        <v>9499</v>
      </c>
      <c r="Z241" s="359">
        <f t="shared" ref="Z241:AC241" si="418" ca="1">Z272</f>
        <v>500</v>
      </c>
      <c r="AA241" s="359">
        <f ca="1">AA272</f>
        <v>500</v>
      </c>
      <c r="AB241" s="359">
        <f ca="1">AB272</f>
        <v>500</v>
      </c>
      <c r="AC241" s="359">
        <f ca="1">AC272</f>
        <v>500</v>
      </c>
      <c r="AD241" s="162">
        <f ca="1">SUM(Z241:AC241)</f>
        <v>2000</v>
      </c>
      <c r="AE241" s="162">
        <f t="shared" ref="AE241:AG241" si="419" ca="1">AE272</f>
        <v>3000</v>
      </c>
      <c r="AF241" s="162">
        <f ca="1">AF272</f>
        <v>3000</v>
      </c>
      <c r="AG241" s="162">
        <f ca="1">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 ca="1">W247</f>
        <v>343</v>
      </c>
      <c r="Y244" s="282"/>
      <c r="Z244" s="281">
        <f t="shared" ref="Z244:AC244" si="420" ca="1">Y247</f>
        <v>394.3</v>
      </c>
      <c r="AA244" s="281">
        <f ca="1">Z247</f>
        <v>454.834</v>
      </c>
      <c r="AB244" s="281">
        <f ca="1">AA247</f>
        <v>523.84276</v>
      </c>
      <c r="AC244" s="281">
        <f ca="1">AB247</f>
        <v>584.5704688</v>
      </c>
      <c r="AD244" s="282">
        <f ca="1">Y247</f>
        <v>394.3</v>
      </c>
      <c r="AE244" s="282">
        <f t="shared" ref="AE244:AG244" si="421" ca="1">AD247</f>
        <v>642.26179216</v>
      </c>
      <c r="AF244" s="282">
        <f ca="1">AE247</f>
        <v>895.1828201632</v>
      </c>
      <c r="AG244" s="282">
        <f ca="1">AF247</f>
        <v>1153.162268726464</v>
      </c>
      <c r="AH244" s="16"/>
      <c r="AI244" s="16"/>
      <c r="AJ244" s="16"/>
      <c r="AK244" s="16"/>
    </row>
    <row r="245" ht="13.5" customHeight="1" spans="1:37" x14ac:dyDescent="0.25">
      <c r="A245" s="264"/>
      <c r="B245" s="16"/>
      <c r="C245" s="139" t="s">
        <v>404</v>
      </c>
      <c r="D245" s="16"/>
      <c r="E245" s="16"/>
      <c r="F245" s="413"/>
      <c r="G245" s="413"/>
      <c r="H245" s="413"/>
      <c r="I245" s="413"/>
      <c r="J245" s="329">
        <f t="shared" ref="J245:J246" si="422" ca="1">SUM(F245:I245)</f>
        <v>1e-12</v>
      </c>
      <c r="K245" s="413"/>
      <c r="L245" s="413"/>
      <c r="M245" s="413"/>
      <c r="N245" s="443"/>
      <c r="O245" s="329">
        <f t="shared" ref="O245:O246" si="423" ca="1">SUM(K245:N245)</f>
        <v>1e-12</v>
      </c>
      <c r="P245" s="413"/>
      <c r="Q245" s="413"/>
      <c r="R245" s="443"/>
      <c r="S245" s="413"/>
      <c r="T245" s="329">
        <f t="shared" ref="T245:T246" si="424" ca="1">SUM(P245:S245)</f>
        <v>1e-12</v>
      </c>
      <c r="U245" s="413"/>
      <c r="V245" s="413">
        <v>0</v>
      </c>
      <c r="W245" s="443">
        <v>0</v>
      </c>
      <c r="X245" s="330">
        <f ca="1">X271*X239</f>
        <v>1e-12</v>
      </c>
      <c r="Y245" s="329">
        <f t="shared" ref="Y245:Y246" si="425" ca="1">SUM(U245:X245)</f>
        <v>1e-12</v>
      </c>
      <c r="Z245" s="330">
        <f t="shared" ref="Z245:AC245" si="426" ca="1">Z271*Z239</f>
        <v>1e-12</v>
      </c>
      <c r="AA245" s="330">
        <f ca="1">AA271*AA239</f>
        <v>1e-12</v>
      </c>
      <c r="AB245" s="330">
        <f ca="1">AB271*AB239</f>
        <v>1e-12</v>
      </c>
      <c r="AC245" s="330">
        <f ca="1">AC271*AC239</f>
        <v>1e-12</v>
      </c>
      <c r="AD245" s="329">
        <f t="shared" ref="AD245:AD246" si="427" ca="1">SUM(Z245:AC245)</f>
        <v>1e-12</v>
      </c>
      <c r="AE245" s="329">
        <f t="shared" ref="AE245:AG245" si="428" ca="1">AE271*AE239</f>
        <v>1e-12</v>
      </c>
      <c r="AF245" s="329">
        <f ca="1">AF271*AF239</f>
        <v>1e-12</v>
      </c>
      <c r="AG245" s="329">
        <f ca="1">AG271*AG239</f>
        <v>1e-12</v>
      </c>
      <c r="AH245" s="16"/>
      <c r="AI245" s="16"/>
      <c r="AJ245" s="16"/>
      <c r="AK245" s="16"/>
    </row>
    <row r="246" ht="13.5" customHeight="1" spans="1:37" x14ac:dyDescent="0.25">
      <c r="A246" s="264"/>
      <c r="B246" s="16"/>
      <c r="C246" s="139" t="s">
        <v>405</v>
      </c>
      <c r="D246" s="16"/>
      <c r="E246" s="16"/>
      <c r="F246" s="354"/>
      <c r="G246" s="354">
        <f ca="1">62-F246</f>
        <v>62</v>
      </c>
      <c r="H246" s="354">
        <f ca="1">79-SUM(F246:G246)</f>
        <v>17</v>
      </c>
      <c r="I246" s="354"/>
      <c r="J246" s="355">
        <f ca="1">SUM(F246:I246)</f>
        <v>79</v>
      </c>
      <c r="K246" s="354"/>
      <c r="L246" s="354">
        <f ca="1">51-K246</f>
        <v>51</v>
      </c>
      <c r="M246" s="354"/>
      <c r="N246" s="367">
        <f ca="1">98-SUM(K246:M246)</f>
        <v>47</v>
      </c>
      <c r="O246" s="355">
        <f ca="1">SUM(K246:N246)</f>
        <v>98</v>
      </c>
      <c r="P246" s="354"/>
      <c r="Q246" s="354"/>
      <c r="R246" s="367"/>
      <c r="S246" s="354">
        <f ca="1">98-SUM(P246:R246)</f>
        <v>98</v>
      </c>
      <c r="T246" s="355">
        <f ca="1">SUM(P246:S246)</f>
        <v>98</v>
      </c>
      <c r="U246" s="354"/>
      <c r="V246" s="354">
        <f ca="1">115-U246</f>
        <v>61</v>
      </c>
      <c r="W246" s="367">
        <f ca="1">169-SUM(U246:V246)</f>
        <v>54</v>
      </c>
      <c r="X246" s="356">
        <f ca="1">X249*X28</f>
        <v>51.3</v>
      </c>
      <c r="Y246" s="355">
        <f ca="1">SUM(U246:X246)</f>
        <v>220.3</v>
      </c>
      <c r="Z246" s="356">
        <f t="shared" ref="Z246:AC246" si="429" ca="1">Z249*Z28</f>
        <v>60.534</v>
      </c>
      <c r="AA246" s="356">
        <f ca="1">AA249*AA28</f>
        <v>69.00876</v>
      </c>
      <c r="AB246" s="356">
        <f ca="1">AB249*AB28</f>
        <v>60.7277088</v>
      </c>
      <c r="AC246" s="356">
        <f ca="1">AC249*AC28</f>
        <v>57.69132336</v>
      </c>
      <c r="AD246" s="355">
        <f ca="1">SUM(Z246:AC246)</f>
        <v>247.96179216000002</v>
      </c>
      <c r="AE246" s="355">
        <f t="shared" ref="AE246:AG246" si="430" ca="1">AE249*AE28</f>
        <v>252.92102800319995</v>
      </c>
      <c r="AF246" s="355">
        <f ca="1">AF249*AF28</f>
        <v>257.979448563264</v>
      </c>
      <c r="AG246" s="355">
        <f ca="1">AG249*AG28</f>
        <v>263.1390375345292</v>
      </c>
      <c r="AH246" s="16"/>
      <c r="AI246" s="16"/>
      <c r="AJ246" s="16"/>
      <c r="AK246" s="16"/>
    </row>
    <row r="247" ht="13.5" customHeight="1" spans="1:37" x14ac:dyDescent="0.25">
      <c r="A247" s="264"/>
      <c r="B247" s="16"/>
      <c r="C247" s="139" t="s">
        <v>406</v>
      </c>
      <c r="D247" s="16"/>
      <c r="E247" s="16"/>
      <c r="F247" s="353">
        <f t="shared" ref="F247:W247" si="431" ca="1">F147</f>
        <v>20649</v>
      </c>
      <c r="G247" s="353">
        <f ca="1">G147</f>
        <v>20753</v>
      </c>
      <c r="H247" s="353">
        <f ca="1">H147</f>
        <v>20841</v>
      </c>
      <c r="I247" s="353">
        <f ca="1">I147</f>
        <v>20969</v>
      </c>
      <c r="J247" s="282">
        <f ca="1">J147</f>
        <v>20969</v>
      </c>
      <c r="K247" s="353">
        <f ca="1">K147</f>
        <v>21081</v>
      </c>
      <c r="L247" s="353">
        <f ca="1">L147</f>
        <v>21228</v>
      </c>
      <c r="M247" s="353">
        <f ca="1">M147</f>
        <v>21470</v>
      </c>
      <c r="N247" s="444">
        <f ca="1">N147</f>
        <v>21561</v>
      </c>
      <c r="O247" s="282">
        <f ca="1">O147</f>
        <v>21561</v>
      </c>
      <c r="P247" s="353">
        <f ca="1">P147</f>
        <v>21633</v>
      </c>
      <c r="Q247" s="353">
        <f ca="1">Q147</f>
        <v>21730</v>
      </c>
      <c r="R247" s="444">
        <f ca="1">R147</f>
        <v>22249</v>
      </c>
      <c r="S247" s="353">
        <f ca="1">S147</f>
        <v>22341</v>
      </c>
      <c r="T247" s="282">
        <f ca="1">T147</f>
        <v>22341</v>
      </c>
      <c r="U247" s="353">
        <f ca="1">U147</f>
        <v>22394</v>
      </c>
      <c r="V247" s="353">
        <f ca="1">V147</f>
        <v>350</v>
      </c>
      <c r="W247" s="444">
        <f ca="1">W147</f>
        <v>343</v>
      </c>
      <c r="X247" s="281">
        <f ca="1">SUM(X244:X246)</f>
        <v>394.3</v>
      </c>
      <c r="Y247" s="282">
        <f ca="1">X247</f>
        <v>394.3</v>
      </c>
      <c r="Z247" s="281">
        <f t="shared" ref="Z247:AG247" si="432" ca="1">SUM(Z244:Z246)</f>
        <v>454.834</v>
      </c>
      <c r="AA247" s="281">
        <f ca="1">SUM(AA244:AA246)</f>
        <v>523.84276</v>
      </c>
      <c r="AB247" s="281">
        <f ca="1">SUM(AB244:AB246)</f>
        <v>584.5704688</v>
      </c>
      <c r="AC247" s="281">
        <f ca="1">SUM(AC244:AC246)</f>
        <v>642.2617921599999</v>
      </c>
      <c r="AD247" s="282">
        <f ca="1">SUM(AD244:AD246)</f>
        <v>642.26179216</v>
      </c>
      <c r="AE247" s="282">
        <f ca="1">SUM(AE244:AE246)</f>
        <v>895.1828201632</v>
      </c>
      <c r="AF247" s="282">
        <f ca="1">SUM(AF244:AF246)</f>
        <v>1153.162268726464</v>
      </c>
      <c r="AG247" s="282">
        <f ca="1">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33" ca="1">F246/F28</f>
        <v>1e-12</v>
      </c>
      <c r="G249" s="445">
        <f ca="1">G246/G28</f>
        <v>0.005178750417641162</v>
      </c>
      <c r="H249" s="445">
        <f ca="1">H246/H28</f>
        <v>0.0014222370952898854</v>
      </c>
      <c r="I249" s="445">
        <f ca="1">I246/I28</f>
        <v>1e-12</v>
      </c>
      <c r="J249" s="446">
        <f ca="1">J246/J28</f>
        <v>0.001726624994535997</v>
      </c>
      <c r="K249" s="445">
        <f ca="1">K246/K28</f>
        <v>1e-12</v>
      </c>
      <c r="L249" s="445">
        <f ca="1">L246/L28</f>
        <v>0.004125212327105072</v>
      </c>
      <c r="M249" s="445">
        <f ca="1">M246/M28</f>
        <v>1e-12</v>
      </c>
      <c r="N249" s="447">
        <f ca="1">N246/N28</f>
        <v>0.004071379071379071</v>
      </c>
      <c r="O249" s="446">
        <f ca="1">O246/O28</f>
        <v>0.0020824036888293916</v>
      </c>
      <c r="P249" s="445">
        <f ca="1">P246/P28</f>
        <v>1e-12</v>
      </c>
      <c r="Q249" s="445">
        <f ca="1">Q246/Q28</f>
        <v>1e-12</v>
      </c>
      <c r="R249" s="447">
        <f ca="1">R246/R28</f>
        <v>1e-12</v>
      </c>
      <c r="S249" s="445">
        <f ca="1">S246/S28</f>
        <v>0.008289629504313991</v>
      </c>
      <c r="T249" s="446">
        <f ca="1">T246/T28</f>
        <v>0.0020441793037274986</v>
      </c>
      <c r="U249" s="445">
        <f ca="1">U246/U28</f>
        <v>1e-12</v>
      </c>
      <c r="V249" s="445">
        <f ca="1">V246/V28</f>
        <v>0.002212549873050417</v>
      </c>
      <c r="W249" s="447">
        <f ca="1">W246/W28</f>
        <v>0.0023562265468190942</v>
      </c>
      <c r="X249" s="448">
        <f ca="1">W249</f>
        <v>0.0023562265468190942</v>
      </c>
      <c r="Y249" s="446">
        <f ca="1">Y246/Y28</f>
        <v>0.0022786017266898423</v>
      </c>
      <c r="Z249" s="448">
        <f ca="1">X249</f>
        <v>0.0023562265468190942</v>
      </c>
      <c r="AA249" s="448">
        <f t="shared" ref="AA249:AC249" si="434" ca="1">Z249</f>
        <v>0.0023562265468190942</v>
      </c>
      <c r="AB249" s="448">
        <f ca="1">AA249</f>
        <v>0.0023562265468190942</v>
      </c>
      <c r="AC249" s="448">
        <f ca="1">AB249</f>
        <v>0.0023562265468190942</v>
      </c>
      <c r="AD249" s="446">
        <f ca="1">AD246/AD28</f>
        <v>0.0023562265468190947</v>
      </c>
      <c r="AE249" s="449">
        <f ca="1">AC249</f>
        <v>0.0023562265468190942</v>
      </c>
      <c r="AF249" s="449">
        <f t="shared" ref="AF249:AG249" si="435" ca="1">AE249</f>
        <v>0.0023562265468190942</v>
      </c>
      <c r="AG249" s="449">
        <f ca="1">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36" ca="1">E256</f>
        <v>1e-12</v>
      </c>
      <c r="G252" s="353">
        <f ca="1">F256</f>
        <v>72137</v>
      </c>
      <c r="H252" s="353">
        <f ca="1">G256</f>
        <v>72695</v>
      </c>
      <c r="I252" s="353">
        <f ca="1">H256</f>
        <v>73793</v>
      </c>
      <c r="J252" s="282">
        <f ca="1">F252</f>
        <v>1e-12</v>
      </c>
      <c r="K252" s="353">
        <f t="shared" ref="K252:N252" si="437" ca="1">J256</f>
        <v>73782</v>
      </c>
      <c r="L252" s="353">
        <f ca="1">K256</f>
        <v>74868</v>
      </c>
      <c r="M252" s="353">
        <f ca="1">L256</f>
        <v>75189</v>
      </c>
      <c r="N252" s="444">
        <f ca="1">M256</f>
        <v>75946</v>
      </c>
      <c r="O252" s="282">
        <f ca="1">K252</f>
        <v>73782</v>
      </c>
      <c r="P252" s="353">
        <f t="shared" ref="P252:S252" si="438" ca="1">O256</f>
        <v>76054</v>
      </c>
      <c r="Q252" s="353">
        <f ca="1">P256</f>
        <v>77189</v>
      </c>
      <c r="R252" s="444">
        <f ca="1">Q256</f>
        <v>78803</v>
      </c>
      <c r="S252" s="353">
        <f ca="1">R256</f>
        <v>80305</v>
      </c>
      <c r="T252" s="282">
        <f ca="1">P252</f>
        <v>76054</v>
      </c>
      <c r="U252" s="353">
        <f t="shared" ref="U252:X252" si="439" ca="1">T256</f>
        <v>80382</v>
      </c>
      <c r="V252" s="353">
        <f ca="1">U256</f>
        <v>98</v>
      </c>
      <c r="W252" s="444">
        <f ca="1">V256</f>
        <v>-460</v>
      </c>
      <c r="X252" s="281">
        <f ca="1">W256</f>
        <v>-1913</v>
      </c>
      <c r="Y252" s="282">
        <f ca="1">T256</f>
        <v>1117</v>
      </c>
      <c r="Z252" s="281">
        <f ca="1">Y256</f>
        <v>-8865.776413</v>
      </c>
      <c r="AA252" s="281">
        <f ca="1">Z256</f>
        <v>-13577.925223907447</v>
      </c>
      <c r="AB252" s="281">
        <f ca="1">AA256</f>
        <v>-14204.464818253959</v>
      </c>
      <c r="AC252" s="281">
        <f ca="1">AB256</f>
        <v>-17317.53817794687</v>
      </c>
      <c r="AD252" s="282">
        <f ca="1">Y256</f>
        <v>-8865.776413</v>
      </c>
      <c r="AE252" s="282">
        <f ca="1">AD256</f>
        <v>-25259.133760633616</v>
      </c>
      <c r="AF252" s="282">
        <f ca="1">AE256</f>
        <v>-42344.618742392755</v>
      </c>
      <c r="AG252" s="282">
        <f ca="1">AF256</f>
        <v>-60677.79804907898</v>
      </c>
      <c r="AH252" s="16"/>
      <c r="AI252" s="16"/>
      <c r="AJ252" s="16"/>
      <c r="AK252" s="16"/>
    </row>
    <row r="253" ht="13.5" customHeight="1" spans="1:37" x14ac:dyDescent="0.25">
      <c r="A253" s="264"/>
      <c r="B253" s="16"/>
      <c r="C253" s="139" t="s">
        <v>300</v>
      </c>
      <c r="D253" s="16"/>
      <c r="E253" s="16"/>
      <c r="F253" s="384">
        <f t="shared" ref="F253:I253" si="440" ca="1">F45</f>
        <v>2838</v>
      </c>
      <c r="G253" s="384">
        <f ca="1">G45</f>
        <v>1983</v>
      </c>
      <c r="H253" s="384">
        <f ca="1">H45</f>
        <v>2566</v>
      </c>
      <c r="I253" s="384">
        <f ca="1">I45</f>
        <v>-7039</v>
      </c>
      <c r="J253" s="162">
        <f t="shared" ref="J253:J255" si="441" ca="1">SUM(F253:I253)</f>
        <v>348</v>
      </c>
      <c r="K253" s="384">
        <f t="shared" ref="K253:N253" si="442" ca="1">K45</f>
        <v>2831</v>
      </c>
      <c r="L253" s="384">
        <f ca="1">L45</f>
        <v>3234</v>
      </c>
      <c r="M253" s="384">
        <f ca="1">M45</f>
        <v>3353</v>
      </c>
      <c r="N253" s="437">
        <f ca="1">N45</f>
        <v>-3145</v>
      </c>
      <c r="O253" s="162">
        <f t="shared" ref="O253:O255" si="443" ca="1">SUM(K253:N253)</f>
        <v>6273</v>
      </c>
      <c r="P253" s="384">
        <f t="shared" ref="P253:S253" si="444" ca="1">P45</f>
        <v>3057</v>
      </c>
      <c r="Q253" s="384">
        <f ca="1">Q45</f>
        <v>3313</v>
      </c>
      <c r="R253" s="437">
        <f ca="1">R45</f>
        <v>3097</v>
      </c>
      <c r="S253" s="384">
        <f ca="1">S45</f>
        <v>-4163</v>
      </c>
      <c r="T253" s="162">
        <f t="shared" ref="T253:T255" si="445" ca="1">SUM(P253:S253)</f>
        <v>5304</v>
      </c>
      <c r="U253" s="384">
        <f t="shared" ref="U253:X253" si="446" ca="1">U45</f>
        <v>3603</v>
      </c>
      <c r="V253" s="384">
        <f ca="1">V45</f>
        <v>3018</v>
      </c>
      <c r="W253" s="437">
        <f ca="1">W45</f>
        <v>1896</v>
      </c>
      <c r="X253" s="359">
        <f ca="1">X45</f>
        <v>-1906.5764130000002</v>
      </c>
      <c r="Y253" s="162">
        <f ca="1">SUM(U253:X253)</f>
        <v>6994.423586999999</v>
      </c>
      <c r="Z253" s="359">
        <f ca="1">Z45</f>
        <v>-2088.9988109074484</v>
      </c>
      <c r="AA253" s="359">
        <f ca="1">AA45</f>
        <v>-2249.1895943465115</v>
      </c>
      <c r="AB253" s="359">
        <f ca="1">AB45</f>
        <v>-2465.6233596929096</v>
      </c>
      <c r="AC253" s="359">
        <f ca="1">AC45</f>
        <v>-2138.4655826867493</v>
      </c>
      <c r="AD253" s="162">
        <f ca="1">SUM(Z253:AC253)</f>
        <v>-8942.277347633619</v>
      </c>
      <c r="AE253" s="162">
        <f ca="1">AE45</f>
        <v>-8889.296981759138</v>
      </c>
      <c r="AF253" s="162">
        <f ca="1">AF45</f>
        <v>-9317.372506686226</v>
      </c>
      <c r="AG253" s="162">
        <f ca="1">AG45</f>
        <v>-9718.490900596164</v>
      </c>
      <c r="AH253" s="16"/>
      <c r="AI253" s="16"/>
      <c r="AJ253" s="16"/>
      <c r="AK253" s="16"/>
    </row>
    <row r="254" ht="13.5" customHeight="1" spans="1:37" x14ac:dyDescent="0.25">
      <c r="A254" s="264"/>
      <c r="B254" s="16"/>
      <c r="C254" s="139" t="s">
        <v>408</v>
      </c>
      <c r="D254" s="16"/>
      <c r="E254" s="16"/>
      <c r="F254" s="438">
        <v>-101</v>
      </c>
      <c r="G254" s="438">
        <v>-1988</v>
      </c>
      <c r="H254" s="358">
        <v>-1989</v>
      </c>
      <c r="I254" s="358">
        <v>-3874</v>
      </c>
      <c r="J254" s="162">
        <f ca="1">SUM(F254:I254)</f>
        <v>-7952</v>
      </c>
      <c r="K254" s="358">
        <v>-99</v>
      </c>
      <c r="L254" s="358">
        <v>-2085</v>
      </c>
      <c r="M254" s="358">
        <v>-2090</v>
      </c>
      <c r="N254" s="438">
        <v>-4085</v>
      </c>
      <c r="O254" s="162">
        <f ca="1">SUM(K254:N254)</f>
        <v>-8359</v>
      </c>
      <c r="P254" s="358">
        <v>-89</v>
      </c>
      <c r="Q254" s="358">
        <v>-2194</v>
      </c>
      <c r="R254" s="438">
        <v>-2108</v>
      </c>
      <c r="S254" s="358">
        <v>-4388</v>
      </c>
      <c r="T254" s="162">
        <f ca="1">SUM(P254:S254)</f>
        <v>-8779</v>
      </c>
      <c r="U254" s="358">
        <v>-2281</v>
      </c>
      <c r="V254" s="358">
        <f ca="1">-870-U254</f>
        <v>-430</v>
      </c>
      <c r="W254" s="438">
        <f ca="1">-1433-SUM(U254:V254)</f>
        <v>-563</v>
      </c>
      <c r="X254" s="359">
        <f ca="1">-X267</f>
        <v>-519.8</v>
      </c>
      <c r="Y254" s="162">
        <f ca="1">SUM(U254:X254)</f>
        <v>-1952.8</v>
      </c>
      <c r="Z254" s="359">
        <f t="shared" ref="Z254:AC254" si="447" ca="1">-Z267</f>
        <v>-505.99999999999994</v>
      </c>
      <c r="AA254" s="359">
        <f ca="1">-AA267</f>
        <v>-494.49999999999994</v>
      </c>
      <c r="AB254" s="359">
        <f ca="1">-AB267</f>
        <v>-647.4499999999999</v>
      </c>
      <c r="AC254" s="359">
        <f ca="1">-AC267</f>
        <v>-597.7699999999999</v>
      </c>
      <c r="AD254" s="162">
        <f ca="1">SUM(Z254:AC254)</f>
        <v>-2245.72</v>
      </c>
      <c r="AE254" s="162">
        <f t="shared" ref="AE254:AG254" si="448" ca="1">-AE267</f>
        <v>-2470.292</v>
      </c>
      <c r="AF254" s="162">
        <f ca="1">-AF267</f>
        <v>-2717.3212000000003</v>
      </c>
      <c r="AG254" s="162">
        <f ca="1">-AG267</f>
        <v>-2989.0533200000004</v>
      </c>
      <c r="AH254" s="16"/>
      <c r="AI254" s="16"/>
      <c r="AJ254" s="16"/>
      <c r="AK254" s="16"/>
    </row>
    <row r="255" ht="13.5" customHeight="1" spans="1:37" x14ac:dyDescent="0.25">
      <c r="A255" s="264"/>
      <c r="B255" s="16"/>
      <c r="C255" s="139" t="s">
        <v>409</v>
      </c>
      <c r="D255" s="16"/>
      <c r="E255" s="16"/>
      <c r="F255" s="372">
        <f t="shared" ref="F255:I255" si="449" ca="1">F256-SUM(F252:F254)</f>
        <v>69400</v>
      </c>
      <c r="G255" s="372">
        <f ca="1">G256-SUM(G252:G254)</f>
        <v>563</v>
      </c>
      <c r="H255" s="372">
        <f ca="1">H256-SUM(H252:H254)</f>
        <v>521</v>
      </c>
      <c r="I255" s="372">
        <f ca="1">I256-SUM(I252:I254)</f>
        <v>10902</v>
      </c>
      <c r="J255" s="355">
        <f ca="1">SUM(F255:I255)</f>
        <v>81386</v>
      </c>
      <c r="K255" s="372">
        <f t="shared" ref="K255:N255" si="450" ca="1">K256-SUM(K252:K254)</f>
        <v>-1646</v>
      </c>
      <c r="L255" s="372">
        <f ca="1">L256-SUM(L252:L254)</f>
        <v>-828</v>
      </c>
      <c r="M255" s="372">
        <f ca="1">M256-SUM(M252:M254)</f>
        <v>-506</v>
      </c>
      <c r="N255" s="450">
        <f ca="1">N256-SUM(N252:N254)</f>
        <v>7338</v>
      </c>
      <c r="O255" s="355">
        <f ca="1">SUM(K255:N255)</f>
        <v>4358</v>
      </c>
      <c r="P255" s="372">
        <f t="shared" ref="P255:S255" si="451" ca="1">P256-SUM(P252:P254)</f>
        <v>-1833</v>
      </c>
      <c r="Q255" s="372">
        <f ca="1">Q256-SUM(Q252:Q254)</f>
        <v>495</v>
      </c>
      <c r="R255" s="450">
        <f ca="1">R256-SUM(R252:R254)</f>
        <v>513</v>
      </c>
      <c r="S255" s="372">
        <f ca="1">S256-SUM(S252:S254)</f>
        <v>8628</v>
      </c>
      <c r="T255" s="355">
        <f ca="1">SUM(P255:S255)</f>
        <v>7803</v>
      </c>
      <c r="U255" s="372">
        <f t="shared" ref="U255:W255" si="452" ca="1">U256-SUM(U252:U254)</f>
        <v>322</v>
      </c>
      <c r="V255" s="372">
        <f ca="1">V256-SUM(V252:V254)</f>
        <v>-3146</v>
      </c>
      <c r="W255" s="450">
        <f ca="1">W256-SUM(W252:W254)</f>
        <v>-2786</v>
      </c>
      <c r="X255" s="368">
        <v>0</v>
      </c>
      <c r="Y255" s="355">
        <f ca="1">SUM(U255:X255)</f>
        <v>-8832</v>
      </c>
      <c r="Z255" s="368">
        <v>0</v>
      </c>
      <c r="AA255" s="368">
        <v>0</v>
      </c>
      <c r="AB255" s="368">
        <v>0</v>
      </c>
      <c r="AC255" s="368">
        <v>0</v>
      </c>
      <c r="AD255" s="355">
        <f ca="1">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53" ca="1">F148</f>
        <v>72137</v>
      </c>
      <c r="G256" s="353">
        <f ca="1">G148</f>
        <v>72695</v>
      </c>
      <c r="H256" s="353">
        <f ca="1">H148</f>
        <v>73793</v>
      </c>
      <c r="I256" s="353">
        <f ca="1">I148</f>
        <v>73782</v>
      </c>
      <c r="J256" s="282">
        <f ca="1">J148</f>
        <v>73782</v>
      </c>
      <c r="K256" s="353">
        <f ca="1">K148</f>
        <v>74868</v>
      </c>
      <c r="L256" s="353">
        <f ca="1">L148</f>
        <v>75189</v>
      </c>
      <c r="M256" s="353">
        <f ca="1">M148</f>
        <v>75946</v>
      </c>
      <c r="N256" s="444">
        <f ca="1">N148</f>
        <v>76054</v>
      </c>
      <c r="O256" s="282">
        <f ca="1">O148</f>
        <v>76054</v>
      </c>
      <c r="P256" s="353">
        <f ca="1">P148</f>
        <v>77189</v>
      </c>
      <c r="Q256" s="353">
        <f ca="1">Q148</f>
        <v>78803</v>
      </c>
      <c r="R256" s="444">
        <f ca="1">R148</f>
        <v>80305</v>
      </c>
      <c r="S256" s="353">
        <f ca="1">S148</f>
        <v>80382</v>
      </c>
      <c r="T256" s="282">
        <f ca="1">T148</f>
        <v>80382</v>
      </c>
      <c r="U256" s="353">
        <f ca="1">U148</f>
        <v>82026</v>
      </c>
      <c r="V256" s="353">
        <f ca="1">V148</f>
        <v>-460</v>
      </c>
      <c r="W256" s="444">
        <f ca="1">W148</f>
        <v>-1913</v>
      </c>
      <c r="X256" s="281">
        <f ca="1">SUM(X252:X255)</f>
        <v>-8865.776413</v>
      </c>
      <c r="Y256" s="282">
        <f ca="1">SUM(Y252:Y255)</f>
        <v>-8865.776413</v>
      </c>
      <c r="Z256" s="281">
        <f ca="1">SUM(Z252:Z255)</f>
        <v>-13577.925223907447</v>
      </c>
      <c r="AA256" s="281">
        <f ca="1">SUM(AA252:AA255)</f>
        <v>-14204.464818253959</v>
      </c>
      <c r="AB256" s="281">
        <f ca="1">SUM(AB252:AB255)</f>
        <v>-17317.53817794687</v>
      </c>
      <c r="AC256" s="281">
        <f ca="1">SUM(AC252:AC255)</f>
        <v>-25259.133760633616</v>
      </c>
      <c r="AD256" s="282">
        <f ca="1">SUM(AD252:AD255)</f>
        <v>-25259.133760633616</v>
      </c>
      <c r="AE256" s="282">
        <f ca="1">SUM(AE252:AE255)</f>
        <v>-42344.618742392755</v>
      </c>
      <c r="AF256" s="282">
        <f ca="1">SUM(AF252:AF255)</f>
        <v>-60677.79804907898</v>
      </c>
      <c r="AG256" s="282">
        <f ca="1">SUM(AG252:AG255)</f>
        <v>-80313.67642967515</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54" ca="1">E261</f>
        <v>1e-12</v>
      </c>
      <c r="G259" s="353">
        <f ca="1">F261</f>
        <v>-14322</v>
      </c>
      <c r="H259" s="353">
        <f ca="1">G261</f>
        <v>-14017</v>
      </c>
      <c r="I259" s="353">
        <f ca="1">H261</f>
        <v>-14815</v>
      </c>
      <c r="J259" s="282">
        <f ca="1">F259</f>
        <v>1e-12</v>
      </c>
      <c r="K259" s="353">
        <f t="shared" ref="K259:N259" si="455" ca="1">J261</f>
        <v>-14275</v>
      </c>
      <c r="L259" s="353">
        <f ca="1">K261</f>
        <v>-14504</v>
      </c>
      <c r="M259" s="353">
        <f ca="1">L261</f>
        <v>-15458</v>
      </c>
      <c r="N259" s="444">
        <f ca="1">M261</f>
        <v>-15536</v>
      </c>
      <c r="O259" s="282">
        <f ca="1">K259</f>
        <v>-14275</v>
      </c>
      <c r="P259" s="353">
        <f t="shared" ref="P259:S259" si="456" ca="1">O261</f>
        <v>-16843</v>
      </c>
      <c r="Q259" s="353">
        <f ca="1">P261</f>
        <v>-16482</v>
      </c>
      <c r="R259" s="353">
        <f ca="1">Q261</f>
        <v>-15758</v>
      </c>
      <c r="S259" s="353">
        <f ca="1">R261</f>
        <v>-14952</v>
      </c>
      <c r="T259" s="282">
        <f ca="1">P259</f>
        <v>-16843</v>
      </c>
      <c r="U259" s="353">
        <f t="shared" ref="U259:X259" si="457" ca="1">T261</f>
        <v>-14131</v>
      </c>
      <c r="V259" s="353">
        <f ca="1">U261</f>
        <v>-11</v>
      </c>
      <c r="W259" s="353">
        <f ca="1">V261</f>
        <v>-65</v>
      </c>
      <c r="X259" s="281">
        <f ca="1">W261</f>
        <v>-6</v>
      </c>
      <c r="Y259" s="282">
        <f ca="1">T261</f>
        <v>-136</v>
      </c>
      <c r="Z259" s="281">
        <f t="shared" ref="Z259:AC259" si="458" ca="1">Y261</f>
        <v>-6</v>
      </c>
      <c r="AA259" s="281">
        <f ca="1">Z261</f>
        <v>-6</v>
      </c>
      <c r="AB259" s="281">
        <f ca="1">AA261</f>
        <v>-6</v>
      </c>
      <c r="AC259" s="281">
        <f ca="1">AB261</f>
        <v>-6</v>
      </c>
      <c r="AD259" s="282">
        <f ca="1">Y261</f>
        <v>-6</v>
      </c>
      <c r="AE259" s="282">
        <f t="shared" ref="AE259:AG259" si="459" ca="1">AD261</f>
        <v>-6</v>
      </c>
      <c r="AF259" s="282">
        <f ca="1">AE261</f>
        <v>-6</v>
      </c>
      <c r="AG259" s="282">
        <f ca="1">AF261</f>
        <v>-6</v>
      </c>
      <c r="AH259" s="16"/>
      <c r="AI259" s="16"/>
      <c r="AJ259" s="16"/>
      <c r="AK259" s="16"/>
    </row>
    <row r="260" ht="13.5" customHeight="1" spans="1:37" x14ac:dyDescent="0.25">
      <c r="A260" s="264"/>
      <c r="B260" s="16"/>
      <c r="C260" s="139" t="s">
        <v>411</v>
      </c>
      <c r="D260" s="16"/>
      <c r="E260" s="16"/>
      <c r="F260" s="372">
        <f t="shared" ref="F260:I260" si="460" ca="1">F261-F259</f>
        <v>-14322</v>
      </c>
      <c r="G260" s="372">
        <f ca="1">G261-G259</f>
        <v>305</v>
      </c>
      <c r="H260" s="372">
        <f ca="1">H261-H259</f>
        <v>-798</v>
      </c>
      <c r="I260" s="372">
        <f ca="1">I261-I259</f>
        <v>540</v>
      </c>
      <c r="J260" s="355">
        <f ca="1">SUM(F260:I260)</f>
        <v>-14275</v>
      </c>
      <c r="K260" s="372">
        <f t="shared" ref="K260:N260" si="461" ca="1">K261-K259</f>
        <v>-229</v>
      </c>
      <c r="L260" s="372">
        <f ca="1">L261-L259</f>
        <v>-954</v>
      </c>
      <c r="M260" s="372">
        <f ca="1">M261-M259</f>
        <v>-78</v>
      </c>
      <c r="N260" s="450">
        <f ca="1">N261-N259</f>
        <v>-1307</v>
      </c>
      <c r="O260" s="355">
        <f ca="1">SUM(K260:N260)</f>
        <v>-2568</v>
      </c>
      <c r="P260" s="372">
        <f t="shared" ref="P260:S260" si="462" ca="1">P261-P259</f>
        <v>361</v>
      </c>
      <c r="Q260" s="372">
        <f ca="1">Q261-Q259</f>
        <v>724</v>
      </c>
      <c r="R260" s="372">
        <f ca="1">R261-R259</f>
        <v>806</v>
      </c>
      <c r="S260" s="372">
        <f ca="1">S261-S259</f>
        <v>821</v>
      </c>
      <c r="T260" s="355">
        <f ca="1">SUM(P260:S260)</f>
        <v>2712</v>
      </c>
      <c r="U260" s="372">
        <f t="shared" ref="U260:W260" si="463" ca="1">U261-U259</f>
        <v>91</v>
      </c>
      <c r="V260" s="372">
        <f ca="1">V261-V259</f>
        <v>-54</v>
      </c>
      <c r="W260" s="372">
        <f ca="1">W261-W259</f>
        <v>59</v>
      </c>
      <c r="X260" s="385">
        <f ca="1">Drivers!X108</f>
        <v>1e-12</v>
      </c>
      <c r="Y260" s="355">
        <f ca="1">SUM(U260:X260)</f>
        <v>130</v>
      </c>
      <c r="Z260" s="385">
        <f ca="1">Drivers!Z108</f>
        <v>1e-12</v>
      </c>
      <c r="AA260" s="385">
        <f ca="1">Drivers!AA108</f>
        <v>1e-12</v>
      </c>
      <c r="AB260" s="385">
        <f ca="1">Drivers!AB108</f>
        <v>1e-12</v>
      </c>
      <c r="AC260" s="385">
        <f ca="1">Drivers!AC108</f>
        <v>1e-12</v>
      </c>
      <c r="AD260" s="355">
        <f ca="1">SUM(Z260:AC260)</f>
        <v>1e-12</v>
      </c>
      <c r="AE260" s="391">
        <f ca="1">Drivers!AE108</f>
        <v>1e-12</v>
      </c>
      <c r="AF260" s="391">
        <f ca="1">Drivers!AF108</f>
        <v>1e-12</v>
      </c>
      <c r="AG260" s="391">
        <f ca="1">Drivers!AG108</f>
        <v>1e-12</v>
      </c>
      <c r="AH260" s="16"/>
      <c r="AI260" s="16"/>
      <c r="AJ260" s="16"/>
      <c r="AK260" s="16"/>
    </row>
    <row r="261" ht="13.5" customHeight="1" spans="1:37" x14ac:dyDescent="0.25">
      <c r="A261" s="264"/>
      <c r="B261" s="16"/>
      <c r="C261" s="139" t="s">
        <v>406</v>
      </c>
      <c r="D261" s="16"/>
      <c r="E261" s="16"/>
      <c r="F261" s="353">
        <f t="shared" ref="F261:I261" si="464" ca="1">F150</f>
        <v>-14322</v>
      </c>
      <c r="G261" s="353">
        <f ca="1">G150</f>
        <v>-14017</v>
      </c>
      <c r="H261" s="353">
        <f ca="1">H150</f>
        <v>-14815</v>
      </c>
      <c r="I261" s="353">
        <f ca="1">I150</f>
        <v>-14275</v>
      </c>
      <c r="J261" s="282">
        <f ca="1">SUM(J259:J260)</f>
        <v>-14275</v>
      </c>
      <c r="K261" s="353">
        <f t="shared" ref="K261:N261" si="465" ca="1">K150</f>
        <v>-14504</v>
      </c>
      <c r="L261" s="353">
        <f ca="1">L150</f>
        <v>-15458</v>
      </c>
      <c r="M261" s="353">
        <f ca="1">M150</f>
        <v>-15536</v>
      </c>
      <c r="N261" s="353">
        <f ca="1">N150</f>
        <v>-16843</v>
      </c>
      <c r="O261" s="282">
        <f ca="1">SUM(O259:O260)</f>
        <v>-16843</v>
      </c>
      <c r="P261" s="353">
        <f t="shared" ref="P261:S261" si="466" ca="1">P150</f>
        <v>-16482</v>
      </c>
      <c r="Q261" s="353">
        <f ca="1">Q150</f>
        <v>-15758</v>
      </c>
      <c r="R261" s="353">
        <f ca="1">R150</f>
        <v>-14952</v>
      </c>
      <c r="S261" s="353">
        <f ca="1">S150</f>
        <v>-14131</v>
      </c>
      <c r="T261" s="282">
        <f ca="1">SUM(T259:T260)</f>
        <v>-14131</v>
      </c>
      <c r="U261" s="353">
        <f t="shared" ref="U261:W261" si="467" ca="1">U150</f>
        <v>-14040</v>
      </c>
      <c r="V261" s="353">
        <f ca="1">V150</f>
        <v>-65</v>
      </c>
      <c r="W261" s="353">
        <f ca="1">W150</f>
        <v>-6</v>
      </c>
      <c r="X261" s="281">
        <f t="shared" ref="X261:AG261" si="468" ca="1">SUM(X259:X260)</f>
        <v>-6</v>
      </c>
      <c r="Y261" s="282">
        <f ca="1">SUM(Y259:Y260)</f>
        <v>-6</v>
      </c>
      <c r="Z261" s="281">
        <f ca="1">SUM(Z259:Z260)</f>
        <v>-6</v>
      </c>
      <c r="AA261" s="281">
        <f ca="1">SUM(AA259:AA260)</f>
        <v>-6</v>
      </c>
      <c r="AB261" s="281">
        <f ca="1">SUM(AB259:AB260)</f>
        <v>-6</v>
      </c>
      <c r="AC261" s="281">
        <f ca="1">SUM(AC259:AC260)</f>
        <v>-6</v>
      </c>
      <c r="AD261" s="282">
        <f ca="1">SUM(AD259:AD260)</f>
        <v>-6</v>
      </c>
      <c r="AE261" s="282">
        <f ca="1">SUM(AE259:AE260)</f>
        <v>-6</v>
      </c>
      <c r="AF261" s="282">
        <f ca="1">SUM(AF259:AF260)</f>
        <v>-6</v>
      </c>
      <c r="AG261" s="282">
        <f ca="1">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69" ca="1">F267/F266</f>
        <v>0.4121212121212121</v>
      </c>
      <c r="G264" s="370">
        <f ca="1">G267/G266</f>
        <v>0.4157441574415744</v>
      </c>
      <c r="H264" s="370">
        <f ca="1">H267/H266</f>
        <v>0.4838709677419355</v>
      </c>
      <c r="I264" s="370">
        <f ca="1">I267/I266</f>
        <v>0.48314606741573035</v>
      </c>
      <c r="J264" s="127">
        <f ca="1">J267/J266</f>
        <v>1.8164794007490637</v>
      </c>
      <c r="K264" s="370">
        <f ca="1">K267/K266</f>
        <v>0.4666666666666667</v>
      </c>
      <c r="L264" s="370">
        <f ca="1">L267/L266</f>
        <v>0.4698646986469865</v>
      </c>
      <c r="M264" s="370">
        <f ca="1">M267/M266</f>
        <v>0.5310173697270472</v>
      </c>
      <c r="N264" s="370">
        <f ca="1">N267/N266</f>
        <v>0.5280898876404494</v>
      </c>
      <c r="O264" s="127">
        <f ca="1">O267/O266</f>
        <v>2.0199750312109863</v>
      </c>
      <c r="P264" s="370">
        <f ca="1">P267/P266</f>
        <v>0.5562913907284768</v>
      </c>
      <c r="Q264" s="370">
        <f ca="1">Q267/Q266</f>
        <v>0.5531914893617021</v>
      </c>
      <c r="R264" s="370">
        <f ca="1">R267/R266</f>
        <v>0.5531914893617021</v>
      </c>
      <c r="S264" s="370">
        <f ca="1">S267/S266</f>
        <v>0.6042780748663101</v>
      </c>
      <c r="T264" s="127">
        <f ca="1">T267/T266</f>
        <v>2.27807486631016</v>
      </c>
      <c r="U264" s="370">
        <f ca="1">U267/U266</f>
        <v>0.6128133704735376</v>
      </c>
      <c r="V264" s="370">
        <f ca="1">V267/V266</f>
        <v>0.6099290780141844</v>
      </c>
      <c r="W264" s="370">
        <f ca="1">W267/W266</f>
        <v>0.8159420289855073</v>
      </c>
      <c r="X264" s="451">
        <f ca="1">X267/X266</f>
        <v>0.7727356551328315</v>
      </c>
      <c r="Y264" s="452">
        <f ca="1">Y267/Y266</f>
        <v>2.8040600010044407</v>
      </c>
      <c r="Z264" s="451">
        <f ca="1">Z267/Z266</f>
        <v>0.7546260482128161</v>
      </c>
      <c r="AA264" s="451">
        <f ca="1">AA267/AA266</f>
        <v>0.7398413682399202</v>
      </c>
      <c r="AB264" s="451">
        <f ca="1">AB267/AB266</f>
        <v>0.9717936576599148</v>
      </c>
      <c r="AC264" s="451">
        <f ca="1">AC267/AC266</f>
        <v>0.9001231868505855</v>
      </c>
      <c r="AD264" s="452">
        <f ca="1">AD267/AD266</f>
        <v>3.3653103134459723</v>
      </c>
      <c r="AE264" s="452">
        <f ca="1">AE267/AE266</f>
        <v>3.76228771474281</v>
      </c>
      <c r="AF264" s="452">
        <f ca="1">AF267/AF266</f>
        <v>4.221229264648804</v>
      </c>
      <c r="AG264" s="452">
        <f ca="1">AG267/AG266</f>
        <v>4.738047247540297</v>
      </c>
      <c r="AH264" s="16"/>
      <c r="AI264" s="16"/>
      <c r="AJ264" s="16"/>
      <c r="AK264" s="16"/>
    </row>
    <row r="265" ht="13.5" customHeight="1" spans="1:37" x14ac:dyDescent="0.25">
      <c r="A265" s="264"/>
      <c r="B265" s="16"/>
      <c r="C265" s="139" t="s">
        <v>50</v>
      </c>
      <c r="D265" s="16"/>
      <c r="E265" s="16"/>
      <c r="F265" s="397">
        <f t="shared" ref="F265:I265" si="470" ca="1">4*F264/F239</f>
        <v>0.019172887281749807</v>
      </c>
      <c r="G265" s="397">
        <f ca="1">4*G264/G239</f>
        <v>0.01811521383187688</v>
      </c>
      <c r="H265" s="397">
        <f ca="1">4*H264/H239</f>
        <v>0.020230833813815637</v>
      </c>
      <c r="I265" s="397">
        <f ca="1">4*I264/I239</f>
        <v>0.017368421584101023</v>
      </c>
      <c r="J265" s="398">
        <f ca="1">J264/J239</f>
        <v>0.019322090039684513</v>
      </c>
      <c r="K265" s="397">
        <f t="shared" ref="K265:N265" si="471" ca="1">4*K264/K239</f>
        <v>0.01823807197524833</v>
      </c>
      <c r="L265" s="397">
        <f ca="1">4*L264/L239</f>
        <v>0.01832009742263326</v>
      </c>
      <c r="M265" s="397">
        <f ca="1">4*M264/M239</f>
        <v>0.019592929424482878</v>
      </c>
      <c r="N265" s="397">
        <f ca="1">4*N264/N239</f>
        <v>0.02004706795636137</v>
      </c>
      <c r="O265" s="398">
        <f ca="1">O264/O239</f>
        <v>0.01940322266379651</v>
      </c>
      <c r="P265" s="397">
        <f t="shared" ref="P265:S265" si="472" ca="1">4*P264/P239</f>
        <v>0.022526478668899647</v>
      </c>
      <c r="Q265" s="397">
        <f ca="1">4*Q264/Q239</f>
        <v>0.022400951178850055</v>
      </c>
      <c r="R265" s="397">
        <f ca="1">4*R264/R239</f>
        <v>0.013074582213138853</v>
      </c>
      <c r="S265" s="397">
        <f ca="1">4*S264/S239</f>
        <v>0.011536501203588763</v>
      </c>
      <c r="T265" s="398">
        <f ca="1">T264/T239</f>
        <v>0.01353413108895355</v>
      </c>
      <c r="U265" s="397">
        <f t="shared" ref="U265:W265" si="473" ca="1">4*U264/U239</f>
        <v>0.013453641503260979</v>
      </c>
      <c r="V265" s="397">
        <f ca="1">4*V264/V239</f>
        <v>0.012778959704955387</v>
      </c>
      <c r="W265" s="397">
        <f ca="1">4*W264/W239</f>
        <v>0.015815639175527117</v>
      </c>
      <c r="X265" s="399">
        <f ca="1">X264*4/X239</f>
        <v>0.013255607773099433</v>
      </c>
      <c r="Y265" s="398">
        <f ca="1">Y264/Y239</f>
        <v>0.014445001368382868</v>
      </c>
      <c r="Z265" s="399">
        <f t="shared" ref="Z265:AC265" si="474" ca="1">Z264*4/Z239</f>
        <v>0.012944953224338555</v>
      </c>
      <c r="AA265" s="399">
        <f ca="1">AA264*4/AA239</f>
        <v>0.012691334904192815</v>
      </c>
      <c r="AB265" s="399">
        <f ca="1">AB264*4/AB239</f>
        <v>0.01667027459747688</v>
      </c>
      <c r="AC265" s="399">
        <f ca="1">AC264*4/AC239</f>
        <v>0.015440830034318303</v>
      </c>
      <c r="AD265" s="398">
        <f t="shared" ref="AD265:AG265" si="475" ca="1">AD264/AD239</f>
        <v>0.014432242531289014</v>
      </c>
      <c r="AE265" s="398">
        <f ca="1">AE264/AE239</f>
        <v>0.016134693004300583</v>
      </c>
      <c r="AF265" s="398">
        <f ca="1">AF264/AF239</f>
        <v>0.01810287874023846</v>
      </c>
      <c r="AG265" s="398">
        <f ca="1">AG264/AG239</f>
        <v>0.020319269437946208</v>
      </c>
      <c r="AH265" s="16"/>
      <c r="AI265" s="16"/>
      <c r="AJ265" s="16"/>
      <c r="AK265" s="16"/>
    </row>
    <row r="266" ht="13.5" customHeight="1" spans="1:37" x14ac:dyDescent="0.25">
      <c r="A266" s="264"/>
      <c r="B266" s="16"/>
      <c r="C266" s="139" t="s">
        <v>414</v>
      </c>
      <c r="D266" s="16"/>
      <c r="E266" s="16"/>
      <c r="F266" s="384">
        <f t="shared" ref="F266:AG266" si="476" ca="1">F282</f>
        <v>1e-12</v>
      </c>
      <c r="G266" s="384">
        <f ca="1">G282</f>
        <v>1e-12</v>
      </c>
      <c r="H266" s="384">
        <f ca="1">H282</f>
        <v>1e-12</v>
      </c>
      <c r="I266" s="384">
        <f ca="1">I282</f>
        <v>1e-12</v>
      </c>
      <c r="J266" s="162">
        <f ca="1">J282</f>
        <v>1e-12</v>
      </c>
      <c r="K266" s="384">
        <f ca="1">K282</f>
        <v>1e-12</v>
      </c>
      <c r="L266" s="384">
        <f ca="1">L282</f>
        <v>1e-12</v>
      </c>
      <c r="M266" s="384">
        <f ca="1">M282</f>
        <v>1e-12</v>
      </c>
      <c r="N266" s="384">
        <f ca="1">N282</f>
        <v>1e-12</v>
      </c>
      <c r="O266" s="162">
        <f ca="1">O282</f>
        <v>1e-12</v>
      </c>
      <c r="P266" s="384">
        <f ca="1">P282</f>
        <v>1e-12</v>
      </c>
      <c r="Q266" s="384">
        <f ca="1">Q282</f>
        <v>1e-12</v>
      </c>
      <c r="R266" s="384">
        <f ca="1">R282</f>
        <v>1e-12</v>
      </c>
      <c r="S266" s="384">
        <f ca="1">S282</f>
        <v>1e-12</v>
      </c>
      <c r="T266" s="162">
        <f ca="1">T282</f>
        <v>1e-12</v>
      </c>
      <c r="U266" s="384">
        <f ca="1">U282</f>
        <v>1e-12</v>
      </c>
      <c r="V266" s="384">
        <f ca="1">V282</f>
        <v>705</v>
      </c>
      <c r="W266" s="384">
        <f ca="1">W282</f>
        <v>690</v>
      </c>
      <c r="X266" s="359">
        <f ca="1">X282</f>
        <v>672.6750558839524</v>
      </c>
      <c r="Y266" s="162">
        <f ca="1">Y282</f>
        <v>696.418763970988</v>
      </c>
      <c r="Z266" s="359">
        <f ca="1">Z282</f>
        <v>670.530789651857</v>
      </c>
      <c r="AA266" s="359">
        <f ca="1">AA282</f>
        <v>668.3865234197617</v>
      </c>
      <c r="AB266" s="359">
        <f ca="1">AB282</f>
        <v>666.2422571876664</v>
      </c>
      <c r="AC266" s="359">
        <f ca="1">AC282</f>
        <v>664.097990955571</v>
      </c>
      <c r="AD266" s="162">
        <f ca="1">AD282</f>
        <v>667.314390303714</v>
      </c>
      <c r="AE266" s="162">
        <f ca="1">AE282</f>
        <v>656.593059143237</v>
      </c>
      <c r="AF266" s="162">
        <f ca="1">AF282</f>
        <v>643.7274617506648</v>
      </c>
      <c r="AG266" s="162">
        <f ca="1">AG282</f>
        <v>630.8618643580926</v>
      </c>
      <c r="AH266" s="16"/>
      <c r="AI266" s="16"/>
      <c r="AJ266" s="16"/>
      <c r="AK266" s="16"/>
    </row>
    <row r="267" ht="13.5" customHeight="1" spans="1:37" x14ac:dyDescent="0.25">
      <c r="A267" s="264"/>
      <c r="B267" s="16"/>
      <c r="C267" s="139" t="s">
        <v>415</v>
      </c>
      <c r="D267" s="16"/>
      <c r="E267" s="16"/>
      <c r="F267" s="353">
        <f t="shared" ref="F267:I267" si="477" ca="1">-F254</f>
        <v>101</v>
      </c>
      <c r="G267" s="353">
        <f ca="1">-G254</f>
        <v>1988</v>
      </c>
      <c r="H267" s="353">
        <f ca="1">-H254</f>
        <v>1989</v>
      </c>
      <c r="I267" s="353">
        <f ca="1">-I254</f>
        <v>3874</v>
      </c>
      <c r="J267" s="282">
        <f ca="1">SUM(F267:I267)</f>
        <v>7952</v>
      </c>
      <c r="K267" s="353">
        <f t="shared" ref="K267:N267" si="478" ca="1">-K254</f>
        <v>99</v>
      </c>
      <c r="L267" s="353">
        <f ca="1">-L254</f>
        <v>2085</v>
      </c>
      <c r="M267" s="353">
        <f ca="1">-M254</f>
        <v>2090</v>
      </c>
      <c r="N267" s="353">
        <f ca="1">-N254</f>
        <v>4085</v>
      </c>
      <c r="O267" s="282">
        <f ca="1">SUM(K267:N267)</f>
        <v>8359</v>
      </c>
      <c r="P267" s="353">
        <f t="shared" ref="P267:S267" si="479" ca="1">-P254</f>
        <v>89</v>
      </c>
      <c r="Q267" s="353">
        <f ca="1">-Q254</f>
        <v>2194</v>
      </c>
      <c r="R267" s="353">
        <f ca="1">-R254</f>
        <v>2108</v>
      </c>
      <c r="S267" s="353">
        <f ca="1">-S254</f>
        <v>4388</v>
      </c>
      <c r="T267" s="282">
        <f ca="1">SUM(P267:S267)</f>
        <v>8779</v>
      </c>
      <c r="U267" s="353">
        <f t="shared" ref="U267:W267" si="480" ca="1">-U254</f>
        <v>2281</v>
      </c>
      <c r="V267" s="353">
        <f ca="1">-V254</f>
        <v>430</v>
      </c>
      <c r="W267" s="353">
        <f ca="1">-W254</f>
        <v>563</v>
      </c>
      <c r="X267" s="281">
        <f ca="1">S267*(1+X273)</f>
        <v>519.8</v>
      </c>
      <c r="Y267" s="282">
        <f ca="1">SUM(U267:X267)</f>
        <v>1952.8</v>
      </c>
      <c r="Z267" s="281">
        <f t="shared" ref="Z267:AC267" si="481" ca="1">U267*(1+Z273)</f>
        <v>505.99999999999994</v>
      </c>
      <c r="AA267" s="281">
        <f ca="1">V267*(1+AA273)</f>
        <v>494.49999999999994</v>
      </c>
      <c r="AB267" s="281">
        <f ca="1">W267*(1+AB273)</f>
        <v>647.4499999999999</v>
      </c>
      <c r="AC267" s="281">
        <f ca="1">X267*(1+AC273)</f>
        <v>597.7699999999999</v>
      </c>
      <c r="AD267" s="282">
        <f ca="1">SUM(Z267:AC267)</f>
        <v>2245.72</v>
      </c>
      <c r="AE267" s="282">
        <f t="shared" ref="AE267:AG267" si="482" ca="1">AD267*(1+AE273)</f>
        <v>2470.292</v>
      </c>
      <c r="AF267" s="282">
        <f ca="1">AE267*(1+AF273)</f>
        <v>2717.3212000000003</v>
      </c>
      <c r="AG267" s="282">
        <f ca="1">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c r="G271" s="413"/>
      <c r="H271" s="413"/>
      <c r="I271" s="413"/>
      <c r="J271" s="329">
        <f ca="1">SUM(F271:I271)</f>
        <v>1e-12</v>
      </c>
      <c r="K271" s="413"/>
      <c r="L271" s="413"/>
      <c r="M271" s="413"/>
      <c r="N271" s="413"/>
      <c r="O271" s="329">
        <f ca="1">SUM(K271:N271)</f>
        <v>1e-12</v>
      </c>
      <c r="P271" s="413"/>
      <c r="Q271" s="413"/>
      <c r="R271" s="413"/>
      <c r="S271" s="413"/>
      <c r="T271" s="329">
        <f ca="1">SUM(P271:S271)</f>
        <v>1e-12</v>
      </c>
      <c r="U271" s="413"/>
      <c r="V271" s="413">
        <v>0</v>
      </c>
      <c r="W271" s="413">
        <v>0</v>
      </c>
      <c r="X271" s="417">
        <v>0</v>
      </c>
      <c r="Y271" s="329">
        <f t="shared" ref="Y271:Y272" si="483" ca="1">SUM(U271:X271)</f>
        <v>1e-12</v>
      </c>
      <c r="Z271" s="417">
        <v>0</v>
      </c>
      <c r="AA271" s="417">
        <v>0</v>
      </c>
      <c r="AB271" s="417">
        <v>0</v>
      </c>
      <c r="AC271" s="417">
        <v>0</v>
      </c>
      <c r="AD271" s="329">
        <f t="shared" ref="AD271:AD272" si="484" ca="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85" ca="1">F241</f>
        <v>1e-12</v>
      </c>
      <c r="G272" s="384">
        <f ca="1">G241</f>
        <v>1e-12</v>
      </c>
      <c r="H272" s="384">
        <f ca="1">H241</f>
        <v>2498</v>
      </c>
      <c r="I272" s="384">
        <f ca="1">I241</f>
        <v>1e-12</v>
      </c>
      <c r="J272" s="162">
        <f ca="1">J241</f>
        <v>2498</v>
      </c>
      <c r="K272" s="384">
        <f ca="1">K241</f>
        <v>1e-12</v>
      </c>
      <c r="L272" s="384">
        <f ca="1">L241</f>
        <v>1e-12</v>
      </c>
      <c r="M272" s="384">
        <f ca="1">M241</f>
        <v>1e-12</v>
      </c>
      <c r="N272" s="384">
        <f ca="1">N241</f>
        <v>1e-12</v>
      </c>
      <c r="O272" s="162">
        <f ca="1">O241</f>
        <v>1e-12</v>
      </c>
      <c r="P272" s="384">
        <f ca="1">P241</f>
        <v>1e-12</v>
      </c>
      <c r="Q272" s="384">
        <f ca="1">Q241</f>
        <v>1e-12</v>
      </c>
      <c r="R272" s="384">
        <f ca="1">R241</f>
        <v>1e-12</v>
      </c>
      <c r="S272" s="384">
        <f ca="1">S241</f>
        <v>4971</v>
      </c>
      <c r="T272" s="162">
        <f ca="1">T241</f>
        <v>4971</v>
      </c>
      <c r="U272" s="384">
        <f ca="1">U241</f>
        <v>1e-12</v>
      </c>
      <c r="V272" s="384">
        <f ca="1">V241</f>
        <v>3136</v>
      </c>
      <c r="W272" s="384">
        <f ca="1">W241</f>
        <v>2825</v>
      </c>
      <c r="X272" s="361">
        <f ca="1">Drivers!X165</f>
        <v>500</v>
      </c>
      <c r="Y272" s="162">
        <f ca="1">SUM(U272:X272)</f>
        <v>9499</v>
      </c>
      <c r="Z272" s="361">
        <f ca="1">Drivers!Z165</f>
        <v>500</v>
      </c>
      <c r="AA272" s="361">
        <f ca="1">Drivers!AA165</f>
        <v>500</v>
      </c>
      <c r="AB272" s="361">
        <f ca="1">Drivers!AB165</f>
        <v>500</v>
      </c>
      <c r="AC272" s="361">
        <f ca="1">Drivers!AC165</f>
        <v>500</v>
      </c>
      <c r="AD272" s="162">
        <f ca="1">SUM(Z272:AC272)</f>
        <v>2000</v>
      </c>
      <c r="AE272" s="362">
        <f ca="1">Drivers!AE165</f>
        <v>3000</v>
      </c>
      <c r="AF272" s="362">
        <f ca="1">Drivers!AF165</f>
        <v>3000</v>
      </c>
      <c r="AG272" s="362">
        <f ca="1">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86" ca="1">K267/F267-1</f>
        <v>-0.01980198019801982</v>
      </c>
      <c r="L273" s="397">
        <f ca="1">L267/G267-1</f>
        <v>0.04879275653923543</v>
      </c>
      <c r="M273" s="397">
        <f ca="1">M267/H267-1</f>
        <v>0.05077928607340376</v>
      </c>
      <c r="N273" s="397">
        <f ca="1">N267/I267-1</f>
        <v>0.05446566855962831</v>
      </c>
      <c r="O273" s="398">
        <f ca="1">O267/J267-1</f>
        <v>0.051182092555331904</v>
      </c>
      <c r="P273" s="397">
        <f ca="1">P267/K267-1</f>
        <v>-0.101010101010101</v>
      </c>
      <c r="Q273" s="397">
        <f ca="1">Q267/L267-1</f>
        <v>0.05227817745803365</v>
      </c>
      <c r="R273" s="397">
        <f ca="1">R267/M267-1</f>
        <v>0.008612440191387627</v>
      </c>
      <c r="S273" s="397">
        <f ca="1">S267/N267-1</f>
        <v>0.0741738066095472</v>
      </c>
      <c r="T273" s="398">
        <f ca="1">T267/O267-1</f>
        <v>0.05024524464648872</v>
      </c>
      <c r="U273" s="397">
        <f ca="1">U267/P267-1</f>
        <v>24.629213483146067</v>
      </c>
      <c r="V273" s="397">
        <f ca="1">V267/Q267-1</f>
        <v>0.033653846153846256</v>
      </c>
      <c r="W273" s="397">
        <f ca="1">W267/R267-1</f>
        <v>0.3533653846153846</v>
      </c>
      <c r="X273" s="422">
        <f ca="1">Drivers!X101</f>
        <v>0.15</v>
      </c>
      <c r="Y273" s="398">
        <f ca="1">Y267/T267-1</f>
        <v>0.14600938967136146</v>
      </c>
      <c r="Z273" s="422">
        <f ca="1">Drivers!Z101</f>
        <v>0.15</v>
      </c>
      <c r="AA273" s="422">
        <f ca="1">Drivers!AA101</f>
        <v>0.15</v>
      </c>
      <c r="AB273" s="422">
        <f ca="1">Drivers!AB101</f>
        <v>0.15</v>
      </c>
      <c r="AC273" s="422">
        <f ca="1">Drivers!AC101</f>
        <v>0.15</v>
      </c>
      <c r="AD273" s="398">
        <f ca="1">AD267/Y267-1</f>
        <v>0.1499999999999999</v>
      </c>
      <c r="AE273" s="423">
        <f ca="1">Drivers!AE101</f>
        <v>0.1</v>
      </c>
      <c r="AF273" s="423">
        <f ca="1">Drivers!AF101</f>
        <v>0.1</v>
      </c>
      <c r="AG273" s="423">
        <f ca="1">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 ca="1">F$25</f>
        <v>1e-12</v>
      </c>
      <c r="G275" s="63">
        <f t="shared" ref="G275:AG275" si="487" ca="1">G$63</f>
        <v>1e-12</v>
      </c>
      <c r="H275" s="63">
        <f ca="1">H$63</f>
        <v>1e-12</v>
      </c>
      <c r="I275" s="63">
        <f ca="1">I$63</f>
        <v>1e-12</v>
      </c>
      <c r="J275" s="63">
        <f ca="1">J$63</f>
        <v>2023</v>
      </c>
      <c r="K275" s="63">
        <f ca="1">K$63</f>
        <v>1e-12</v>
      </c>
      <c r="L275" s="63">
        <f ca="1">L$63</f>
        <v>1e-12</v>
      </c>
      <c r="M275" s="63">
        <f ca="1">M$63</f>
        <v>1e-12</v>
      </c>
      <c r="N275" s="63">
        <f ca="1">N$63</f>
        <v>1e-12</v>
      </c>
      <c r="O275" s="63">
        <f ca="1">O$63</f>
        <v>2024</v>
      </c>
      <c r="P275" s="63">
        <f ca="1">P$63</f>
        <v>1e-12</v>
      </c>
      <c r="Q275" s="63">
        <f ca="1">Q$63</f>
        <v>1e-12</v>
      </c>
      <c r="R275" s="63">
        <f ca="1">R$63</f>
        <v>1e-12</v>
      </c>
      <c r="S275" s="63">
        <f ca="1">S$63</f>
        <v>1e-12</v>
      </c>
      <c r="T275" s="63">
        <f ca="1">T$63</f>
        <v>2025</v>
      </c>
      <c r="U275" s="63">
        <f ca="1">U$63</f>
        <v>1e-12</v>
      </c>
      <c r="V275" s="63" t="str">
        <f ca="1">V$63</f>
        <v>2Q26</v>
      </c>
      <c r="W275" s="63" t="str">
        <f ca="1">W$63</f>
        <v>3Q26e</v>
      </c>
      <c r="X275" s="63" t="str">
        <f ca="1">X$63</f>
        <v>4Q26e</v>
      </c>
      <c r="Y275" s="63" t="str">
        <f ca="1">Y$63</f>
        <v>2026e</v>
      </c>
      <c r="Z275" s="63" t="str">
        <f ca="1">Z$63</f>
        <v>1Q27e</v>
      </c>
      <c r="AA275" s="63" t="str">
        <f ca="1">AA$63</f>
        <v>2Q27e</v>
      </c>
      <c r="AB275" s="63" t="str">
        <f ca="1">AB$63</f>
        <v>3Q27e</v>
      </c>
      <c r="AC275" s="63" t="str">
        <f ca="1">AC$63</f>
        <v>4Q27e</v>
      </c>
      <c r="AD275" s="63" t="str">
        <f ca="1">AD$63</f>
        <v>2027e</v>
      </c>
      <c r="AE275" s="63" t="str">
        <f ca="1">AE$63</f>
        <v>2028e</v>
      </c>
      <c r="AF275" s="63" t="str">
        <f ca="1">AF$63</f>
        <v>2029e</v>
      </c>
      <c r="AG275" s="64" t="str">
        <f ca="1">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 ca="1">W280</f>
        <v>673.747189</v>
      </c>
      <c r="Y277" s="16"/>
      <c r="Z277" s="360">
        <f t="shared" ref="Z277:AC277" si="488" ca="1">Y280</f>
        <v>671.6029227679047</v>
      </c>
      <c r="AA277" s="360">
        <f ca="1">Z280</f>
        <v>669.4586565358094</v>
      </c>
      <c r="AB277" s="360">
        <f ca="1">AA280</f>
        <v>667.314390303714</v>
      </c>
      <c r="AC277" s="360">
        <f ca="1">AB280</f>
        <v>665.1701240716187</v>
      </c>
      <c r="AD277" s="162">
        <f ca="1">Y280</f>
        <v>671.6029227679047</v>
      </c>
      <c r="AE277" s="453">
        <f t="shared" ref="AE277:AG277" si="489" ca="1">AD280</f>
        <v>663.0258578395232</v>
      </c>
      <c r="AF277" s="453">
        <f ca="1">AE280</f>
        <v>650.1602604469509</v>
      </c>
      <c r="AG277" s="453">
        <f ca="1">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 ca="1">X271</f>
        <v>1e-12</v>
      </c>
      <c r="Y278" s="453">
        <f t="shared" ref="Y278:Y279" si="490" ca="1">SUM(U278:X278)</f>
        <v>1e-12</v>
      </c>
      <c r="Z278" s="360">
        <f t="shared" ref="Z278:AC278" si="491" ca="1">Z271</f>
        <v>1e-12</v>
      </c>
      <c r="AA278" s="360">
        <f ca="1">AA271</f>
        <v>1e-12</v>
      </c>
      <c r="AB278" s="360">
        <f ca="1">AB271</f>
        <v>1e-12</v>
      </c>
      <c r="AC278" s="360">
        <f ca="1">AC271</f>
        <v>1e-12</v>
      </c>
      <c r="AD278" s="453">
        <f t="shared" ref="AD278:AD279" si="492" ca="1">SUM(Z278:AC278)</f>
        <v>1e-12</v>
      </c>
      <c r="AE278" s="453">
        <f t="shared" ref="AE278:AG278" si="493" ca="1">AE271</f>
        <v>1e-12</v>
      </c>
      <c r="AF278" s="453">
        <f ca="1">AF271</f>
        <v>1e-12</v>
      </c>
      <c r="AG278" s="453">
        <f ca="1">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 ca="1">-X240</f>
        <v>-2.1442662320953767</v>
      </c>
      <c r="Y279" s="459">
        <f ca="1">SUM(U279:X279)</f>
        <v>-2.1442662320953767</v>
      </c>
      <c r="Z279" s="458">
        <f t="shared" ref="Z279:AC279" si="494" ca="1">-Z240</f>
        <v>-2.1442662320953767</v>
      </c>
      <c r="AA279" s="458">
        <f ca="1">-AA240</f>
        <v>-2.1442662320953767</v>
      </c>
      <c r="AB279" s="458">
        <f ca="1">-AB240</f>
        <v>-2.1442662320953767</v>
      </c>
      <c r="AC279" s="458">
        <f ca="1">-AC240</f>
        <v>-2.1442662320953767</v>
      </c>
      <c r="AD279" s="459">
        <f ca="1">SUM(Z279:AC279)</f>
        <v>-8.577064928381507</v>
      </c>
      <c r="AE279" s="459">
        <f t="shared" ref="AE279:AG279" si="495" ca="1">-AE240</f>
        <v>-12.865597392572262</v>
      </c>
      <c r="AF279" s="459">
        <f ca="1">-AF240</f>
        <v>-12.865597392572262</v>
      </c>
      <c r="AG279" s="459">
        <f ca="1">-AG240</f>
        <v>-12.865597392572262</v>
      </c>
      <c r="AH279" s="16"/>
      <c r="AI279" s="16"/>
      <c r="AJ279" s="16"/>
      <c r="AK279" s="16"/>
    </row>
    <row r="280" ht="13.5" customHeight="1" spans="1:37" x14ac:dyDescent="0.25">
      <c r="A280" s="264"/>
      <c r="B280" s="16"/>
      <c r="C280" s="16" t="s">
        <v>423</v>
      </c>
      <c r="D280" s="16"/>
      <c r="E280" s="16"/>
      <c r="F280" s="358"/>
      <c r="G280" s="358"/>
      <c r="H280" s="358"/>
      <c r="I280" s="358">
        <f ca="1">J280</f>
        <v>1e-12</v>
      </c>
      <c r="J280" s="366"/>
      <c r="K280" s="358"/>
      <c r="L280" s="358"/>
      <c r="M280" s="358"/>
      <c r="N280" s="358">
        <f ca="1">O280</f>
        <v>1e-12</v>
      </c>
      <c r="O280" s="366"/>
      <c r="P280" s="358"/>
      <c r="Q280" s="358"/>
      <c r="R280" s="358"/>
      <c r="S280" s="358"/>
      <c r="T280" s="366">
        <f ca="1">S280</f>
        <v>1e-12</v>
      </c>
      <c r="U280" s="358"/>
      <c r="V280" s="358">
        <v>692.43269</v>
      </c>
      <c r="W280" s="358">
        <v>673.747189</v>
      </c>
      <c r="X280" s="359">
        <f ca="1">SUM(X277:X279)</f>
        <v>671.6029227679047</v>
      </c>
      <c r="Y280" s="162">
        <f ca="1">X280</f>
        <v>671.6029227679047</v>
      </c>
      <c r="Z280" s="359">
        <f t="shared" ref="Z280:AG280" si="496" ca="1">SUM(Z277:Z279)</f>
        <v>669.4586565358094</v>
      </c>
      <c r="AA280" s="359">
        <f ca="1">SUM(AA277:AA279)</f>
        <v>667.314390303714</v>
      </c>
      <c r="AB280" s="359">
        <f ca="1">SUM(AB277:AB279)</f>
        <v>665.1701240716187</v>
      </c>
      <c r="AC280" s="359">
        <f ca="1">SUM(AC277:AC279)</f>
        <v>663.0258578395234</v>
      </c>
      <c r="AD280" s="162">
        <f ca="1">SUM(AD277:AD279)</f>
        <v>663.0258578395232</v>
      </c>
      <c r="AE280" s="162">
        <f ca="1">SUM(AE277:AE279)</f>
        <v>650.1602604469509</v>
      </c>
      <c r="AF280" s="162">
        <f ca="1">SUM(AF277:AF279)</f>
        <v>637.2946630543787</v>
      </c>
      <c r="AG280" s="162">
        <f ca="1">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c r="G282" s="358"/>
      <c r="H282" s="358"/>
      <c r="I282" s="358"/>
      <c r="J282" s="366">
        <f ca="1">I282</f>
        <v>1e-12</v>
      </c>
      <c r="K282" s="358"/>
      <c r="L282" s="358"/>
      <c r="M282" s="358"/>
      <c r="N282" s="358"/>
      <c r="O282" s="366">
        <f ca="1">N282</f>
        <v>1e-12</v>
      </c>
      <c r="P282" s="358"/>
      <c r="Q282" s="358"/>
      <c r="R282" s="358"/>
      <c r="S282" s="358"/>
      <c r="T282" s="366">
        <f ca="1">S282</f>
        <v>1e-12</v>
      </c>
      <c r="U282" s="358"/>
      <c r="V282" s="358">
        <v>705</v>
      </c>
      <c r="W282" s="358">
        <v>690</v>
      </c>
      <c r="X282" s="359">
        <f ca="1">AVERAGE(X280,X277)</f>
        <v>672.6750558839524</v>
      </c>
      <c r="Y282" s="162">
        <f ca="1">AVERAGE(U282:X282)</f>
        <v>696.418763970988</v>
      </c>
      <c r="Z282" s="359">
        <f t="shared" ref="Z282:AC282" si="497" ca="1">AVERAGE(Z280,Z277)</f>
        <v>670.530789651857</v>
      </c>
      <c r="AA282" s="359">
        <f ca="1">AVERAGE(AA280,AA277)</f>
        <v>668.3865234197617</v>
      </c>
      <c r="AB282" s="359">
        <f ca="1">AVERAGE(AB280,AB277)</f>
        <v>666.2422571876664</v>
      </c>
      <c r="AC282" s="359">
        <f ca="1">AVERAGE(AC280,AC277)</f>
        <v>664.097990955571</v>
      </c>
      <c r="AD282" s="162">
        <f ca="1">AVERAGE(Z282:AC282)</f>
        <v>667.314390303714</v>
      </c>
      <c r="AE282" s="162">
        <f t="shared" ref="AE282:AG282" si="498" ca="1">AVERAGE(AE280,AE277)</f>
        <v>656.593059143237</v>
      </c>
      <c r="AF282" s="162">
        <f ca="1">AVERAGE(AF280,AF277)</f>
        <v>643.7274617506648</v>
      </c>
      <c r="AG282" s="162">
        <f ca="1">AVERAGE(AG280,AG277)</f>
        <v>630.8618643580926</v>
      </c>
      <c r="AH282" s="16"/>
      <c r="AI282" s="16"/>
      <c r="AJ282" s="16"/>
      <c r="AK282" s="16"/>
    </row>
    <row r="283" ht="13.5" customHeight="1" spans="1:37" x14ac:dyDescent="0.25">
      <c r="A283" s="264"/>
      <c r="B283" s="16"/>
      <c r="C283" s="139" t="s">
        <v>425</v>
      </c>
      <c r="D283" s="16"/>
      <c r="E283" s="16"/>
      <c r="F283" s="372">
        <f t="shared" ref="F283:W283" si="499" ca="1">F284-F282</f>
        <v>1e-12</v>
      </c>
      <c r="G283" s="372">
        <f ca="1">G284-G282</f>
        <v>1e-12</v>
      </c>
      <c r="H283" s="372">
        <f ca="1">H284-H282</f>
        <v>1e-12</v>
      </c>
      <c r="I283" s="372">
        <f ca="1">I284-I282</f>
        <v>1e-12</v>
      </c>
      <c r="J283" s="355">
        <f ca="1">J284-J282</f>
        <v>1e-12</v>
      </c>
      <c r="K283" s="372">
        <f ca="1">K284-K282</f>
        <v>1e-12</v>
      </c>
      <c r="L283" s="372">
        <f ca="1">L284-L282</f>
        <v>1e-12</v>
      </c>
      <c r="M283" s="372">
        <f ca="1">M284-M282</f>
        <v>1e-12</v>
      </c>
      <c r="N283" s="372">
        <f ca="1">N284-N282</f>
        <v>1e-12</v>
      </c>
      <c r="O283" s="355">
        <f ca="1">O284-O282</f>
        <v>1e-12</v>
      </c>
      <c r="P283" s="372">
        <f ca="1">P284-P282</f>
        <v>1e-12</v>
      </c>
      <c r="Q283" s="372">
        <f ca="1">Q284-Q282</f>
        <v>1e-12</v>
      </c>
      <c r="R283" s="372">
        <f ca="1">R284-R282</f>
        <v>1e-12</v>
      </c>
      <c r="S283" s="372">
        <f ca="1">S284-S282</f>
        <v>1e-12</v>
      </c>
      <c r="T283" s="355">
        <f ca="1">T284-T282</f>
        <v>1e-12</v>
      </c>
      <c r="U283" s="372">
        <f ca="1">U284-U282</f>
        <v>1e-12</v>
      </c>
      <c r="V283" s="372">
        <f ca="1">V284-V282</f>
        <v>2</v>
      </c>
      <c r="W283" s="372">
        <f ca="1">W284-W282</f>
        <v>2</v>
      </c>
      <c r="X283" s="368">
        <f ca="1">W283</f>
        <v>2</v>
      </c>
      <c r="Y283" s="355">
        <f ca="1">Y284-Y282</f>
        <v>2</v>
      </c>
      <c r="Z283" s="368">
        <f ca="1">X283</f>
        <v>2</v>
      </c>
      <c r="AA283" s="368">
        <f t="shared" ref="AA283:AC283" si="500" ca="1">Z283</f>
        <v>2</v>
      </c>
      <c r="AB283" s="368">
        <f ca="1">AA283</f>
        <v>2</v>
      </c>
      <c r="AC283" s="368">
        <f ca="1">AB283</f>
        <v>2</v>
      </c>
      <c r="AD283" s="355">
        <f ca="1">AD284-AD282</f>
        <v>2</v>
      </c>
      <c r="AE283" s="369">
        <f ca="1">AC283</f>
        <v>2</v>
      </c>
      <c r="AF283" s="369">
        <f t="shared" ref="AF283:AG283" si="501" ca="1">AE283</f>
        <v>2</v>
      </c>
      <c r="AG283" s="369">
        <f ca="1">AF283</f>
        <v>2</v>
      </c>
      <c r="AH283" s="16"/>
      <c r="AI283" s="16"/>
      <c r="AJ283" s="16"/>
      <c r="AK283" s="16"/>
    </row>
    <row r="284" ht="13.5" customHeight="1" spans="1:37" x14ac:dyDescent="0.25">
      <c r="A284" s="264"/>
      <c r="B284" s="16"/>
      <c r="C284" s="16" t="s">
        <v>426</v>
      </c>
      <c r="D284" s="16"/>
      <c r="E284" s="16"/>
      <c r="F284" s="358"/>
      <c r="G284" s="358"/>
      <c r="H284" s="358"/>
      <c r="I284" s="358"/>
      <c r="J284" s="366">
        <f ca="1">I284</f>
        <v>1e-12</v>
      </c>
      <c r="K284" s="358"/>
      <c r="L284" s="358"/>
      <c r="M284" s="358"/>
      <c r="N284" s="358"/>
      <c r="O284" s="366">
        <f ca="1">N284</f>
        <v>1e-12</v>
      </c>
      <c r="P284" s="358"/>
      <c r="Q284" s="358"/>
      <c r="R284" s="358"/>
      <c r="S284" s="358"/>
      <c r="T284" s="366">
        <f ca="1">S284</f>
        <v>1e-12</v>
      </c>
      <c r="U284" s="358"/>
      <c r="V284" s="358">
        <v>707</v>
      </c>
      <c r="W284" s="358">
        <v>692</v>
      </c>
      <c r="X284" s="359">
        <f ca="1">SUM(X282:X283)</f>
        <v>674.6750558839524</v>
      </c>
      <c r="Y284" s="162">
        <f ca="1">AVERAGE(U284:X284)</f>
        <v>698.418763970988</v>
      </c>
      <c r="Z284" s="359">
        <f t="shared" ref="Z284:AC284" si="502" ca="1">SUM(Z282:Z283)</f>
        <v>672.530789651857</v>
      </c>
      <c r="AA284" s="359">
        <f ca="1">SUM(AA282:AA283)</f>
        <v>670.3865234197617</v>
      </c>
      <c r="AB284" s="359">
        <f ca="1">SUM(AB282:AB283)</f>
        <v>668.2422571876664</v>
      </c>
      <c r="AC284" s="359">
        <f ca="1">SUM(AC282:AC283)</f>
        <v>666.097990955571</v>
      </c>
      <c r="AD284" s="162">
        <f ca="1">AVERAGE(Z284:AC284)</f>
        <v>669.314390303714</v>
      </c>
      <c r="AE284" s="162">
        <f t="shared" ref="AE284:AG284" si="503" ca="1">SUM(AE282:AE283)</f>
        <v>658.593059143237</v>
      </c>
      <c r="AF284" s="162">
        <f ca="1">SUM(AF282:AF283)</f>
        <v>645.7274617506648</v>
      </c>
      <c r="AG284" s="162">
        <f ca="1">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 ca="1">F$25</f>
        <v>1e-12</v>
      </c>
      <c r="G286" s="63">
        <f t="shared" ref="G286:AG286" si="504" ca="1">G$63</f>
        <v>1e-12</v>
      </c>
      <c r="H286" s="63">
        <f ca="1">H$63</f>
        <v>1e-12</v>
      </c>
      <c r="I286" s="63">
        <f ca="1">I$63</f>
        <v>1e-12</v>
      </c>
      <c r="J286" s="63">
        <f ca="1">J$63</f>
        <v>2023</v>
      </c>
      <c r="K286" s="63">
        <f ca="1">K$63</f>
        <v>1e-12</v>
      </c>
      <c r="L286" s="63">
        <f ca="1">L$63</f>
        <v>1e-12</v>
      </c>
      <c r="M286" s="63">
        <f ca="1">M$63</f>
        <v>1e-12</v>
      </c>
      <c r="N286" s="63">
        <f ca="1">N$63</f>
        <v>1e-12</v>
      </c>
      <c r="O286" s="63">
        <f ca="1">O$63</f>
        <v>2024</v>
      </c>
      <c r="P286" s="63">
        <f ca="1">P$63</f>
        <v>1e-12</v>
      </c>
      <c r="Q286" s="63">
        <f ca="1">Q$63</f>
        <v>1e-12</v>
      </c>
      <c r="R286" s="63">
        <f ca="1">R$63</f>
        <v>1e-12</v>
      </c>
      <c r="S286" s="63">
        <f ca="1">S$63</f>
        <v>1e-12</v>
      </c>
      <c r="T286" s="63">
        <f ca="1">T$63</f>
        <v>2025</v>
      </c>
      <c r="U286" s="63">
        <f ca="1">U$63</f>
        <v>1e-12</v>
      </c>
      <c r="V286" s="63" t="str">
        <f ca="1">V$63</f>
        <v>2Q26</v>
      </c>
      <c r="W286" s="63" t="str">
        <f ca="1">W$63</f>
        <v>3Q26e</v>
      </c>
      <c r="X286" s="63" t="str">
        <f ca="1">X$63</f>
        <v>4Q26e</v>
      </c>
      <c r="Y286" s="63" t="str">
        <f ca="1">Y$63</f>
        <v>2026e</v>
      </c>
      <c r="Z286" s="63" t="str">
        <f ca="1">Z$63</f>
        <v>1Q27e</v>
      </c>
      <c r="AA286" s="63" t="str">
        <f ca="1">AA$63</f>
        <v>2Q27e</v>
      </c>
      <c r="AB286" s="63" t="str">
        <f ca="1">AB$63</f>
        <v>3Q27e</v>
      </c>
      <c r="AC286" s="63" t="str">
        <f ca="1">AC$63</f>
        <v>4Q27e</v>
      </c>
      <c r="AD286" s="63" t="str">
        <f ca="1">AD$63</f>
        <v>2027e</v>
      </c>
      <c r="AE286" s="63" t="str">
        <f ca="1">AE$63</f>
        <v>2028e</v>
      </c>
      <c r="AF286" s="63" t="str">
        <f ca="1">AF$63</f>
        <v>2029e</v>
      </c>
      <c r="AG286" s="64" t="str">
        <f ca="1">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 ca="1">X87</f>
        <v>-100.87655647826267</v>
      </c>
      <c r="Y288" s="16"/>
      <c r="Z288" s="281">
        <f ca="1">Z87</f>
        <v>-5646.755281575341</v>
      </c>
      <c r="AA288" s="281">
        <f ca="1">AA87</f>
        <v>-1242.029441390874</v>
      </c>
      <c r="AB288" s="281">
        <f ca="1">AB87</f>
        <v>-1246.2417023263688</v>
      </c>
      <c r="AC288" s="281">
        <f ca="1">AC87</f>
        <v>-3176.2620545265863</v>
      </c>
      <c r="AD288" s="16"/>
      <c r="AE288" s="282">
        <f ca="1">AE87</f>
        <v>-8552.043364865473</v>
      </c>
      <c r="AF288" s="282">
        <f ca="1">AF87</f>
        <v>-9853.691660041592</v>
      </c>
      <c r="AG288" s="282">
        <f ca="1">AG87</f>
        <v>-10360.804516666996</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 ca="1">-X241</f>
        <v>-500</v>
      </c>
      <c r="Y289" s="16"/>
      <c r="Z289" s="359">
        <f t="shared" ref="Z289:AC289" si="505" ca="1">-Z241</f>
        <v>-500</v>
      </c>
      <c r="AA289" s="359">
        <f ca="1">-AA241</f>
        <v>-500</v>
      </c>
      <c r="AB289" s="359">
        <f ca="1">-AB241</f>
        <v>-500</v>
      </c>
      <c r="AC289" s="359">
        <f ca="1">-AC241</f>
        <v>-500</v>
      </c>
      <c r="AD289" s="16"/>
      <c r="AE289" s="162">
        <f t="shared" ref="AE289:AG289" si="506" ca="1">-AE241</f>
        <v>-3000</v>
      </c>
      <c r="AF289" s="162">
        <f ca="1">-AF241</f>
        <v>-3000</v>
      </c>
      <c r="AG289" s="162">
        <f ca="1">-AG241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 ca="1">-X267</f>
        <v>-519.8</v>
      </c>
      <c r="Y290" s="16"/>
      <c r="Z290" s="359">
        <f t="shared" ref="Z290:AC290" si="507" ca="1">-Z267</f>
        <v>-505.99999999999994</v>
      </c>
      <c r="AA290" s="359">
        <f ca="1">-AA267</f>
        <v>-494.49999999999994</v>
      </c>
      <c r="AB290" s="359">
        <f ca="1">-AB267</f>
        <v>-647.4499999999999</v>
      </c>
      <c r="AC290" s="359">
        <f ca="1">-AC267</f>
        <v>-597.7699999999999</v>
      </c>
      <c r="AD290" s="16"/>
      <c r="AE290" s="162">
        <f t="shared" ref="AE290:AG290" si="508" ca="1">-AE267</f>
        <v>-2470.292</v>
      </c>
      <c r="AF290" s="162">
        <f ca="1">-AF267</f>
        <v>-2717.3212000000003</v>
      </c>
      <c r="AG290" s="162">
        <f ca="1">-AG267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 ca="1">X245</f>
        <v>1e-12</v>
      </c>
      <c r="Y291" s="16"/>
      <c r="Z291" s="330">
        <f t="shared" ref="Z291:AC291" si="509" ca="1">Z245</f>
        <v>1e-12</v>
      </c>
      <c r="AA291" s="330">
        <f ca="1">AA245</f>
        <v>1e-12</v>
      </c>
      <c r="AB291" s="330">
        <f ca="1">AB245</f>
        <v>1e-12</v>
      </c>
      <c r="AC291" s="330">
        <f ca="1">AC245</f>
        <v>1e-12</v>
      </c>
      <c r="AD291" s="16"/>
      <c r="AE291" s="329">
        <f t="shared" ref="AE291:AG291" si="510" ca="1">AE245</f>
        <v>1e-12</v>
      </c>
      <c r="AF291" s="329">
        <f ca="1">AF245</f>
        <v>1e-12</v>
      </c>
      <c r="AG291" s="329">
        <f ca="1">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 ca="1">X102</f>
        <v>6673</v>
      </c>
      <c r="Y292" s="16"/>
      <c r="Z292" s="359">
        <f ca="1">Z102</f>
        <v>525.9234435217377</v>
      </c>
      <c r="AA292" s="359">
        <f ca="1">AA102</f>
        <v>-5630.714249117397</v>
      </c>
      <c r="AB292" s="359">
        <f ca="1">AB102</f>
        <v>-1223.7426643888184</v>
      </c>
      <c r="AC292" s="359">
        <f ca="1">AC102</f>
        <v>-1230.1493385645595</v>
      </c>
      <c r="AD292" s="16"/>
      <c r="AE292" s="162">
        <f ca="1">AE102</f>
        <v>-3160.974308952868</v>
      </c>
      <c r="AF292" s="162">
        <f ca="1">AF102</f>
        <v>-8485.021287694033</v>
      </c>
      <c r="AG292" s="162">
        <f ca="1">AG102</f>
        <v>-9785.329141326723</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 ca="1">X299*X28</f>
        <v>-13.594095303342307</v>
      </c>
      <c r="Y293" s="16"/>
      <c r="Z293" s="359">
        <f t="shared" ref="Z293:AC293" si="511" ca="1">Z299*Z28</f>
        <v>-16.04103245794392</v>
      </c>
      <c r="AA293" s="359">
        <f ca="1">AA299*AA28</f>
        <v>-18.286777002056073</v>
      </c>
      <c r="AB293" s="359">
        <f ca="1">AB299*AB28</f>
        <v>-16.092363761809345</v>
      </c>
      <c r="AC293" s="359">
        <f ca="1">AC299*AC28</f>
        <v>-15.287745573718876</v>
      </c>
      <c r="AD293" s="16"/>
      <c r="AE293" s="162">
        <f t="shared" ref="AE293:AG293" si="512" ca="1">AE299*AE28</f>
        <v>-67.02207717143877</v>
      </c>
      <c r="AF293" s="162">
        <f ca="1">AF299*AF28</f>
        <v>-68.36251871486755</v>
      </c>
      <c r="AG293" s="162">
        <f ca="1">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 ca="1">SUM(X288:X293)</f>
        <v>1113.2059046966579</v>
      </c>
      <c r="Y294" s="16"/>
      <c r="Z294" s="281">
        <f ca="1">SUM(Z288:Z293)</f>
        <v>-2613.267588936206</v>
      </c>
      <c r="AA294" s="281">
        <f ca="1">SUM(AA288:AA293)</f>
        <v>-4526.351026119453</v>
      </c>
      <c r="AB294" s="281">
        <f ca="1">SUM(AB288:AB293)</f>
        <v>-2387.2850281506276</v>
      </c>
      <c r="AC294" s="281">
        <f ca="1">SUM(AC288:AC293)</f>
        <v>-7548.567084138277</v>
      </c>
      <c r="AD294" s="16"/>
      <c r="AE294" s="282">
        <f ca="1">SUM(AE288:AE293)</f>
        <v>-14424.184386124307</v>
      </c>
      <c r="AF294" s="282">
        <f ca="1">SUM(AF288:AF293)</f>
        <v>-20569.1906064089</v>
      </c>
      <c r="AG294" s="282">
        <f ca="1">SUM(AG288:AG293)</f>
        <v>-22772.44639041589</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 ca="1">Drivers!X152</f>
        <v>1e-12</v>
      </c>
      <c r="Y295" s="461"/>
      <c r="Z295" s="460">
        <f ca="1">Drivers!Z152</f>
        <v>1e-12</v>
      </c>
      <c r="AA295" s="460">
        <f ca="1">Drivers!AA152</f>
        <v>1e-12</v>
      </c>
      <c r="AB295" s="460">
        <f ca="1">Drivers!AB152</f>
        <v>1e-12</v>
      </c>
      <c r="AC295" s="460">
        <f ca="1">Drivers!AC152</f>
        <v>1e-12</v>
      </c>
      <c r="AD295" s="16"/>
      <c r="AE295" s="462">
        <f ca="1">Drivers!AE152</f>
        <v>1e-12</v>
      </c>
      <c r="AF295" s="462">
        <f ca="1">Drivers!AF152</f>
        <v>1e-12</v>
      </c>
      <c r="AG295" s="462">
        <f ca="1">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 ca="1">Drivers!X157</f>
        <v>-500</v>
      </c>
      <c r="Y296" s="461"/>
      <c r="Z296" s="460">
        <f ca="1">Drivers!Z157</f>
        <v>-500</v>
      </c>
      <c r="AA296" s="460">
        <f ca="1">Drivers!AA157</f>
        <v>-500</v>
      </c>
      <c r="AB296" s="460">
        <f ca="1">Drivers!AB157</f>
        <v>-500</v>
      </c>
      <c r="AC296" s="460">
        <f ca="1">Drivers!AC157</f>
        <v>-500</v>
      </c>
      <c r="AD296" s="16"/>
      <c r="AE296" s="462">
        <f ca="1">Drivers!AE157</f>
        <v>-1400</v>
      </c>
      <c r="AF296" s="462">
        <f ca="1">Drivers!AF157</f>
        <v>-1300</v>
      </c>
      <c r="AG296" s="462">
        <f ca="1">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 ca="1">SUM(X294:X296)</f>
        <v>613.2059046966579</v>
      </c>
      <c r="Y297" s="16"/>
      <c r="Z297" s="281">
        <f ca="1">SUM(Z294:Z296)</f>
        <v>-3113.267588936206</v>
      </c>
      <c r="AA297" s="281">
        <f ca="1">SUM(AA294:AA296)</f>
        <v>-5026.351026119453</v>
      </c>
      <c r="AB297" s="281">
        <f ca="1">SUM(AB294:AB296)</f>
        <v>-2887.2850281506276</v>
      </c>
      <c r="AC297" s="281">
        <f ca="1">SUM(AC294:AC296)</f>
        <v>-8048.567084138277</v>
      </c>
      <c r="AD297" s="16"/>
      <c r="AE297" s="282">
        <f ca="1">SUM(AE294:AE296)</f>
        <v>-15824.184386124307</v>
      </c>
      <c r="AF297" s="282">
        <f ca="1">SUM(AF294:AF296)</f>
        <v>-21869.1906064089</v>
      </c>
      <c r="AG297" s="282">
        <f ca="1">SUM(AG294:AG296)</f>
        <v>-23972.44639041589</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513" ca="1">F178/F28</f>
        <v>1e-12</v>
      </c>
      <c r="G299" s="463">
        <f ca="1">G178/G28</f>
        <v>-0.13364517206815904</v>
      </c>
      <c r="H299" s="463">
        <f ca="1">H178/H28</f>
        <v>-0.10231740985526647</v>
      </c>
      <c r="I299" s="463">
        <f ca="1">I178/I28</f>
        <v>1.0447045810673794</v>
      </c>
      <c r="J299" s="464">
        <f ca="1">J178/J28</f>
        <v>1e-12</v>
      </c>
      <c r="K299" s="463">
        <f ca="1">K178/K28</f>
        <v>1.103008849557522</v>
      </c>
      <c r="L299" s="463">
        <f ca="1">L178/L28</f>
        <v>0.19259079511445443</v>
      </c>
      <c r="M299" s="463">
        <f ca="1">M178/M28</f>
        <v>0.1916652606715033</v>
      </c>
      <c r="N299" s="463">
        <f ca="1">N178/N28</f>
        <v>-1.5334372834372834</v>
      </c>
      <c r="O299" s="464">
        <f ca="1">O178/O28</f>
        <v>-0.01243067508127749</v>
      </c>
      <c r="P299" s="463">
        <f ca="1">P178/P28</f>
        <v>0.9106837990834756</v>
      </c>
      <c r="Q299" s="463">
        <f ca="1">Q178/Q28</f>
        <v>0.03781412046270443</v>
      </c>
      <c r="R299" s="463">
        <f ca="1">R178/R28</f>
        <v>0.09345644319550381</v>
      </c>
      <c r="S299" s="463">
        <f ca="1">S178/S28</f>
        <v>-0.9099983082388766</v>
      </c>
      <c r="T299" s="464">
        <f ca="1">T178/T28</f>
        <v>0.021171857074320517</v>
      </c>
      <c r="U299" s="463">
        <f ca="1">U178/U28</f>
        <v>0.626844130853111</v>
      </c>
      <c r="V299" s="463">
        <f ca="1">V178/V28</f>
        <v>-0.032390279289082335</v>
      </c>
      <c r="W299" s="463">
        <f ca="1">W178/W28</f>
        <v>-0.0017453529976437735</v>
      </c>
      <c r="X299" s="465">
        <f ca="1">AVERAGE($F$299:$V$299)</f>
        <v>-0.0006243814470511484</v>
      </c>
      <c r="Y299" s="16"/>
      <c r="Z299" s="465">
        <f t="shared" ref="Z299:AC299" si="514" ca="1">AVERAGE($F$299:$V$299)</f>
        <v>-0.0006243814470511484</v>
      </c>
      <c r="AA299" s="465">
        <f ca="1">AVERAGE($F$299:$V$299)</f>
        <v>-0.0006243814470511484</v>
      </c>
      <c r="AB299" s="465">
        <f ca="1">AVERAGE($F$299:$V$299)</f>
        <v>-0.0006243814470511484</v>
      </c>
      <c r="AC299" s="465">
        <f ca="1">AVERAGE($F$299:$V$299)</f>
        <v>-0.0006243814470511484</v>
      </c>
      <c r="AD299" s="16"/>
      <c r="AE299" s="464">
        <f t="shared" ref="AE299:AG299" si="515" ca="1">AVERAGE($F$299:$V$299)</f>
        <v>-0.0006243814470511484</v>
      </c>
      <c r="AF299" s="464">
        <f ca="1">AVERAGE($F$299:$V$299)</f>
        <v>-0.0006243814470511484</v>
      </c>
      <c r="AG299" s="464">
        <f ca="1">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516" ca="1">E304</f>
        <v>1e-12</v>
      </c>
      <c r="G302" s="353">
        <f ca="1">F304</f>
        <v>5282</v>
      </c>
      <c r="H302" s="353">
        <f ca="1">G304</f>
        <v>4643</v>
      </c>
      <c r="I302" s="353">
        <f ca="1">H304</f>
        <v>3698</v>
      </c>
      <c r="J302" s="282">
        <f ca="1">F302</f>
        <v>1e-12</v>
      </c>
      <c r="K302" s="353">
        <f t="shared" ref="K302:N302" si="517" ca="1">J304</f>
        <v>348</v>
      </c>
      <c r="L302" s="353">
        <f ca="1">K304</f>
        <v>5722</v>
      </c>
      <c r="M302" s="353">
        <f ca="1">L304</f>
        <v>3502</v>
      </c>
      <c r="N302" s="353">
        <f ca="1">M304</f>
        <v>1817</v>
      </c>
      <c r="O302" s="282">
        <f ca="1">K302</f>
        <v>348</v>
      </c>
      <c r="P302" s="353">
        <f t="shared" ref="P302:S302" si="518" ca="1">O304</f>
        <v>360</v>
      </c>
      <c r="Q302" s="353">
        <f ca="1">P304</f>
        <v>5045</v>
      </c>
      <c r="R302" s="353">
        <f ca="1">Q304</f>
        <v>4040</v>
      </c>
      <c r="S302" s="353">
        <f ca="1">R304</f>
        <v>1992</v>
      </c>
      <c r="T302" s="282">
        <f ca="1">P302</f>
        <v>360</v>
      </c>
      <c r="U302" s="353">
        <f t="shared" ref="U302:X302" si="519" ca="1">T304</f>
        <v>56</v>
      </c>
      <c r="V302" s="353">
        <f ca="1">U304</f>
        <v>250</v>
      </c>
      <c r="W302" s="353">
        <f ca="1">V304</f>
        <v>1e-12</v>
      </c>
      <c r="X302" s="281">
        <f ca="1">W304</f>
        <v>1e-12</v>
      </c>
      <c r="Y302" s="16"/>
      <c r="Z302" s="281">
        <f ca="1">X304</f>
        <v>1e-12</v>
      </c>
      <c r="AA302" s="281">
        <f ca="1">Z304</f>
        <v>3113.267588936206</v>
      </c>
      <c r="AB302" s="281">
        <f ca="1">AA304</f>
        <v>8139.618615055659</v>
      </c>
      <c r="AC302" s="281">
        <f ca="1">AB304</f>
        <v>11026.903643206286</v>
      </c>
      <c r="AD302" s="16"/>
      <c r="AE302" s="282">
        <f ca="1">AC304</f>
        <v>19075.470727344564</v>
      </c>
      <c r="AF302" s="282">
        <f ca="1">AE304</f>
        <v>34899.65511346887</v>
      </c>
      <c r="AG302" s="282">
        <f ca="1">AF304</f>
        <v>56768.845719877776</v>
      </c>
      <c r="AH302" s="16"/>
      <c r="AI302" s="16"/>
      <c r="AJ302" s="16"/>
      <c r="AK302" s="16"/>
    </row>
    <row r="303" ht="13.5" customHeight="1" spans="1:37" x14ac:dyDescent="0.25">
      <c r="A303" s="264"/>
      <c r="B303" s="16"/>
      <c r="C303" s="139" t="s">
        <v>435</v>
      </c>
      <c r="D303" s="16"/>
      <c r="E303" s="16"/>
      <c r="F303" s="384">
        <f t="shared" ref="F303:I303" si="520" ca="1">F304-F302</f>
        <v>5282</v>
      </c>
      <c r="G303" s="384">
        <f ca="1">G304-G302</f>
        <v>-639</v>
      </c>
      <c r="H303" s="384">
        <f ca="1">H304-H302</f>
        <v>-945</v>
      </c>
      <c r="I303" s="384">
        <f ca="1">I304-I302</f>
        <v>-3350</v>
      </c>
      <c r="J303" s="162">
        <f ca="1">IF(J305&gt;J302,J305-J302,0)</f>
        <v>0</v>
      </c>
      <c r="K303" s="384">
        <f t="shared" ref="K303:N303" si="521" ca="1">K304-K302</f>
        <v>5374</v>
      </c>
      <c r="L303" s="384">
        <f ca="1">L304-L302</f>
        <v>-2220</v>
      </c>
      <c r="M303" s="384">
        <f ca="1">M304-M302</f>
        <v>-1685</v>
      </c>
      <c r="N303" s="384">
        <f ca="1">N304-N302</f>
        <v>-1457</v>
      </c>
      <c r="O303" s="162">
        <f ca="1">IF(O305&gt;O302,O305-O302,0)</f>
        <v>0</v>
      </c>
      <c r="P303" s="384">
        <f t="shared" ref="P303:S303" si="522" ca="1">P304-P302</f>
        <v>4685</v>
      </c>
      <c r="Q303" s="384">
        <f ca="1">Q304-Q302</f>
        <v>-1005</v>
      </c>
      <c r="R303" s="384">
        <f ca="1">R304-R302</f>
        <v>-2048</v>
      </c>
      <c r="S303" s="384">
        <f ca="1">S304-S302</f>
        <v>-1936</v>
      </c>
      <c r="T303" s="162">
        <f ca="1">IF(T305&gt;T302,T305-T302,0)</f>
        <v>0</v>
      </c>
      <c r="U303" s="384">
        <f t="shared" ref="U303:W303" si="523" ca="1">U304-U302</f>
        <v>194</v>
      </c>
      <c r="V303" s="384">
        <f ca="1">V304-V302</f>
        <v>-250</v>
      </c>
      <c r="W303" s="384">
        <f ca="1">W304-W302</f>
        <v>1e-12</v>
      </c>
      <c r="X303" s="330">
        <f ca="1">IF(X297&lt;0,-X297,IF(X297&gt;X302,-X302,-X297))</f>
      </c>
      <c r="Y303" s="16"/>
      <c r="Z303" s="330">
        <f ca="1">IF(Z297&lt;0,-Z297,IF(Z297&gt;Z302,-Z302,-Z297))</f>
        <v>3113.267588936206</v>
      </c>
      <c r="AA303" s="330">
        <f ca="1">IF(AA297&lt;0,-AA297,IF(AA297&gt;AA302,-AA302,-AA297))</f>
        <v>5026.351026119453</v>
      </c>
      <c r="AB303" s="330">
        <f ca="1">IF(AB297&lt;0,-AB297,IF(AB297&gt;AB302,-AB302,-AB297))</f>
        <v>2887.2850281506276</v>
      </c>
      <c r="AC303" s="330">
        <f ca="1">IF(AC297&lt;0,-AC297,IF(AC297&gt;AC302,-AC302,-AC297))</f>
        <v>8048.567084138277</v>
      </c>
      <c r="AD303" s="16"/>
      <c r="AE303" s="329">
        <f ca="1">IF(AE297&lt;0,-AE297,IF(AE297&gt;AE302,-AE302,-AE297))</f>
        <v>15824.184386124307</v>
      </c>
      <c r="AF303" s="329">
        <f ca="1">IF(AF297&lt;0,-AF297,IF(AF297&gt;AF302,-AF302,-AF297))</f>
        <v>21869.1906064089</v>
      </c>
      <c r="AG303" s="329">
        <f ca="1">IF(AG297&lt;0,-AG297,IF(AG297&gt;AG302,-AG302,-AG297))</f>
        <v>23972.44639041589</v>
      </c>
      <c r="AH303" s="16"/>
      <c r="AI303" s="16"/>
      <c r="AJ303" s="16"/>
      <c r="AK303" s="16"/>
    </row>
    <row r="304" ht="13.5" customHeight="1" spans="1:37" x14ac:dyDescent="0.25">
      <c r="A304" s="264"/>
      <c r="B304" s="16"/>
      <c r="C304" s="16" t="s">
        <v>406</v>
      </c>
      <c r="D304" s="16"/>
      <c r="E304" s="16"/>
      <c r="F304" s="353">
        <f t="shared" ref="F304:W304" si="524" ca="1">F139</f>
        <v>5282</v>
      </c>
      <c r="G304" s="353">
        <f ca="1">G139</f>
        <v>4643</v>
      </c>
      <c r="H304" s="353">
        <f ca="1">H139</f>
        <v>3698</v>
      </c>
      <c r="I304" s="353">
        <f ca="1">I139</f>
        <v>348</v>
      </c>
      <c r="J304" s="282">
        <f ca="1">J139</f>
        <v>348</v>
      </c>
      <c r="K304" s="353">
        <f ca="1">K139</f>
        <v>5722</v>
      </c>
      <c r="L304" s="353">
        <f ca="1">L139</f>
        <v>3502</v>
      </c>
      <c r="M304" s="353">
        <f ca="1">M139</f>
        <v>1817</v>
      </c>
      <c r="N304" s="353">
        <f ca="1">N139</f>
        <v>360</v>
      </c>
      <c r="O304" s="282">
        <f ca="1">O139</f>
        <v>360</v>
      </c>
      <c r="P304" s="353">
        <f ca="1">P139</f>
        <v>5045</v>
      </c>
      <c r="Q304" s="353">
        <f ca="1">Q139</f>
        <v>4040</v>
      </c>
      <c r="R304" s="353">
        <f ca="1">R139</f>
        <v>1992</v>
      </c>
      <c r="S304" s="353">
        <f ca="1">S139</f>
        <v>56</v>
      </c>
      <c r="T304" s="282">
        <f ca="1">T139</f>
        <v>56</v>
      </c>
      <c r="U304" s="353">
        <f ca="1">U139</f>
        <v>250</v>
      </c>
      <c r="V304" s="353">
        <f ca="1">V139</f>
        <v>1e-12</v>
      </c>
      <c r="W304" s="353">
        <f ca="1">W139</f>
        <v>1e-12</v>
      </c>
      <c r="X304" s="281">
        <f ca="1">SUM(X302:X303)</f>
        <v>1e-12</v>
      </c>
      <c r="Y304" s="16"/>
      <c r="Z304" s="281">
        <f ca="1">SUM(Z302:Z303)</f>
        <v>3113.267588936206</v>
      </c>
      <c r="AA304" s="281">
        <f ca="1">SUM(AA302:AA303)</f>
        <v>8139.618615055659</v>
      </c>
      <c r="AB304" s="281">
        <f ca="1">SUM(AB302:AB303)</f>
        <v>11026.903643206286</v>
      </c>
      <c r="AC304" s="281">
        <f ca="1">SUM(AC302:AC303)</f>
        <v>19075.470727344564</v>
      </c>
      <c r="AD304" s="16"/>
      <c r="AE304" s="282">
        <f ca="1">SUM(AE302:AE303)</f>
        <v>34899.65511346887</v>
      </c>
      <c r="AF304" s="282">
        <f ca="1">SUM(AF302:AF303)</f>
        <v>56768.845719877776</v>
      </c>
      <c r="AG304" s="282">
        <f ca="1">SUM(AG302:AG303)</f>
        <v>80741.29211029367</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525" ca="1">E310</f>
        <v>1e-12</v>
      </c>
      <c r="G307" s="353">
        <f ca="1">F310</f>
        <v>15844</v>
      </c>
      <c r="H307" s="353">
        <f ca="1">G310</f>
        <v>15831</v>
      </c>
      <c r="I307" s="353">
        <f ca="1">H310</f>
        <v>15577</v>
      </c>
      <c r="J307" s="282">
        <f ca="1">F307</f>
        <v>1e-12</v>
      </c>
      <c r="K307" s="353">
        <f t="shared" ref="K307:N307" si="526" ca="1">J310</f>
        <v>15501</v>
      </c>
      <c r="L307" s="353">
        <f ca="1">K310</f>
        <v>17550</v>
      </c>
      <c r="M307" s="353">
        <f ca="1">L310</f>
        <v>17547</v>
      </c>
      <c r="N307" s="353">
        <f ca="1">M310</f>
        <v>17209</v>
      </c>
      <c r="O307" s="282">
        <f ca="1">K307</f>
        <v>15501</v>
      </c>
      <c r="P307" s="353">
        <f t="shared" ref="P307:S307" si="527" ca="1">O310</f>
        <v>17365</v>
      </c>
      <c r="Q307" s="353">
        <f ca="1">P310</f>
        <v>43693</v>
      </c>
      <c r="R307" s="353">
        <f ca="1">Q310</f>
        <v>45067</v>
      </c>
      <c r="S307" s="353">
        <f ca="1">R310</f>
        <v>45097</v>
      </c>
      <c r="T307" s="282">
        <f ca="1">P307</f>
        <v>17365</v>
      </c>
      <c r="U307" s="353">
        <f t="shared" ref="U307:X307" si="528" ca="1">T310</f>
        <v>43941</v>
      </c>
      <c r="V307" s="353">
        <f ca="1">U310</f>
        <v>23244</v>
      </c>
      <c r="W307" s="353">
        <f ca="1">V310</f>
        <v>23311</v>
      </c>
      <c r="X307" s="281">
        <f ca="1">W310</f>
        <v>25233</v>
      </c>
      <c r="Y307" s="16"/>
      <c r="Z307" s="281">
        <f ca="1">X310</f>
        <v>24733</v>
      </c>
      <c r="AA307" s="281">
        <f t="shared" ref="AA307:AC307" si="529" ca="1">Z310</f>
        <v>24233</v>
      </c>
      <c r="AB307" s="281">
        <f ca="1">AA310</f>
        <v>23733</v>
      </c>
      <c r="AC307" s="281">
        <f ca="1">AB310</f>
        <v>23233</v>
      </c>
      <c r="AD307" s="16"/>
      <c r="AE307" s="282">
        <f ca="1">AC310</f>
        <v>22733</v>
      </c>
      <c r="AF307" s="282">
        <f t="shared" ref="AF307:AG307" si="530" ca="1">AE310</f>
        <v>21333</v>
      </c>
      <c r="AG307" s="282">
        <f ca="1">AF310</f>
        <v>20033</v>
      </c>
      <c r="AH307" s="16"/>
      <c r="AI307" s="16"/>
      <c r="AJ307" s="16"/>
      <c r="AK307" s="16"/>
    </row>
    <row r="308" ht="13.5" customHeight="1" spans="1:37" x14ac:dyDescent="0.25">
      <c r="A308" s="264"/>
      <c r="B308" s="16"/>
      <c r="C308" s="139" t="s">
        <v>310</v>
      </c>
      <c r="D308" s="16"/>
      <c r="E308" s="16"/>
      <c r="F308" s="384">
        <f t="shared" ref="F308:W308" si="531" ca="1">IF(F310&gt;F307,F310-F307,0)</f>
        <v>15844</v>
      </c>
      <c r="G308" s="384">
        <f ca="1">IF(G310&gt;G307,G310-G307,0)</f>
      </c>
      <c r="H308" s="384">
        <f ca="1">IF(H310&gt;H307,H310-H307,0)</f>
      </c>
      <c r="I308" s="384">
        <f ca="1">IF(I310&gt;I307,I310-I307,0)</f>
      </c>
      <c r="J308" s="162">
        <f ca="1">IF(J310&gt;J307,J310-J307,0)</f>
        <v>15501</v>
      </c>
      <c r="K308" s="384">
        <f ca="1">IF(K310&gt;K307,K310-K307,0)</f>
        <v>2049</v>
      </c>
      <c r="L308" s="384">
        <f ca="1">IF(L310&gt;L307,L310-L307,0)</f>
      </c>
      <c r="M308" s="384">
        <f ca="1">IF(M310&gt;M307,M310-M307,0)</f>
      </c>
      <c r="N308" s="384">
        <f ca="1">IF(N310&gt;N307,N310-N307,0)</f>
        <v>156</v>
      </c>
      <c r="O308" s="162">
        <f ca="1">IF(O310&gt;O307,O310-O307,0)</f>
        <v>1864</v>
      </c>
      <c r="P308" s="384">
        <f ca="1">IF(P310&gt;P307,P310-P307,0)</f>
        <v>3439</v>
      </c>
      <c r="Q308" s="384">
        <f ca="1">IF(Q310&gt;Q307,Q310-Q307,0)</f>
        <v>2</v>
      </c>
      <c r="R308" s="384">
        <f ca="1">IF(R310&gt;R307,R310-R307,0)</f>
        <v>988</v>
      </c>
      <c r="S308" s="384">
        <f ca="1">IF(S310&gt;S307,S310-S307,0)</f>
        <v>4417</v>
      </c>
      <c r="T308" s="162">
        <f ca="1">IF(T310&gt;T307,T310-T307,0)</f>
        <v>8846</v>
      </c>
      <c r="U308" s="384">
        <f ca="1">IF(U310&gt;U307,U310-U307,0)</f>
      </c>
      <c r="V308" s="384">
        <f ca="1">IF(V310&gt;V307,V310-V307,0)</f>
        <v>67</v>
      </c>
      <c r="W308" s="384">
        <f ca="1">IF(W310&gt;W307,W310-W307,0)</f>
        <v>1922</v>
      </c>
      <c r="X308" s="330">
        <f t="shared" ref="X308:X309" si="532" ca="1">X295</f>
        <v>1e-12</v>
      </c>
      <c r="Y308" s="16"/>
      <c r="Z308" s="330">
        <f t="shared" ref="Z308:AC308" si="533" ca="1">Z295</f>
        <v>1e-12</v>
      </c>
      <c r="AA308" s="330">
        <f ca="1">AA295</f>
        <v>1e-12</v>
      </c>
      <c r="AB308" s="330">
        <f ca="1">AB295</f>
        <v>1e-12</v>
      </c>
      <c r="AC308" s="330">
        <f ca="1">AC295</f>
        <v>1e-12</v>
      </c>
      <c r="AD308" s="16"/>
      <c r="AE308" s="329">
        <f t="shared" ref="AE308:AG308" si="534" ca="1">AE295</f>
        <v>1e-12</v>
      </c>
      <c r="AF308" s="329">
        <f ca="1">AF295</f>
        <v>1e-12</v>
      </c>
      <c r="AG308" s="329">
        <f ca="1">AG295</f>
        <v>1e-12</v>
      </c>
      <c r="AH308" s="16"/>
      <c r="AI308" s="16"/>
      <c r="AJ308" s="16"/>
      <c r="AK308" s="16"/>
    </row>
    <row r="309" ht="13.5" customHeight="1" spans="1:37" x14ac:dyDescent="0.25">
      <c r="A309" s="264"/>
      <c r="B309" s="16"/>
      <c r="C309" s="139" t="s">
        <v>437</v>
      </c>
      <c r="D309" s="16"/>
      <c r="E309" s="16"/>
      <c r="F309" s="384">
        <f t="shared" ref="F309:W309" si="535" ca="1">IF(F307&gt;F310,F310-F307,0)</f>
        <v>0</v>
      </c>
      <c r="G309" s="384">
        <f ca="1">IF(G307&gt;G310,G310-G307,0)</f>
        <v>-13</v>
      </c>
      <c r="H309" s="384">
        <f ca="1">IF(H307&gt;H310,H310-H307,0)</f>
        <v>-254</v>
      </c>
      <c r="I309" s="384">
        <f ca="1">IF(I307&gt;I310,I310-I307,0)</f>
        <v>-76</v>
      </c>
      <c r="J309" s="162">
        <f ca="1">IF(J307&gt;J310,J310-J307,0)</f>
      </c>
      <c r="K309" s="384">
        <f ca="1">IF(K307&gt;K310,K310-K307,0)</f>
      </c>
      <c r="L309" s="384">
        <f ca="1">IF(L307&gt;L310,L310-L307,0)</f>
        <v>-3</v>
      </c>
      <c r="M309" s="384">
        <f ca="1">IF(M307&gt;M310,M310-M307,0)</f>
        <v>-338</v>
      </c>
      <c r="N309" s="384">
        <f ca="1">IF(N307&gt;N310,N310-N307,0)</f>
      </c>
      <c r="O309" s="162">
        <f ca="1">IF(O307&gt;O310,O310-O307,0)</f>
      </c>
      <c r="P309" s="384">
        <f ca="1">IF(P307&gt;P310,P310-P307,0)</f>
      </c>
      <c r="Q309" s="384">
        <f ca="1">IF(Q307&gt;Q310,Q310-Q307,0)</f>
      </c>
      <c r="R309" s="384">
        <f ca="1">IF(R307&gt;R310,R310-R307,0)</f>
      </c>
      <c r="S309" s="384">
        <f ca="1">IF(S307&gt;S310,S310-S307,0)</f>
      </c>
      <c r="T309" s="162">
        <f ca="1">IF(T307&gt;T310,T310-T307,0)</f>
      </c>
      <c r="U309" s="384">
        <f ca="1">IF(U307&gt;U310,U310-U307,0)</f>
        <v>-2967</v>
      </c>
      <c r="V309" s="384">
        <f ca="1">IF(V307&gt;V310,V310-V307,0)</f>
      </c>
      <c r="W309" s="384">
        <f ca="1">IF(W307&gt;W310,W310-W307,0)</f>
      </c>
      <c r="X309" s="330">
        <f ca="1">X296</f>
        <v>-500</v>
      </c>
      <c r="Y309" s="16"/>
      <c r="Z309" s="330">
        <f t="shared" ref="Z309:AC309" si="536" ca="1">Z296</f>
        <v>-500</v>
      </c>
      <c r="AA309" s="330">
        <f ca="1">AA296</f>
        <v>-500</v>
      </c>
      <c r="AB309" s="330">
        <f ca="1">AB296</f>
        <v>-500</v>
      </c>
      <c r="AC309" s="330">
        <f ca="1">AC296</f>
        <v>-500</v>
      </c>
      <c r="AD309" s="16"/>
      <c r="AE309" s="329">
        <f t="shared" ref="AE309:AG309" si="537" ca="1">AE296</f>
        <v>-1400</v>
      </c>
      <c r="AF309" s="329">
        <f ca="1">AF296</f>
        <v>-1300</v>
      </c>
      <c r="AG309" s="329">
        <f ca="1">AG296</f>
        <v>-1200</v>
      </c>
      <c r="AH309" s="16"/>
      <c r="AI309" s="16"/>
      <c r="AJ309" s="16"/>
      <c r="AK309" s="16"/>
    </row>
    <row r="310" ht="13.5" customHeight="1" spans="1:37" x14ac:dyDescent="0.25">
      <c r="A310" s="264"/>
      <c r="B310" s="16"/>
      <c r="C310" s="16" t="s">
        <v>406</v>
      </c>
      <c r="D310" s="16"/>
      <c r="E310" s="16"/>
      <c r="F310" s="353">
        <f t="shared" ref="F310:W310" si="538" ca="1">F140</f>
        <v>15844</v>
      </c>
      <c r="G310" s="353">
        <f ca="1">G140</f>
        <v>15831</v>
      </c>
      <c r="H310" s="353">
        <f ca="1">H140</f>
        <v>15577</v>
      </c>
      <c r="I310" s="353">
        <f ca="1">I140</f>
        <v>15501</v>
      </c>
      <c r="J310" s="282">
        <f ca="1">J140</f>
        <v>15501</v>
      </c>
      <c r="K310" s="353">
        <f ca="1">K140</f>
        <v>17550</v>
      </c>
      <c r="L310" s="353">
        <f ca="1">L140</f>
        <v>17547</v>
      </c>
      <c r="M310" s="353">
        <f ca="1">M140</f>
        <v>17209</v>
      </c>
      <c r="N310" s="353">
        <f ca="1">N140</f>
        <v>17365</v>
      </c>
      <c r="O310" s="282">
        <f ca="1">O140</f>
        <v>17365</v>
      </c>
      <c r="P310" s="353">
        <f ca="1">P140</f>
        <v>43693</v>
      </c>
      <c r="Q310" s="353">
        <f ca="1">Q140</f>
        <v>45067</v>
      </c>
      <c r="R310" s="353">
        <f ca="1">R140</f>
        <v>45097</v>
      </c>
      <c r="S310" s="353">
        <f ca="1">S140</f>
        <v>43941</v>
      </c>
      <c r="T310" s="282">
        <f ca="1">T140</f>
        <v>43941</v>
      </c>
      <c r="U310" s="353">
        <f ca="1">U140</f>
        <v>23244</v>
      </c>
      <c r="V310" s="353">
        <f ca="1">V140</f>
        <v>23311</v>
      </c>
      <c r="W310" s="353">
        <f ca="1">W140</f>
        <v>25233</v>
      </c>
      <c r="X310" s="281">
        <f ca="1">SUM(X307:X309)</f>
        <v>24733</v>
      </c>
      <c r="Y310" s="16"/>
      <c r="Z310" s="281">
        <f t="shared" ref="Z310:AC310" si="539" ca="1">SUM(Z307:Z309)</f>
        <v>24233</v>
      </c>
      <c r="AA310" s="281">
        <f ca="1">SUM(AA307:AA309)</f>
        <v>23733</v>
      </c>
      <c r="AB310" s="281">
        <f ca="1">SUM(AB307:AB309)</f>
        <v>23233</v>
      </c>
      <c r="AC310" s="281">
        <f ca="1">SUM(AC307:AC309)</f>
        <v>22733</v>
      </c>
      <c r="AD310" s="16"/>
      <c r="AE310" s="282">
        <f t="shared" ref="AE310:AG310" si="540" ca="1">SUM(AE307:AE309)</f>
        <v>21333</v>
      </c>
      <c r="AF310" s="282">
        <f ca="1">SUM(AF307:AF309)</f>
        <v>20033</v>
      </c>
      <c r="AG310" s="282">
        <f ca="1">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 ca="1">AVERAGE(X304,X302)</f>
        <v>1e-12</v>
      </c>
      <c r="Y313" s="16"/>
      <c r="Z313" s="281">
        <f ca="1">AVERAGE(Z304,Z302)</f>
        <v>1556.633794468103</v>
      </c>
      <c r="AA313" s="281">
        <f ca="1">AVERAGE(AA304,AA302)</f>
        <v>5626.443101995932</v>
      </c>
      <c r="AB313" s="281">
        <f ca="1">AVERAGE(AB304,AB302)</f>
        <v>9583.261129130973</v>
      </c>
      <c r="AC313" s="281">
        <f ca="1">AVERAGE(AC304,AC302)</f>
        <v>15051.187185275425</v>
      </c>
      <c r="AD313" s="16"/>
      <c r="AE313" s="282">
        <f ca="1">AVERAGE(AE304,AE302)</f>
        <v>26987.562920406715</v>
      </c>
      <c r="AF313" s="282">
        <f ca="1">AVERAGE(AF304,AF302)</f>
        <v>45834.25041667333</v>
      </c>
      <c r="AG313" s="282">
        <f ca="1">AVERAGE(AG304,AG302)</f>
        <v>68755.06891508572</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 ca="1">5%/4</f>
        <v>0.0125</v>
      </c>
      <c r="Y314" s="16"/>
      <c r="Z314" s="466">
        <f t="shared" ref="Z314:AC314" si="541" ca="1">5%/4</f>
        <v>0.0125</v>
      </c>
      <c r="AA314" s="466">
        <f ca="1">5%/4</f>
        <v>0.0125</v>
      </c>
      <c r="AB314" s="466">
        <f ca="1">5%/4</f>
        <v>0.0125</v>
      </c>
      <c r="AC314" s="466">
        <f ca="1">5%/4</f>
        <v>0.0125</v>
      </c>
      <c r="AD314" s="16"/>
      <c r="AE314" s="467">
        <f t="shared" ref="AE314:AG314" si="542" ca="1">5%</f>
        <v>0.05</v>
      </c>
      <c r="AF314" s="467">
        <f ca="1">5%</f>
        <v>0.05</v>
      </c>
      <c r="AG314" s="467">
        <f ca="1">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 ca="1">-(X313*X314)</f>
        <v>1e-12</v>
      </c>
      <c r="Y315" s="16"/>
      <c r="Z315" s="281">
        <f ca="1">-(Z313*Z314)</f>
        <v>-19.457922430851287</v>
      </c>
      <c r="AA315" s="281">
        <f ca="1">-(AA313*AA314)</f>
        <v>-70.33053877494915</v>
      </c>
      <c r="AB315" s="281">
        <f ca="1">-(AB313*AB314)</f>
        <v>-119.79076411413718</v>
      </c>
      <c r="AC315" s="281">
        <f ca="1">-(AC313*AC314)</f>
        <v>-188.13983981594282</v>
      </c>
      <c r="AD315" s="16"/>
      <c r="AE315" s="282">
        <f ca="1">-(AE313*AE314)</f>
        <v>-1349.3781460203359</v>
      </c>
      <c r="AF315" s="282">
        <f ca="1">-(AF313*AF314)</f>
        <v>-2291.7125208336665</v>
      </c>
      <c r="AG315" s="282">
        <f ca="1">-(AG313*AG314)</f>
        <v>-3437.753445754286</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 ca="1">AVERAGE(X310,X307)</f>
        <v>24983</v>
      </c>
      <c r="Y318" s="16"/>
      <c r="Z318" s="281">
        <f t="shared" ref="Z318:AC318" si="543" ca="1">AVERAGE(Z310,Z307)</f>
        <v>24483</v>
      </c>
      <c r="AA318" s="281">
        <f ca="1">AVERAGE(AA310,AA307)</f>
        <v>23983</v>
      </c>
      <c r="AB318" s="281">
        <f ca="1">AVERAGE(AB310,AB307)</f>
        <v>23483</v>
      </c>
      <c r="AC318" s="281">
        <f ca="1">AVERAGE(AC310,AC307)</f>
        <v>22983</v>
      </c>
      <c r="AD318" s="16"/>
      <c r="AE318" s="282">
        <f t="shared" ref="AE318:AG318" si="544" ca="1">AVERAGE(AE310,AE307)</f>
        <v>22033</v>
      </c>
      <c r="AF318" s="282">
        <f ca="1">AVERAGE(AF310,AF307)</f>
        <v>20683</v>
      </c>
      <c r="AG318" s="282">
        <f ca="1">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 ca="1">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 ca="1">-(X318*X319)</f>
        <v>-217.976675</v>
      </c>
      <c r="Y320" s="16"/>
      <c r="Z320" s="281">
        <f t="shared" ref="Z320:AC320" si="545" ca="1">-(Z318*Z319)</f>
        <v>-213.614175</v>
      </c>
      <c r="AA320" s="281">
        <f ca="1">-(AA318*AA319)</f>
        <v>-209.251675</v>
      </c>
      <c r="AB320" s="281">
        <f ca="1">-(AB318*AB319)</f>
        <v>-204.889175</v>
      </c>
      <c r="AC320" s="281">
        <f ca="1">-(AC318*AC319)</f>
        <v>-200.526675</v>
      </c>
      <c r="AD320" s="16"/>
      <c r="AE320" s="282">
        <f t="shared" ref="AE320:AG320" si="546" ca="1">-(AE318*AE319)</f>
        <v>-768.9517</v>
      </c>
      <c r="AF320" s="282">
        <f ca="1">-(AF318*AF319)</f>
        <v>-721.8367000000001</v>
      </c>
      <c r="AG320" s="282">
        <f ca="1">-(AG318*AG319)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 ca="1">SUM(X315,X320)</f>
        <v>-217.976675</v>
      </c>
      <c r="Y322" s="100"/>
      <c r="Z322" s="390">
        <f ca="1">SUM(Z315,Z320)</f>
        <v>-233.07209743085127</v>
      </c>
      <c r="AA322" s="390">
        <f ca="1">SUM(AA315,AA320)</f>
        <v>-279.58221377494914</v>
      </c>
      <c r="AB322" s="390">
        <f ca="1">SUM(AB315,AB320)</f>
        <v>-324.67993911413714</v>
      </c>
      <c r="AC322" s="390">
        <f ca="1">SUM(AC315,AC320)</f>
        <v>-388.66651481594283</v>
      </c>
      <c r="AD322" s="100"/>
      <c r="AE322" s="389">
        <f ca="1">SUM(AE315,AE320)</f>
        <v>-2118.329846020336</v>
      </c>
      <c r="AF322" s="389">
        <f ca="1">SUM(AF315,AF320)</f>
        <v>-3013.5492208336664</v>
      </c>
      <c r="AG322" s="407">
        <f ca="1">SUM(AG315,AG320)</f>
        <v>-4115.965145754286</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 ca="1">AVERAGE(X120,W120)</f>
        <v>3599.461721760869</v>
      </c>
      <c r="Y325" s="16"/>
      <c r="Z325" s="281">
        <f ca="1">AVERAGE(Z120,Y120)</f>
        <v>-2552.39540279783</v>
      </c>
      <c r="AA325" s="281">
        <f ca="1">AVERAGE(AA120,Z120)</f>
        <v>-3427.228456753108</v>
      </c>
      <c r="AB325" s="281">
        <f ca="1">AVERAGE(AB120,AA120)</f>
        <v>-1226.946001476689</v>
      </c>
      <c r="AC325" s="281">
        <f ca="1">AVERAGE(AC120,AB120)</f>
        <v>-2195.5618237587137</v>
      </c>
      <c r="AD325" s="16"/>
      <c r="AE325" s="282">
        <f ca="1">AVERAGE(AE120,AD120)</f>
        <v>-5822.99779832345</v>
      </c>
      <c r="AF325" s="282">
        <f ca="1">AVERAGE(AF120,AE120)</f>
        <v>-9135.175214510378</v>
      </c>
      <c r="AG325" s="282">
        <f ca="1">AVERAGE(AG120,AF120)</f>
        <v>-10038.201944452278</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 ca="1">W326</f>
        <v>1e-12</v>
      </c>
      <c r="Y326" s="16"/>
      <c r="Z326" s="466">
        <f ca="1">X326</f>
        <v>1e-12</v>
      </c>
      <c r="AA326" s="466">
        <f t="shared" ref="AA326:AC326" si="547" ca="1">Z326</f>
        <v>1e-12</v>
      </c>
      <c r="AB326" s="466">
        <f ca="1">AA326</f>
        <v>1e-12</v>
      </c>
      <c r="AC326" s="466">
        <f ca="1">AB326</f>
        <v>1e-12</v>
      </c>
      <c r="AD326" s="16"/>
      <c r="AE326" s="467">
        <f ca="1">AC326</f>
        <v>1e-12</v>
      </c>
      <c r="AF326" s="467">
        <f t="shared" ref="AF326:AG326" si="548" ca="1">AE326</f>
        <v>1e-12</v>
      </c>
      <c r="AG326" s="467">
        <f ca="1">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 ca="1">X325*X326</f>
        <v>1e-12</v>
      </c>
      <c r="Y327" s="16"/>
      <c r="Z327" s="281">
        <f ca="1">Z325*Z326</f>
        <v>1e-12</v>
      </c>
      <c r="AA327" s="281">
        <f ca="1">AA325*AA326</f>
        <v>1e-12</v>
      </c>
      <c r="AB327" s="281">
        <f ca="1">AB325*AB326</f>
        <v>1e-12</v>
      </c>
      <c r="AC327" s="281">
        <f ca="1">AC325*AC326</f>
        <v>1e-12</v>
      </c>
      <c r="AD327" s="16"/>
      <c r="AE327" s="282">
        <f ca="1">AE325*AE326</f>
        <v>1e-12</v>
      </c>
      <c r="AF327" s="282">
        <f ca="1">AF325*AF326</f>
        <v>1e-12</v>
      </c>
      <c r="AG327" s="282">
        <f ca="1">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 ca="1">X327</f>
        <v>1e-12</v>
      </c>
      <c r="Y329" s="100"/>
      <c r="Z329" s="390">
        <f ca="1">Z327</f>
        <v>1e-12</v>
      </c>
      <c r="AA329" s="390">
        <f ca="1">AA327</f>
        <v>1e-12</v>
      </c>
      <c r="AB329" s="390">
        <f ca="1">AB327</f>
        <v>1e-12</v>
      </c>
      <c r="AC329" s="390">
        <f ca="1">AC327</f>
        <v>1e-12</v>
      </c>
      <c r="AD329" s="100"/>
      <c r="AE329" s="389">
        <f ca="1">AE327</f>
        <v>1e-12</v>
      </c>
      <c r="AF329" s="389">
        <f ca="1">AF327</f>
        <v>1e-12</v>
      </c>
      <c r="AG329" s="407">
        <f ca="1">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 ca="1">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 ca="1">Model!F63</f>
        <v>1Q23</v>
      </c>
      <c r="G5" s="351" t="str">
        <f ca="1">Model!G63</f>
        <v>2Q23</v>
      </c>
      <c r="H5" s="351" t="str">
        <f ca="1">Model!H63</f>
        <v>3Q23</v>
      </c>
      <c r="I5" s="351" t="str">
        <f ca="1">Model!I63</f>
        <v>4Q23</v>
      </c>
      <c r="J5" s="351">
        <f ca="1">Model!J63</f>
        <v>2023</v>
      </c>
      <c r="K5" s="351" t="str">
        <f ca="1">Model!K63</f>
        <v>1Q24</v>
      </c>
      <c r="L5" s="351" t="str">
        <f ca="1">Model!L63</f>
        <v>2Q24</v>
      </c>
      <c r="M5" s="351" t="str">
        <f ca="1">Model!M63</f>
        <v>3Q24</v>
      </c>
      <c r="N5" s="351" t="str">
        <f ca="1">Model!N63</f>
        <v>4Q24</v>
      </c>
      <c r="O5" s="351">
        <f ca="1">Model!O63</f>
        <v>2024</v>
      </c>
      <c r="P5" s="351" t="str">
        <f ca="1">Model!P63</f>
        <v>1Q25</v>
      </c>
      <c r="Q5" s="351" t="str">
        <f ca="1">Model!Q63</f>
        <v>2Q25</v>
      </c>
      <c r="R5" s="351" t="str">
        <f ca="1">Model!R63</f>
        <v>3Q25</v>
      </c>
      <c r="S5" s="351" t="str">
        <f ca="1">Model!S63</f>
        <v>4Q25</v>
      </c>
      <c r="T5" s="351">
        <f ca="1">Model!T63</f>
        <v>2025</v>
      </c>
      <c r="U5" s="351" t="str">
        <f ca="1">Model!U63</f>
        <v>1Q26</v>
      </c>
      <c r="V5" s="351" t="str">
        <f ca="1">Model!V63</f>
        <v>2Q26</v>
      </c>
      <c r="W5" s="351" t="str">
        <f ca="1">Model!W63</f>
        <v>3Q26e</v>
      </c>
      <c r="X5" s="351" t="str">
        <f ca="1">Model!X63</f>
        <v>4Q26e</v>
      </c>
      <c r="Y5" s="351" t="str">
        <f ca="1">Model!Y63</f>
        <v>2026e</v>
      </c>
      <c r="Z5" s="351" t="str">
        <f ca="1">Model!Z63</f>
        <v>1Q27e</v>
      </c>
      <c r="AA5" s="351" t="str">
        <f ca="1">Model!AA63</f>
        <v>2Q27e</v>
      </c>
      <c r="AB5" s="351" t="str">
        <f ca="1">Model!AB63</f>
        <v>3Q27e</v>
      </c>
      <c r="AC5" s="351" t="str">
        <f ca="1">Model!AC63</f>
        <v>4Q27e</v>
      </c>
      <c r="AD5" s="351" t="str">
        <f ca="1">Model!AD63</f>
        <v>2027e</v>
      </c>
      <c r="AE5" s="351" t="str">
        <f ca="1">Model!AE63</f>
        <v>2028e</v>
      </c>
      <c r="AF5" s="351" t="str">
        <f ca="1">Model!AF63</f>
        <v>2029e</v>
      </c>
      <c r="AG5" s="351" t="str">
        <f ca="1">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 ca="1">SUM(F8:F13)</f>
        <v>10980</v>
      </c>
      <c r="G7" s="317">
        <f ca="1">SUM(G8:G13)</f>
        <v>11972</v>
      </c>
      <c r="H7" s="317">
        <f ca="1">SUM(H8:H13)</f>
        <v>11953</v>
      </c>
      <c r="I7" s="317">
        <f ca="1">SUM(I8:I13)</f>
        <v>36404</v>
      </c>
      <c r="J7" s="287">
        <f t="shared" ref="J7:J13" si="1" ca="1">SUM(F7:I7)</f>
        <v>71309</v>
      </c>
      <c r="K7" s="317">
        <f t="shared" ref="K7:N7" si="2" ca="1">SUM(K8:K13)</f>
        <v>11300</v>
      </c>
      <c r="L7" s="317">
        <f ca="1">SUM(L8:L13)</f>
        <v>12363</v>
      </c>
      <c r="M7" s="317">
        <f ca="1">SUM(M8:M13)</f>
        <v>11854</v>
      </c>
      <c r="N7" s="317">
        <f ca="1">SUM(N8:N13)</f>
        <v>11544</v>
      </c>
      <c r="O7" s="287">
        <f t="shared" ref="O7:O13" si="3" ca="1">SUM(K7:N7)</f>
        <v>47061</v>
      </c>
      <c r="P7" s="317">
        <f t="shared" ref="P7:S7" si="4" ca="1">SUM(P8:P13)</f>
        <v>11129</v>
      </c>
      <c r="Q7" s="317">
        <f ca="1">SUM(Q8:Q13)</f>
        <v>12535</v>
      </c>
      <c r="R7" s="317">
        <f ca="1">SUM(R8:R13)</f>
        <v>12455</v>
      </c>
      <c r="S7" s="317">
        <f ca="1">SUM(S8:S13)</f>
        <v>11822</v>
      </c>
      <c r="T7" s="287">
        <f t="shared" ref="T7:T13" si="5" ca="1">SUM(P7:S7)</f>
        <v>47941</v>
      </c>
      <c r="U7" s="317">
        <f t="shared" ref="U7:X7" si="6" ca="1">SUM(U8:U13)</f>
        <v>12472</v>
      </c>
      <c r="V7" s="317">
        <f ca="1">SUM(V8:V13)</f>
        <v>27570</v>
      </c>
      <c r="W7" s="317">
        <f ca="1">SUM(W8:W13)</f>
        <v>22918</v>
      </c>
      <c r="X7" s="286">
        <f ca="1">SUM(X8:X13)</f>
        <v>21772.1</v>
      </c>
      <c r="Y7" s="287">
        <f t="shared" ref="Y7:Y13" si="7" ca="1">SUM(U7:X7)</f>
        <v>96682.1</v>
      </c>
      <c r="Z7" s="286">
        <f t="shared" ref="Z7:AC7" si="8" ca="1">SUM(Z8:Z13)</f>
        <v>25691.077999999998</v>
      </c>
      <c r="AA7" s="286">
        <f ca="1">SUM(AA8:AA13)</f>
        <v>29287.82892</v>
      </c>
      <c r="AB7" s="286">
        <f ca="1">SUM(AB8:AB13)</f>
        <v>25773.2894496</v>
      </c>
      <c r="AC7" s="286">
        <f ca="1">SUM(AC8:AC13)</f>
        <v>24484.62497712</v>
      </c>
      <c r="AD7" s="287">
        <f t="shared" ref="AD7:AD13" si="9" ca="1">SUM(Z7:AC7)</f>
        <v>105236.82134671998</v>
      </c>
      <c r="AE7" s="287">
        <f t="shared" ref="AE7:AG7" si="10" ca="1">SUM(AE8:AE13)</f>
        <v>107341.55777365438</v>
      </c>
      <c r="AF7" s="287">
        <f ca="1">SUM(AF8:AF13)</f>
        <v>109488.38892912747</v>
      </c>
      <c r="AG7" s="287">
        <f ca="1">SUM(AG8:AG13)</f>
        <v>111678.15670771002</v>
      </c>
    </row>
    <row r="8" ht="14.25" customHeight="1" spans="1:33" x14ac:dyDescent="0.25">
      <c r="C8" s="139" t="s">
        <v>445</v>
      </c>
      <c r="D8" s="16"/>
      <c r="E8" s="16"/>
      <c r="F8" s="469">
        <v>10980</v>
      </c>
      <c r="G8" s="469">
        <v>11972</v>
      </c>
      <c r="H8" s="469">
        <v>11953</v>
      </c>
      <c r="I8" s="469">
        <f ca="1">71309-SUM(F8:H8)</f>
        <v>36404</v>
      </c>
      <c r="J8" s="470">
        <f ca="1">SUM(F8:I8)</f>
        <v>71309</v>
      </c>
      <c r="K8" s="469">
        <v>11300</v>
      </c>
      <c r="L8" s="469">
        <v>12363</v>
      </c>
      <c r="M8" s="469">
        <v>11854</v>
      </c>
      <c r="N8" s="469">
        <v>11544</v>
      </c>
      <c r="O8" s="470">
        <f ca="1">SUM(K8:N8)</f>
        <v>47061</v>
      </c>
      <c r="P8" s="469">
        <v>11129</v>
      </c>
      <c r="Q8" s="469">
        <v>12535</v>
      </c>
      <c r="R8" s="469">
        <v>12455</v>
      </c>
      <c r="S8" s="469">
        <v>11822</v>
      </c>
      <c r="T8" s="470">
        <f ca="1">SUM(P8:S8)</f>
        <v>47941</v>
      </c>
      <c r="U8" s="469">
        <v>12472</v>
      </c>
      <c r="V8" s="469">
        <v>27570</v>
      </c>
      <c r="W8" s="469">
        <v>22918</v>
      </c>
      <c r="X8" s="471">
        <f ca="1">'Revenue Build'!X32</f>
        <v>21772.1</v>
      </c>
      <c r="Y8" s="470">
        <f ca="1">SUM(U8:X8)</f>
        <v>96682.1</v>
      </c>
      <c r="Z8" s="471">
        <f ca="1">'Revenue Build'!Z32</f>
        <v>25691.077999999998</v>
      </c>
      <c r="AA8" s="471">
        <f ca="1">'Revenue Build'!AA32</f>
        <v>29287.82892</v>
      </c>
      <c r="AB8" s="471">
        <f ca="1">'Revenue Build'!AB32</f>
        <v>25773.2894496</v>
      </c>
      <c r="AC8" s="471">
        <f ca="1">'Revenue Build'!AC32</f>
        <v>24484.62497712</v>
      </c>
      <c r="AD8" s="470">
        <f ca="1">SUM(Z8:AC8)</f>
        <v>105236.82134671998</v>
      </c>
      <c r="AE8" s="472">
        <f ca="1">'Revenue Build'!AE32</f>
        <v>107341.55777365438</v>
      </c>
      <c r="AF8" s="472">
        <f ca="1">'Revenue Build'!AF32</f>
        <v>109488.38892912747</v>
      </c>
      <c r="AG8" s="472">
        <f ca="1">'Revenue Build'!AG32</f>
        <v>111678.15670771002</v>
      </c>
    </row>
    <row r="9" ht="14.25" customHeight="1" hidden="1" spans="1:33" x14ac:dyDescent="0.25" outlineLevel="1">
      <c r="C9" s="139" t="s">
        <v>446</v>
      </c>
      <c r="D9" s="16"/>
      <c r="E9" s="16"/>
      <c r="F9" s="469">
        <v>0</v>
      </c>
      <c r="G9" s="469">
        <v>0</v>
      </c>
      <c r="H9" s="469">
        <v>0</v>
      </c>
      <c r="I9" s="469">
        <v>0</v>
      </c>
      <c r="J9" s="470">
        <f ca="1">SUM(F9:I9)</f>
        <v>1e-12</v>
      </c>
      <c r="K9" s="469">
        <v>0</v>
      </c>
      <c r="L9" s="469">
        <v>0</v>
      </c>
      <c r="M9" s="469">
        <v>0</v>
      </c>
      <c r="N9" s="469">
        <v>0</v>
      </c>
      <c r="O9" s="470">
        <f ca="1">SUM(K9:N9)</f>
        <v>1e-12</v>
      </c>
      <c r="P9" s="469">
        <v>0</v>
      </c>
      <c r="Q9" s="469">
        <v>0</v>
      </c>
      <c r="R9" s="469">
        <v>0</v>
      </c>
      <c r="S9" s="469">
        <v>0</v>
      </c>
      <c r="T9" s="470">
        <f ca="1">SUM(P9:S9)</f>
        <v>1e-12</v>
      </c>
      <c r="U9" s="469">
        <v>0</v>
      </c>
      <c r="V9" s="469">
        <v>0</v>
      </c>
      <c r="W9" s="469">
        <v>0</v>
      </c>
      <c r="X9" s="471">
        <f ca="1">'Revenue Build'!X35</f>
        <v>0</v>
      </c>
      <c r="Y9" s="470">
        <f ca="1">SUM(U9:X9)</f>
        <v>1e-12</v>
      </c>
      <c r="Z9" s="471">
        <f ca="1">'Revenue Build'!Z35</f>
        <v>0</v>
      </c>
      <c r="AA9" s="471">
        <f ca="1">'Revenue Build'!AA35</f>
        <v>0</v>
      </c>
      <c r="AB9" s="471">
        <f ca="1">'Revenue Build'!AB35</f>
        <v>0</v>
      </c>
      <c r="AC9" s="471">
        <f ca="1">'Revenue Build'!AC35</f>
        <v>0</v>
      </c>
      <c r="AD9" s="470">
        <f ca="1">SUM(Z9:AC9)</f>
        <v>1e-12</v>
      </c>
      <c r="AE9" s="472">
        <f ca="1">'Revenue Build'!AE35</f>
        <v>0</v>
      </c>
      <c r="AF9" s="472">
        <f ca="1">'Revenue Build'!AF35</f>
        <v>0</v>
      </c>
      <c r="AG9" s="472">
        <f ca="1">'Revenue Build'!AG35</f>
        <v>0</v>
      </c>
    </row>
    <row r="10" ht="14.25" customHeight="1" hidden="1" spans="1:33" x14ac:dyDescent="0.25" outlineLevel="1">
      <c r="C10" s="139" t="s">
        <v>446</v>
      </c>
      <c r="D10" s="16"/>
      <c r="E10" s="16"/>
      <c r="F10" s="469">
        <v>0</v>
      </c>
      <c r="G10" s="469">
        <v>0</v>
      </c>
      <c r="H10" s="469">
        <v>0</v>
      </c>
      <c r="I10" s="469">
        <v>0</v>
      </c>
      <c r="J10" s="470">
        <f ca="1">SUM(F10:I10)</f>
        <v>1e-12</v>
      </c>
      <c r="K10" s="469">
        <v>0</v>
      </c>
      <c r="L10" s="469">
        <v>0</v>
      </c>
      <c r="M10" s="469">
        <v>0</v>
      </c>
      <c r="N10" s="469">
        <v>0</v>
      </c>
      <c r="O10" s="470">
        <f ca="1">SUM(K10:N10)</f>
        <v>1e-12</v>
      </c>
      <c r="P10" s="469">
        <v>0</v>
      </c>
      <c r="Q10" s="469">
        <v>0</v>
      </c>
      <c r="R10" s="469">
        <v>0</v>
      </c>
      <c r="S10" s="469">
        <v>0</v>
      </c>
      <c r="T10" s="470">
        <f ca="1">SUM(P10:S10)</f>
        <v>1e-12</v>
      </c>
      <c r="U10" s="469">
        <v>0</v>
      </c>
      <c r="V10" s="469">
        <v>0</v>
      </c>
      <c r="W10" s="469">
        <v>0</v>
      </c>
      <c r="X10" s="471">
        <f ca="1">'Revenue Build'!X38</f>
        <v>0</v>
      </c>
      <c r="Y10" s="470">
        <f ca="1">SUM(U10:X10)</f>
        <v>1e-12</v>
      </c>
      <c r="Z10" s="471">
        <f ca="1">'Revenue Build'!Z38</f>
        <v>0</v>
      </c>
      <c r="AA10" s="471">
        <f ca="1">'Revenue Build'!AA38</f>
        <v>0</v>
      </c>
      <c r="AB10" s="471">
        <f ca="1">'Revenue Build'!AB38</f>
        <v>0</v>
      </c>
      <c r="AC10" s="471">
        <f ca="1">'Revenue Build'!AC38</f>
        <v>0</v>
      </c>
      <c r="AD10" s="470">
        <f ca="1">SUM(Z10:AC10)</f>
        <v>1e-12</v>
      </c>
      <c r="AE10" s="472">
        <f ca="1">'Revenue Build'!AE38</f>
        <v>0</v>
      </c>
      <c r="AF10" s="472">
        <f ca="1">'Revenue Build'!AF38</f>
        <v>0</v>
      </c>
      <c r="AG10" s="472">
        <f ca="1">'Revenue Build'!AG38</f>
        <v>0</v>
      </c>
    </row>
    <row r="11" ht="14.25" customHeight="1" hidden="1" spans="1:33" x14ac:dyDescent="0.25" outlineLevel="1">
      <c r="C11" s="139" t="s">
        <v>446</v>
      </c>
      <c r="D11" s="16"/>
      <c r="E11" s="16"/>
      <c r="F11" s="469">
        <v>0</v>
      </c>
      <c r="G11" s="469">
        <v>0</v>
      </c>
      <c r="H11" s="469">
        <v>0</v>
      </c>
      <c r="I11" s="469">
        <v>0</v>
      </c>
      <c r="J11" s="470">
        <f ca="1">SUM(F11:I11)</f>
        <v>1e-12</v>
      </c>
      <c r="K11" s="469">
        <v>0</v>
      </c>
      <c r="L11" s="469">
        <v>0</v>
      </c>
      <c r="M11" s="469">
        <v>0</v>
      </c>
      <c r="N11" s="469">
        <v>0</v>
      </c>
      <c r="O11" s="470">
        <f ca="1">SUM(K11:N11)</f>
        <v>1e-12</v>
      </c>
      <c r="P11" s="469">
        <v>0</v>
      </c>
      <c r="Q11" s="469">
        <v>0</v>
      </c>
      <c r="R11" s="469">
        <v>0</v>
      </c>
      <c r="S11" s="469">
        <v>0</v>
      </c>
      <c r="T11" s="470">
        <f ca="1">SUM(P11:S11)</f>
        <v>1e-12</v>
      </c>
      <c r="U11" s="469">
        <v>0</v>
      </c>
      <c r="V11" s="469">
        <v>0</v>
      </c>
      <c r="W11" s="469">
        <v>0</v>
      </c>
      <c r="X11" s="471">
        <f ca="1">'Revenue Build'!X41</f>
        <v>0</v>
      </c>
      <c r="Y11" s="470">
        <f ca="1">SUM(U11:X11)</f>
        <v>1e-12</v>
      </c>
      <c r="Z11" s="471">
        <f ca="1">'Revenue Build'!Z41</f>
        <v>0</v>
      </c>
      <c r="AA11" s="471">
        <f ca="1">'Revenue Build'!AA41</f>
        <v>0</v>
      </c>
      <c r="AB11" s="471">
        <f ca="1">'Revenue Build'!AB41</f>
        <v>0</v>
      </c>
      <c r="AC11" s="471">
        <f ca="1">'Revenue Build'!AC41</f>
        <v>0</v>
      </c>
      <c r="AD11" s="470">
        <f ca="1">SUM(Z11:AC11)</f>
        <v>1e-12</v>
      </c>
      <c r="AE11" s="472">
        <f ca="1">'Revenue Build'!AE41</f>
        <v>0</v>
      </c>
      <c r="AF11" s="472">
        <f ca="1">'Revenue Build'!AF41</f>
        <v>0</v>
      </c>
      <c r="AG11" s="472">
        <f ca="1">'Revenue Build'!AG41</f>
        <v>0</v>
      </c>
    </row>
    <row r="12" ht="14.25" customHeight="1" hidden="1" spans="1:33" x14ac:dyDescent="0.25" outlineLevel="1">
      <c r="C12" s="139" t="s">
        <v>446</v>
      </c>
      <c r="D12" s="16"/>
      <c r="E12" s="16"/>
      <c r="F12" s="469">
        <v>0</v>
      </c>
      <c r="G12" s="469">
        <v>0</v>
      </c>
      <c r="H12" s="469">
        <v>0</v>
      </c>
      <c r="I12" s="469">
        <v>0</v>
      </c>
      <c r="J12" s="470">
        <f ca="1">SUM(F12:I12)</f>
        <v>1e-12</v>
      </c>
      <c r="K12" s="469">
        <v>0</v>
      </c>
      <c r="L12" s="469">
        <v>0</v>
      </c>
      <c r="M12" s="469">
        <v>0</v>
      </c>
      <c r="N12" s="469">
        <v>0</v>
      </c>
      <c r="O12" s="470">
        <f ca="1">SUM(K12:N12)</f>
        <v>1e-12</v>
      </c>
      <c r="P12" s="469">
        <v>0</v>
      </c>
      <c r="Q12" s="469">
        <v>0</v>
      </c>
      <c r="R12" s="469">
        <v>0</v>
      </c>
      <c r="S12" s="469">
        <v>0</v>
      </c>
      <c r="T12" s="470">
        <f ca="1">SUM(P12:S12)</f>
        <v>1e-12</v>
      </c>
      <c r="U12" s="469">
        <v>0</v>
      </c>
      <c r="V12" s="469">
        <v>0</v>
      </c>
      <c r="W12" s="469">
        <v>0</v>
      </c>
      <c r="X12" s="471">
        <f ca="1">'Revenue Build'!X44</f>
        <v>0</v>
      </c>
      <c r="Y12" s="470">
        <f ca="1">SUM(U12:X12)</f>
        <v>1e-12</v>
      </c>
      <c r="Z12" s="471">
        <f ca="1">'Revenue Build'!Z44</f>
        <v>0</v>
      </c>
      <c r="AA12" s="471">
        <f ca="1">'Revenue Build'!AA44</f>
        <v>0</v>
      </c>
      <c r="AB12" s="471">
        <f ca="1">'Revenue Build'!AB44</f>
        <v>0</v>
      </c>
      <c r="AC12" s="471">
        <f ca="1">'Revenue Build'!AC44</f>
        <v>0</v>
      </c>
      <c r="AD12" s="470">
        <f ca="1">SUM(Z12:AC12)</f>
        <v>1e-12</v>
      </c>
      <c r="AE12" s="472">
        <f ca="1">'Revenue Build'!AE44</f>
        <v>0</v>
      </c>
      <c r="AF12" s="472">
        <f ca="1">'Revenue Build'!AF44</f>
        <v>0</v>
      </c>
      <c r="AG12" s="472">
        <f ca="1">'Revenue Build'!AG44</f>
        <v>0</v>
      </c>
    </row>
    <row r="13" ht="14.25" customHeight="1" hidden="1" spans="1:33" x14ac:dyDescent="0.25" outlineLevel="2" collapsed="1">
      <c r="C13" s="139" t="s">
        <v>446</v>
      </c>
      <c r="D13" s="16"/>
      <c r="E13" s="16"/>
      <c r="F13" s="469">
        <v>0</v>
      </c>
      <c r="G13" s="469">
        <v>0</v>
      </c>
      <c r="H13" s="469">
        <v>0</v>
      </c>
      <c r="I13" s="469">
        <v>0</v>
      </c>
      <c r="J13" s="470">
        <f ca="1">SUM(F13:I13)</f>
        <v>1e-12</v>
      </c>
      <c r="K13" s="469">
        <v>0</v>
      </c>
      <c r="L13" s="469">
        <v>0</v>
      </c>
      <c r="M13" s="469">
        <v>0</v>
      </c>
      <c r="N13" s="469">
        <v>0</v>
      </c>
      <c r="O13" s="470">
        <f ca="1">SUM(K13:N13)</f>
        <v>1e-12</v>
      </c>
      <c r="P13" s="469">
        <v>0</v>
      </c>
      <c r="Q13" s="469">
        <v>0</v>
      </c>
      <c r="R13" s="469">
        <v>0</v>
      </c>
      <c r="S13" s="469">
        <v>0</v>
      </c>
      <c r="T13" s="470">
        <f ca="1">SUM(P13:S13)</f>
        <v>1e-12</v>
      </c>
      <c r="U13" s="469">
        <v>0</v>
      </c>
      <c r="V13" s="469">
        <v>0</v>
      </c>
      <c r="W13" s="469">
        <v>0</v>
      </c>
      <c r="X13" s="471">
        <f ca="1">'Revenue Build'!X47</f>
        <v>0</v>
      </c>
      <c r="Y13" s="470">
        <f ca="1">SUM(U13:X13)</f>
        <v>1e-12</v>
      </c>
      <c r="Z13" s="471">
        <f ca="1">'Revenue Build'!Z47</f>
        <v>0</v>
      </c>
      <c r="AA13" s="471">
        <f ca="1">'Revenue Build'!AA47</f>
        <v>0</v>
      </c>
      <c r="AB13" s="471">
        <f ca="1">'Revenue Build'!AB47</f>
        <v>0</v>
      </c>
      <c r="AC13" s="471">
        <f ca="1">'Revenue Build'!AC47</f>
        <v>0</v>
      </c>
      <c r="AD13" s="470">
        <f ca="1">SUM(Z13:AC13)</f>
        <v>1e-12</v>
      </c>
      <c r="AE13" s="472">
        <f ca="1">'Revenue Build'!AE47</f>
        <v>0</v>
      </c>
      <c r="AF13" s="472">
        <f ca="1">'Revenue Build'!AF47</f>
        <v>0</v>
      </c>
      <c r="AG13" s="472">
        <f ca="1">'Revenue Build'!AG47</f>
        <v>0</v>
      </c>
    </row>
    <row r="14" ht="14.25" customHeight="1" spans="1:33" x14ac:dyDescent="0.25">
      <c r="C14" s="16"/>
      <c r="D14" s="16"/>
      <c r="E14" s="16"/>
      <c r="F14" s="319"/>
      <c r="G14" s="319"/>
      <c r="H14" s="319"/>
      <c r="I14" s="319"/>
      <c r="J14" s="168">
        <f ca="1">SUM(F14:I14)</f>
        <v>1e-12</v>
      </c>
      <c r="K14" s="319"/>
      <c r="L14" s="319"/>
      <c r="M14" s="473"/>
      <c r="N14" s="319"/>
      <c r="O14" s="168">
        <f ca="1">SUM(K14:N14)</f>
        <v>1e-12</v>
      </c>
      <c r="P14" s="319"/>
      <c r="Q14" s="319"/>
      <c r="R14" s="319"/>
      <c r="S14" s="319"/>
      <c r="T14" s="168">
        <f ca="1">SUM(P14:S14)</f>
        <v>1e-12</v>
      </c>
      <c r="U14" s="319"/>
      <c r="V14" s="319"/>
      <c r="W14" s="319"/>
      <c r="X14" s="322"/>
      <c r="Y14" s="168"/>
      <c r="Z14" s="322"/>
      <c r="AA14" s="322"/>
      <c r="AB14" s="322"/>
      <c r="AC14" s="322"/>
      <c r="AD14" s="168"/>
      <c r="AE14" s="168"/>
      <c r="AF14" s="168"/>
      <c r="AG14" s="168"/>
    </row>
    <row r="15" ht="14.25" customHeight="1" spans="1:33" x14ac:dyDescent="0.25">
      <c r="C15" s="16" t="s">
        <v>447</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448</v>
      </c>
      <c r="D16" s="16"/>
      <c r="E16" s="16"/>
      <c r="F16" s="377">
        <f t="shared" ref="F16:AG16" si="11" ca="1">IFERROR(F8/F$7,"N/A")</f>
        <v>1</v>
      </c>
      <c r="G16" s="377">
        <f ca="1">IFERROR(G8/G$7,"N/A")</f>
        <v>1</v>
      </c>
      <c r="H16" s="377">
        <f ca="1">IFERROR(H8/H$7,"N/A")</f>
        <v>1</v>
      </c>
      <c r="I16" s="377">
        <f ca="1">IFERROR(I8/I$7,"N/A")</f>
        <v>1</v>
      </c>
      <c r="J16" s="378">
        <f ca="1">IFERROR(J8/J$7,"N/A")</f>
        <v>1</v>
      </c>
      <c r="K16" s="377">
        <f ca="1">IFERROR(K8/K$7,"N/A")</f>
        <v>1</v>
      </c>
      <c r="L16" s="377">
        <f ca="1">IFERROR(L8/L$7,"N/A")</f>
        <v>1</v>
      </c>
      <c r="M16" s="377">
        <f ca="1">IFERROR(M8/M$7,"N/A")</f>
        <v>1</v>
      </c>
      <c r="N16" s="377">
        <f ca="1">IFERROR(N8/N$7,"N/A")</f>
        <v>1</v>
      </c>
      <c r="O16" s="378">
        <f ca="1">IFERROR(O8/O$7,"N/A")</f>
        <v>1</v>
      </c>
      <c r="P16" s="377">
        <f ca="1">IFERROR(P8/P$7,"N/A")</f>
        <v>1</v>
      </c>
      <c r="Q16" s="377">
        <f ca="1">IFERROR(Q8/Q$7,"N/A")</f>
        <v>1</v>
      </c>
      <c r="R16" s="377">
        <f ca="1">IFERROR(R8/R$7,"N/A")</f>
        <v>1</v>
      </c>
      <c r="S16" s="377">
        <f ca="1">IFERROR(S8/S$7,"N/A")</f>
        <v>1</v>
      </c>
      <c r="T16" s="378">
        <f ca="1">IFERROR(T8/T$7,"N/A")</f>
        <v>1</v>
      </c>
      <c r="U16" s="377">
        <f ca="1">IFERROR(U8/U$7,"N/A")</f>
        <v>1</v>
      </c>
      <c r="V16" s="377">
        <f ca="1">IFERROR(V8/V$7,"N/A")</f>
        <v>1</v>
      </c>
      <c r="W16" s="377">
        <f ca="1">IFERROR(W8/W$7,"N/A")</f>
        <v>1</v>
      </c>
      <c r="X16" s="379">
        <f ca="1">IFERROR(X8/X$7,"N/A")</f>
        <v>1</v>
      </c>
      <c r="Y16" s="378">
        <f ca="1">IFERROR(Y8/Y$7,"N/A")</f>
        <v>1</v>
      </c>
      <c r="Z16" s="379">
        <f ca="1">IFERROR(Z8/Z$7,"N/A")</f>
        <v>1</v>
      </c>
      <c r="AA16" s="379">
        <f ca="1">IFERROR(AA8/AA$7,"N/A")</f>
        <v>1</v>
      </c>
      <c r="AB16" s="379">
        <f ca="1">IFERROR(AB8/AB$7,"N/A")</f>
        <v>1</v>
      </c>
      <c r="AC16" s="379">
        <f ca="1">IFERROR(AC8/AC$7,"N/A")</f>
        <v>1</v>
      </c>
      <c r="AD16" s="378">
        <f ca="1">IFERROR(AD8/AD$7,"N/A")</f>
        <v>1</v>
      </c>
      <c r="AE16" s="378">
        <f ca="1">IFERROR(AE8/AE$7,"N/A")</f>
        <v>1</v>
      </c>
      <c r="AF16" s="378">
        <f ca="1">IFERROR(AF8/AF$7,"N/A")</f>
        <v>1</v>
      </c>
      <c r="AG16" s="378">
        <f ca="1">IFERROR(AG8/AG$7,"N/A")</f>
        <v>1</v>
      </c>
    </row>
    <row r="17" ht="14.25" customHeight="1" hidden="1" spans="1:33" x14ac:dyDescent="0.25" outlineLevel="1">
      <c r="C17" s="476" t="s">
        <v>449</v>
      </c>
      <c r="D17" s="16"/>
      <c r="E17" s="16"/>
      <c r="F17" s="377">
        <f t="shared" ref="F17:AG17" si="12" ca="1">IFERROR(F9/F$7,"N/A")</f>
        <v>0</v>
      </c>
      <c r="G17" s="377">
        <f ca="1">IFERROR(G9/G$7,"N/A")</f>
      </c>
      <c r="H17" s="377">
        <f ca="1">IFERROR(H9/H$7,"N/A")</f>
      </c>
      <c r="I17" s="377">
        <f ca="1">IFERROR(I9/I$7,"N/A")</f>
      </c>
      <c r="J17" s="378">
        <f ca="1">IFERROR(J9/J$7,"N/A")</f>
      </c>
      <c r="K17" s="377">
        <f ca="1">IFERROR(K9/K$7,"N/A")</f>
      </c>
      <c r="L17" s="377">
        <f ca="1">IFERROR(L9/L$7,"N/A")</f>
      </c>
      <c r="M17" s="377">
        <f ca="1">IFERROR(M9/M$7,"N/A")</f>
      </c>
      <c r="N17" s="377">
        <f ca="1">IFERROR(N9/N$7,"N/A")</f>
      </c>
      <c r="O17" s="378">
        <f ca="1">IFERROR(O9/O$7,"N/A")</f>
      </c>
      <c r="P17" s="377">
        <f ca="1">IFERROR(P9/P$7,"N/A")</f>
      </c>
      <c r="Q17" s="377">
        <f ca="1">IFERROR(Q9/Q$7,"N/A")</f>
      </c>
      <c r="R17" s="377">
        <f ca="1">IFERROR(R9/R$7,"N/A")</f>
      </c>
      <c r="S17" s="377">
        <f ca="1">IFERROR(S9/S$7,"N/A")</f>
      </c>
      <c r="T17" s="378">
        <f ca="1">IFERROR(T9/T$7,"N/A")</f>
      </c>
      <c r="U17" s="377">
        <f ca="1">IFERROR(U9/U$7,"N/A")</f>
      </c>
      <c r="V17" s="377">
        <f ca="1">IFERROR(V9/V$7,"N/A")</f>
      </c>
      <c r="W17" s="377">
        <f ca="1">IFERROR(W9/W$7,"N/A")</f>
      </c>
      <c r="X17" s="379">
        <f ca="1">IFERROR(X9/X$7,"N/A")</f>
      </c>
      <c r="Y17" s="378">
        <f ca="1">IFERROR(Y9/Y$7,"N/A")</f>
      </c>
      <c r="Z17" s="379">
        <f ca="1">IFERROR(Z9/Z$7,"N/A")</f>
      </c>
      <c r="AA17" s="379">
        <f ca="1">IFERROR(AA9/AA$7,"N/A")</f>
      </c>
      <c r="AB17" s="379">
        <f ca="1">IFERROR(AB9/AB$7,"N/A")</f>
      </c>
      <c r="AC17" s="379">
        <f ca="1">IFERROR(AC9/AC$7,"N/A")</f>
      </c>
      <c r="AD17" s="378">
        <f ca="1">IFERROR(AD9/AD$7,"N/A")</f>
      </c>
      <c r="AE17" s="378">
        <f ca="1">IFERROR(AE9/AE$7,"N/A")</f>
      </c>
      <c r="AF17" s="378">
        <f ca="1">IFERROR(AF9/AF$7,"N/A")</f>
      </c>
      <c r="AG17" s="378">
        <f ca="1">IFERROR(AG9/AG$7,"N/A")</f>
      </c>
    </row>
    <row r="18" ht="14.25" customHeight="1" hidden="1" spans="1:33" x14ac:dyDescent="0.25" outlineLevel="1">
      <c r="C18" s="476" t="s">
        <v>450</v>
      </c>
      <c r="D18" s="16"/>
      <c r="E18" s="16"/>
      <c r="F18" s="377">
        <f t="shared" ref="F18:AG18" si="13" ca="1">IFERROR(F10/F$7,"N/A")</f>
        <v>0</v>
      </c>
      <c r="G18" s="377">
        <f ca="1">IFERROR(G10/G$7,"N/A")</f>
      </c>
      <c r="H18" s="377">
        <f ca="1">IFERROR(H10/H$7,"N/A")</f>
      </c>
      <c r="I18" s="377">
        <f ca="1">IFERROR(I10/I$7,"N/A")</f>
      </c>
      <c r="J18" s="378">
        <f ca="1">IFERROR(J10/J$7,"N/A")</f>
      </c>
      <c r="K18" s="377">
        <f ca="1">IFERROR(K10/K$7,"N/A")</f>
      </c>
      <c r="L18" s="377">
        <f ca="1">IFERROR(L10/L$7,"N/A")</f>
      </c>
      <c r="M18" s="377">
        <f ca="1">IFERROR(M10/M$7,"N/A")</f>
      </c>
      <c r="N18" s="377">
        <f ca="1">IFERROR(N10/N$7,"N/A")</f>
      </c>
      <c r="O18" s="378">
        <f ca="1">IFERROR(O10/O$7,"N/A")</f>
      </c>
      <c r="P18" s="377">
        <f ca="1">IFERROR(P10/P$7,"N/A")</f>
      </c>
      <c r="Q18" s="377">
        <f ca="1">IFERROR(Q10/Q$7,"N/A")</f>
      </c>
      <c r="R18" s="377">
        <f ca="1">IFERROR(R10/R$7,"N/A")</f>
      </c>
      <c r="S18" s="377">
        <f ca="1">IFERROR(S10/S$7,"N/A")</f>
      </c>
      <c r="T18" s="378">
        <f ca="1">IFERROR(T10/T$7,"N/A")</f>
      </c>
      <c r="U18" s="377">
        <f ca="1">IFERROR(U10/U$7,"N/A")</f>
      </c>
      <c r="V18" s="377">
        <f ca="1">IFERROR(V10/V$7,"N/A")</f>
      </c>
      <c r="W18" s="377">
        <f ca="1">IFERROR(W10/W$7,"N/A")</f>
      </c>
      <c r="X18" s="379">
        <f ca="1">IFERROR(X10/X$7,"N/A")</f>
      </c>
      <c r="Y18" s="378">
        <f ca="1">IFERROR(Y10/Y$7,"N/A")</f>
      </c>
      <c r="Z18" s="379">
        <f ca="1">IFERROR(Z10/Z$7,"N/A")</f>
      </c>
      <c r="AA18" s="379">
        <f ca="1">IFERROR(AA10/AA$7,"N/A")</f>
      </c>
      <c r="AB18" s="379">
        <f ca="1">IFERROR(AB10/AB$7,"N/A")</f>
      </c>
      <c r="AC18" s="379">
        <f ca="1">IFERROR(AC10/AC$7,"N/A")</f>
      </c>
      <c r="AD18" s="378">
        <f ca="1">IFERROR(AD10/AD$7,"N/A")</f>
      </c>
      <c r="AE18" s="378">
        <f ca="1">IFERROR(AE10/AE$7,"N/A")</f>
      </c>
      <c r="AF18" s="378">
        <f ca="1">IFERROR(AF10/AF$7,"N/A")</f>
      </c>
      <c r="AG18" s="378">
        <f ca="1">IFERROR(AG10/AG$7,"N/A")</f>
      </c>
    </row>
    <row r="19" ht="14.25" customHeight="1" hidden="1" spans="1:33" x14ac:dyDescent="0.25" outlineLevel="1">
      <c r="C19" s="476" t="s">
        <v>451</v>
      </c>
      <c r="D19" s="16"/>
      <c r="E19" s="16"/>
      <c r="F19" s="377">
        <f t="shared" ref="F19:AG19" si="14" ca="1">IFERROR(F11/F$7,"N/A")</f>
        <v>0</v>
      </c>
      <c r="G19" s="377">
        <f ca="1">IFERROR(G11/G$7,"N/A")</f>
      </c>
      <c r="H19" s="377">
        <f ca="1">IFERROR(H11/H$7,"N/A")</f>
      </c>
      <c r="I19" s="377">
        <f ca="1">IFERROR(I11/I$7,"N/A")</f>
      </c>
      <c r="J19" s="378">
        <f ca="1">IFERROR(J11/J$7,"N/A")</f>
      </c>
      <c r="K19" s="377">
        <f ca="1">IFERROR(K11/K$7,"N/A")</f>
      </c>
      <c r="L19" s="377">
        <f ca="1">IFERROR(L11/L$7,"N/A")</f>
      </c>
      <c r="M19" s="377">
        <f ca="1">IFERROR(M11/M$7,"N/A")</f>
      </c>
      <c r="N19" s="377">
        <f ca="1">IFERROR(N11/N$7,"N/A")</f>
      </c>
      <c r="O19" s="378">
        <f ca="1">IFERROR(O11/O$7,"N/A")</f>
      </c>
      <c r="P19" s="377">
        <f ca="1">IFERROR(P11/P$7,"N/A")</f>
      </c>
      <c r="Q19" s="377">
        <f ca="1">IFERROR(Q11/Q$7,"N/A")</f>
      </c>
      <c r="R19" s="377">
        <f ca="1">IFERROR(R11/R$7,"N/A")</f>
      </c>
      <c r="S19" s="377">
        <f ca="1">IFERROR(S11/S$7,"N/A")</f>
      </c>
      <c r="T19" s="378">
        <f ca="1">IFERROR(T11/T$7,"N/A")</f>
      </c>
      <c r="U19" s="377">
        <f ca="1">IFERROR(U11/U$7,"N/A")</f>
      </c>
      <c r="V19" s="377">
        <f ca="1">IFERROR(V11/V$7,"N/A")</f>
      </c>
      <c r="W19" s="377">
        <f ca="1">IFERROR(W11/W$7,"N/A")</f>
      </c>
      <c r="X19" s="379">
        <f ca="1">IFERROR(X11/X$7,"N/A")</f>
      </c>
      <c r="Y19" s="378">
        <f ca="1">IFERROR(Y11/Y$7,"N/A")</f>
      </c>
      <c r="Z19" s="379">
        <f ca="1">IFERROR(Z11/Z$7,"N/A")</f>
      </c>
      <c r="AA19" s="379">
        <f ca="1">IFERROR(AA11/AA$7,"N/A")</f>
      </c>
      <c r="AB19" s="379">
        <f ca="1">IFERROR(AB11/AB$7,"N/A")</f>
      </c>
      <c r="AC19" s="379">
        <f ca="1">IFERROR(AC11/AC$7,"N/A")</f>
      </c>
      <c r="AD19" s="378">
        <f ca="1">IFERROR(AD11/AD$7,"N/A")</f>
      </c>
      <c r="AE19" s="378">
        <f ca="1">IFERROR(AE11/AE$7,"N/A")</f>
      </c>
      <c r="AF19" s="378">
        <f ca="1">IFERROR(AF11/AF$7,"N/A")</f>
      </c>
      <c r="AG19" s="378">
        <f ca="1">IFERROR(AG11/AG$7,"N/A")</f>
      </c>
    </row>
    <row r="20" ht="14.25" customHeight="1" hidden="1" spans="1:33" x14ac:dyDescent="0.25" outlineLevel="1">
      <c r="C20" s="476" t="s">
        <v>452</v>
      </c>
      <c r="D20" s="16"/>
      <c r="E20" s="16"/>
      <c r="F20" s="377">
        <f t="shared" ref="F20:AG20" si="15" ca="1">IFERROR(F12/F$7,"N/A")</f>
        <v>0</v>
      </c>
      <c r="G20" s="377">
        <f ca="1">IFERROR(G12/G$7,"N/A")</f>
      </c>
      <c r="H20" s="377">
        <f ca="1">IFERROR(H12/H$7,"N/A")</f>
      </c>
      <c r="I20" s="377">
        <f ca="1">IFERROR(I12/I$7,"N/A")</f>
      </c>
      <c r="J20" s="378">
        <f ca="1">IFERROR(J12/J$7,"N/A")</f>
      </c>
      <c r="K20" s="377">
        <f ca="1">IFERROR(K12/K$7,"N/A")</f>
      </c>
      <c r="L20" s="377">
        <f ca="1">IFERROR(L12/L$7,"N/A")</f>
      </c>
      <c r="M20" s="377">
        <f ca="1">IFERROR(M12/M$7,"N/A")</f>
      </c>
      <c r="N20" s="377">
        <f ca="1">IFERROR(N12/N$7,"N/A")</f>
      </c>
      <c r="O20" s="378">
        <f ca="1">IFERROR(O12/O$7,"N/A")</f>
      </c>
      <c r="P20" s="377">
        <f ca="1">IFERROR(P12/P$7,"N/A")</f>
      </c>
      <c r="Q20" s="377">
        <f ca="1">IFERROR(Q12/Q$7,"N/A")</f>
      </c>
      <c r="R20" s="377">
        <f ca="1">IFERROR(R12/R$7,"N/A")</f>
      </c>
      <c r="S20" s="377">
        <f ca="1">IFERROR(S12/S$7,"N/A")</f>
      </c>
      <c r="T20" s="378">
        <f ca="1">IFERROR(T12/T$7,"N/A")</f>
      </c>
      <c r="U20" s="377">
        <f ca="1">IFERROR(U12/U$7,"N/A")</f>
      </c>
      <c r="V20" s="377">
        <f ca="1">IFERROR(V12/V$7,"N/A")</f>
      </c>
      <c r="W20" s="377">
        <f ca="1">IFERROR(W12/W$7,"N/A")</f>
      </c>
      <c r="X20" s="379">
        <f ca="1">IFERROR(X12/X$7,"N/A")</f>
      </c>
      <c r="Y20" s="378">
        <f ca="1">IFERROR(Y12/Y$7,"N/A")</f>
      </c>
      <c r="Z20" s="379">
        <f ca="1">IFERROR(Z12/Z$7,"N/A")</f>
      </c>
      <c r="AA20" s="379">
        <f ca="1">IFERROR(AA12/AA$7,"N/A")</f>
      </c>
      <c r="AB20" s="379">
        <f ca="1">IFERROR(AB12/AB$7,"N/A")</f>
      </c>
      <c r="AC20" s="379">
        <f ca="1">IFERROR(AC12/AC$7,"N/A")</f>
      </c>
      <c r="AD20" s="378">
        <f ca="1">IFERROR(AD12/AD$7,"N/A")</f>
      </c>
      <c r="AE20" s="378">
        <f ca="1">IFERROR(AE12/AE$7,"N/A")</f>
      </c>
      <c r="AF20" s="378">
        <f ca="1">IFERROR(AF12/AF$7,"N/A")</f>
      </c>
      <c r="AG20" s="378">
        <f ca="1">IFERROR(AG12/AG$7,"N/A")</f>
      </c>
    </row>
    <row r="21" ht="14.25" customHeight="1" hidden="1" spans="1:33" x14ac:dyDescent="0.25" outlineLevel="2" collapsed="1">
      <c r="C21" s="476" t="s">
        <v>453</v>
      </c>
      <c r="D21" s="16"/>
      <c r="E21" s="16"/>
      <c r="F21" s="377">
        <f t="shared" ref="F21:AG21" si="16" ca="1">IFERROR(F13/F$7,"N/A")</f>
        <v>0</v>
      </c>
      <c r="G21" s="377">
        <f ca="1">IFERROR(G13/G$7,"N/A")</f>
      </c>
      <c r="H21" s="377">
        <f ca="1">IFERROR(H13/H$7,"N/A")</f>
      </c>
      <c r="I21" s="377">
        <f ca="1">IFERROR(I13/I$7,"N/A")</f>
      </c>
      <c r="J21" s="378">
        <f ca="1">IFERROR(J13/J$7,"N/A")</f>
      </c>
      <c r="K21" s="377">
        <f ca="1">IFERROR(K13/K$7,"N/A")</f>
      </c>
      <c r="L21" s="377">
        <f ca="1">IFERROR(L13/L$7,"N/A")</f>
      </c>
      <c r="M21" s="377">
        <f ca="1">IFERROR(M13/M$7,"N/A")</f>
      </c>
      <c r="N21" s="377">
        <f ca="1">IFERROR(N13/N$7,"N/A")</f>
      </c>
      <c r="O21" s="378">
        <f ca="1">IFERROR(O13/O$7,"N/A")</f>
      </c>
      <c r="P21" s="377">
        <f ca="1">IFERROR(P13/P$7,"N/A")</f>
      </c>
      <c r="Q21" s="377">
        <f ca="1">IFERROR(Q13/Q$7,"N/A")</f>
      </c>
      <c r="R21" s="377">
        <f ca="1">IFERROR(R13/R$7,"N/A")</f>
      </c>
      <c r="S21" s="377">
        <f ca="1">IFERROR(S13/S$7,"N/A")</f>
      </c>
      <c r="T21" s="378">
        <f ca="1">IFERROR(T13/T$7,"N/A")</f>
      </c>
      <c r="U21" s="377">
        <f ca="1">IFERROR(U13/U$7,"N/A")</f>
      </c>
      <c r="V21" s="377">
        <f ca="1">IFERROR(V13/V$7,"N/A")</f>
      </c>
      <c r="W21" s="377">
        <f ca="1">IFERROR(W13/W$7,"N/A")</f>
      </c>
      <c r="X21" s="379">
        <f ca="1">IFERROR(X13/X$7,"N/A")</f>
      </c>
      <c r="Y21" s="378">
        <f ca="1">IFERROR(Y13/Y$7,"N/A")</f>
      </c>
      <c r="Z21" s="379">
        <f ca="1">IFERROR(Z13/Z$7,"N/A")</f>
      </c>
      <c r="AA21" s="379">
        <f ca="1">IFERROR(AA13/AA$7,"N/A")</f>
      </c>
      <c r="AB21" s="379">
        <f ca="1">IFERROR(AB13/AB$7,"N/A")</f>
      </c>
      <c r="AC21" s="379">
        <f ca="1">IFERROR(AC13/AC$7,"N/A")</f>
      </c>
      <c r="AD21" s="378">
        <f ca="1">IFERROR(AD13/AD$7,"N/A")</f>
      </c>
      <c r="AE21" s="378">
        <f ca="1">IFERROR(AE13/AE$7,"N/A")</f>
      </c>
      <c r="AF21" s="378">
        <f ca="1">IFERROR(AF13/AF$7,"N/A")</f>
      </c>
      <c r="AG21" s="378">
        <f ca="1">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454</v>
      </c>
      <c r="D23" s="16"/>
      <c r="E23" s="16"/>
      <c r="F23" s="317">
        <f t="shared" ref="F23:I23" si="17" ca="1">SUM(F24:F26)</f>
        <v>1e-12</v>
      </c>
      <c r="G23" s="317">
        <f ca="1">SUM(G24:G26)</f>
        <v>1e-12</v>
      </c>
      <c r="H23" s="317">
        <f ca="1">SUM(H24:H26)</f>
        <v>1e-12</v>
      </c>
      <c r="I23" s="317">
        <f ca="1">SUM(I24:I26)</f>
        <v>1e-12</v>
      </c>
      <c r="J23" s="287">
        <f t="shared" ref="J23:J26" si="18" ca="1">SUM(F23:I23)</f>
        <v>1e-12</v>
      </c>
      <c r="K23" s="317">
        <f t="shared" ref="K23:N23" si="19" ca="1">SUM(K24:K26)</f>
        <v>1e-12</v>
      </c>
      <c r="L23" s="317">
        <f ca="1">SUM(L24:L26)</f>
        <v>1e-12</v>
      </c>
      <c r="M23" s="317">
        <f ca="1">SUM(M24:M26)</f>
        <v>1e-12</v>
      </c>
      <c r="N23" s="317">
        <f ca="1">SUM(N24:N26)</f>
        <v>1e-12</v>
      </c>
      <c r="O23" s="287">
        <f t="shared" ref="O23:O26" si="20" ca="1">SUM(K23:N23)</f>
        <v>1e-12</v>
      </c>
      <c r="P23" s="317">
        <f t="shared" ref="P23:S23" si="21" ca="1">SUM(P24:P26)</f>
        <v>1e-12</v>
      </c>
      <c r="Q23" s="317">
        <f ca="1">SUM(Q24:Q26)</f>
        <v>1e-12</v>
      </c>
      <c r="R23" s="317">
        <f ca="1">SUM(R24:R26)</f>
        <v>1e-12</v>
      </c>
      <c r="S23" s="317">
        <f ca="1">SUM(S24:S26)</f>
        <v>1e-12</v>
      </c>
      <c r="T23" s="287">
        <f t="shared" ref="T23:T26" si="22" ca="1">SUM(P23:S23)</f>
        <v>1e-12</v>
      </c>
      <c r="U23" s="317">
        <f t="shared" ref="U23:X23" si="23" ca="1">SUM(U24:U26)</f>
        <v>1e-12</v>
      </c>
      <c r="V23" s="317">
        <f ca="1">SUM(V24:V26)</f>
        <v>1e-12</v>
      </c>
      <c r="W23" s="317">
        <f ca="1">SUM(W24:W26)</f>
        <v>1e-12</v>
      </c>
      <c r="X23" s="286">
        <f ca="1">SUM(X24:X26)</f>
        <v>1e-12</v>
      </c>
      <c r="Y23" s="287">
        <f t="shared" ref="Y23:Y26" si="24" ca="1">SUM(U23:X23)</f>
        <v>1e-12</v>
      </c>
      <c r="Z23" s="286">
        <f t="shared" ref="Z23:AC23" si="25" ca="1">SUM(Z24:Z26)</f>
        <v>1e-12</v>
      </c>
      <c r="AA23" s="286">
        <f ca="1">SUM(AA24:AA26)</f>
        <v>1e-12</v>
      </c>
      <c r="AB23" s="286">
        <f ca="1">SUM(AB24:AB26)</f>
        <v>1e-12</v>
      </c>
      <c r="AC23" s="286">
        <f ca="1">SUM(AC24:AC26)</f>
        <v>1e-12</v>
      </c>
      <c r="AD23" s="287">
        <f t="shared" ref="AD23:AD26" si="26" ca="1">SUM(Z23:AC23)</f>
        <v>1e-12</v>
      </c>
      <c r="AE23" s="287">
        <f t="shared" ref="AE23:AG23" si="27" ca="1">SUM(AE24:AE26)</f>
        <v>1e-12</v>
      </c>
      <c r="AF23" s="287">
        <f ca="1">SUM(AF24:AF26)</f>
        <v>1e-12</v>
      </c>
      <c r="AG23" s="287">
        <f ca="1">SUM(AG24:AG26)</f>
        <v>1e-12</v>
      </c>
    </row>
    <row r="24" ht="14.25" customHeight="1" hidden="1" spans="1:33" x14ac:dyDescent="0.25" outlineLevel="1">
      <c r="C24" s="139" t="str">
        <f t="shared" ref="C24:C26" si="28" ca="1">C29&amp;" Revenue"</f>
        <v>Boeing Military Aircraft Revenue</v>
      </c>
      <c r="D24" s="16"/>
      <c r="E24" s="16"/>
      <c r="F24" s="469">
        <v>0</v>
      </c>
      <c r="G24" s="469">
        <v>0</v>
      </c>
      <c r="H24" s="469">
        <v>0</v>
      </c>
      <c r="I24" s="469">
        <v>0</v>
      </c>
      <c r="J24" s="470">
        <f ca="1">SUM(F24:I24)</f>
        <v>1e-12</v>
      </c>
      <c r="K24" s="469">
        <v>0</v>
      </c>
      <c r="L24" s="469">
        <v>0</v>
      </c>
      <c r="M24" s="469">
        <v>0</v>
      </c>
      <c r="N24" s="469">
        <v>0</v>
      </c>
      <c r="O24" s="470">
        <f ca="1">SUM(K24:N24)</f>
        <v>1e-12</v>
      </c>
      <c r="P24" s="469">
        <v>0</v>
      </c>
      <c r="Q24" s="469">
        <v>0</v>
      </c>
      <c r="R24" s="469">
        <v>0</v>
      </c>
      <c r="S24" s="469">
        <v>0</v>
      </c>
      <c r="T24" s="470">
        <f ca="1">SUM(P24:S24)</f>
        <v>1e-12</v>
      </c>
      <c r="U24" s="469">
        <v>0</v>
      </c>
      <c r="V24" s="469">
        <v>0</v>
      </c>
      <c r="W24" s="469">
        <v>0</v>
      </c>
      <c r="X24" s="477">
        <v>0</v>
      </c>
      <c r="Y24" s="470">
        <f ca="1">SUM(U24:X24)</f>
        <v>1e-12</v>
      </c>
      <c r="Z24" s="477">
        <v>0</v>
      </c>
      <c r="AA24" s="477">
        <v>0</v>
      </c>
      <c r="AB24" s="477">
        <v>0</v>
      </c>
      <c r="AC24" s="477">
        <v>0</v>
      </c>
      <c r="AD24" s="470">
        <f ca="1">SUM(Z24:AC24)</f>
        <v>1e-12</v>
      </c>
      <c r="AE24" s="478">
        <v>0</v>
      </c>
      <c r="AF24" s="478">
        <v>0</v>
      </c>
      <c r="AG24" s="478">
        <v>0</v>
      </c>
    </row>
    <row r="25" ht="14.25" customHeight="1" hidden="1" spans="1:33" x14ac:dyDescent="0.25" outlineLevel="1">
      <c r="C25" s="139" t="str">
        <f ca="1">C30&amp;" Revenue"</f>
        <v>Network &amp; Space Systems Revenue</v>
      </c>
      <c r="D25" s="16"/>
      <c r="E25" s="16"/>
      <c r="F25" s="469">
        <v>0</v>
      </c>
      <c r="G25" s="469">
        <v>0</v>
      </c>
      <c r="H25" s="469">
        <v>0</v>
      </c>
      <c r="I25" s="469">
        <v>0</v>
      </c>
      <c r="J25" s="470">
        <f ca="1">SUM(F25:I25)</f>
        <v>1e-12</v>
      </c>
      <c r="K25" s="469">
        <v>0</v>
      </c>
      <c r="L25" s="469">
        <v>0</v>
      </c>
      <c r="M25" s="469">
        <v>0</v>
      </c>
      <c r="N25" s="469">
        <v>0</v>
      </c>
      <c r="O25" s="470">
        <f ca="1">SUM(K25:N25)</f>
        <v>1e-12</v>
      </c>
      <c r="P25" s="469">
        <v>0</v>
      </c>
      <c r="Q25" s="469">
        <v>0</v>
      </c>
      <c r="R25" s="469">
        <v>0</v>
      </c>
      <c r="S25" s="469">
        <v>0</v>
      </c>
      <c r="T25" s="470">
        <f ca="1">SUM(P25:S25)</f>
        <v>1e-12</v>
      </c>
      <c r="U25" s="469">
        <v>0</v>
      </c>
      <c r="V25" s="469">
        <v>0</v>
      </c>
      <c r="W25" s="469">
        <v>0</v>
      </c>
      <c r="X25" s="477">
        <v>0</v>
      </c>
      <c r="Y25" s="470">
        <f ca="1">SUM(U25:X25)</f>
        <v>1e-12</v>
      </c>
      <c r="Z25" s="477">
        <v>0</v>
      </c>
      <c r="AA25" s="477">
        <v>0</v>
      </c>
      <c r="AB25" s="477">
        <v>0</v>
      </c>
      <c r="AC25" s="477">
        <v>0</v>
      </c>
      <c r="AD25" s="470">
        <f ca="1">SUM(Z25:AC25)</f>
        <v>1e-12</v>
      </c>
      <c r="AE25" s="478">
        <v>0</v>
      </c>
      <c r="AF25" s="478">
        <v>0</v>
      </c>
      <c r="AG25" s="478">
        <v>0</v>
      </c>
    </row>
    <row r="26" ht="14.25" customHeight="1" hidden="1" spans="1:33" x14ac:dyDescent="0.25" outlineLevel="1">
      <c r="C26" s="139" t="str">
        <f ca="1">C31&amp;" Revenue"</f>
        <v>Global Services &amp; Support Revenue</v>
      </c>
      <c r="D26" s="16"/>
      <c r="E26" s="16"/>
      <c r="F26" s="469">
        <v>0</v>
      </c>
      <c r="G26" s="469">
        <v>0</v>
      </c>
      <c r="H26" s="469">
        <v>0</v>
      </c>
      <c r="I26" s="469">
        <v>0</v>
      </c>
      <c r="J26" s="470">
        <f ca="1">SUM(F26:I26)</f>
        <v>1e-12</v>
      </c>
      <c r="K26" s="469">
        <v>0</v>
      </c>
      <c r="L26" s="469">
        <v>0</v>
      </c>
      <c r="M26" s="469">
        <v>0</v>
      </c>
      <c r="N26" s="469">
        <v>0</v>
      </c>
      <c r="O26" s="470">
        <f ca="1">SUM(K26:N26)</f>
        <v>1e-12</v>
      </c>
      <c r="P26" s="469">
        <v>0</v>
      </c>
      <c r="Q26" s="469">
        <v>0</v>
      </c>
      <c r="R26" s="469">
        <v>0</v>
      </c>
      <c r="S26" s="469">
        <v>0</v>
      </c>
      <c r="T26" s="470">
        <f ca="1">SUM(P26:S26)</f>
        <v>1e-12</v>
      </c>
      <c r="U26" s="469">
        <v>0</v>
      </c>
      <c r="V26" s="469">
        <v>0</v>
      </c>
      <c r="W26" s="469">
        <v>0</v>
      </c>
      <c r="X26" s="477">
        <v>0</v>
      </c>
      <c r="Y26" s="470">
        <f ca="1">SUM(U26:X26)</f>
        <v>1e-12</v>
      </c>
      <c r="Z26" s="477">
        <v>0</v>
      </c>
      <c r="AA26" s="477">
        <v>0</v>
      </c>
      <c r="AB26" s="477">
        <v>0</v>
      </c>
      <c r="AC26" s="477">
        <v>0</v>
      </c>
      <c r="AD26" s="470">
        <f ca="1">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454</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455</v>
      </c>
      <c r="D29" s="16"/>
      <c r="E29" s="16"/>
      <c r="F29" s="474" t="str">
        <f t="shared" ref="F29:AG29" si="29" ca="1">IFERROR(F24/F$23,"N/A")</f>
        <v>N/A</v>
      </c>
      <c r="G29" s="474" t="str">
        <f ca="1">IFERROR(G24/G$23,"N/A")</f>
        <v>N/A</v>
      </c>
      <c r="H29" s="474" t="str">
        <f ca="1">IFERROR(H24/H$23,"N/A")</f>
        <v>N/A</v>
      </c>
      <c r="I29" s="474" t="str">
        <f ca="1">IFERROR(I24/I$23,"N/A")</f>
        <v>N/A</v>
      </c>
      <c r="J29" s="479" t="str">
        <f ca="1">IFERROR(J24/J$23,"N/A")</f>
        <v>N/A</v>
      </c>
      <c r="K29" s="474" t="str">
        <f ca="1">IFERROR(K24/K$23,"N/A")</f>
        <v>N/A</v>
      </c>
      <c r="L29" s="474" t="str">
        <f ca="1">IFERROR(L24/L$23,"N/A")</f>
        <v>N/A</v>
      </c>
      <c r="M29" s="474" t="str">
        <f ca="1">IFERROR(M24/M$23,"N/A")</f>
        <v>N/A</v>
      </c>
      <c r="N29" s="474" t="str">
        <f ca="1">IFERROR(N24/N$23,"N/A")</f>
        <v>N/A</v>
      </c>
      <c r="O29" s="479" t="str">
        <f ca="1">IFERROR(O24/O$23,"N/A")</f>
        <v>N/A</v>
      </c>
      <c r="P29" s="474" t="str">
        <f ca="1">IFERROR(P24/P$23,"N/A")</f>
        <v>N/A</v>
      </c>
      <c r="Q29" s="474" t="str">
        <f ca="1">IFERROR(Q24/Q$23,"N/A")</f>
        <v>N/A</v>
      </c>
      <c r="R29" s="474" t="str">
        <f ca="1">IFERROR(R24/R$23,"N/A")</f>
        <v>N/A</v>
      </c>
      <c r="S29" s="474" t="str">
        <f ca="1">IFERROR(S24/S$23,"N/A")</f>
        <v>N/A</v>
      </c>
      <c r="T29" s="479" t="str">
        <f ca="1">IFERROR(T24/T$23,"N/A")</f>
        <v>N/A</v>
      </c>
      <c r="U29" s="474" t="str">
        <f ca="1">IFERROR(U24/U$23,"N/A")</f>
        <v>N/A</v>
      </c>
      <c r="V29" s="474" t="str">
        <f ca="1">IFERROR(V24/V$23,"N/A")</f>
        <v>N/A</v>
      </c>
      <c r="W29" s="474" t="str">
        <f ca="1">IFERROR(W24/W$23,"N/A")</f>
        <v>N/A</v>
      </c>
      <c r="X29" s="475" t="str">
        <f ca="1">IFERROR(X24/X$23,"N/A")</f>
        <v>N/A</v>
      </c>
      <c r="Y29" s="479" t="str">
        <f ca="1">IFERROR(Y24/Y$23,"N/A")</f>
        <v>N/A</v>
      </c>
      <c r="Z29" s="475" t="str">
        <f ca="1">IFERROR(Z24/Z$23,"N/A")</f>
        <v>N/A</v>
      </c>
      <c r="AA29" s="475" t="str">
        <f ca="1">IFERROR(AA24/AA$23,"N/A")</f>
        <v>N/A</v>
      </c>
      <c r="AB29" s="475" t="str">
        <f ca="1">IFERROR(AB24/AB$23,"N/A")</f>
        <v>N/A</v>
      </c>
      <c r="AC29" s="475" t="str">
        <f ca="1">IFERROR(AC24/AC$23,"N/A")</f>
        <v>N/A</v>
      </c>
      <c r="AD29" s="479" t="str">
        <f ca="1">IFERROR(AD24/AD$23,"N/A")</f>
        <v>N/A</v>
      </c>
      <c r="AE29" s="479" t="str">
        <f ca="1">IFERROR(AE24/AE$23,"N/A")</f>
        <v>N/A</v>
      </c>
      <c r="AF29" s="479" t="str">
        <f ca="1">IFERROR(AF24/AF$23,"N/A")</f>
        <v>N/A</v>
      </c>
      <c r="AG29" s="479" t="str">
        <f ca="1">IFERROR(AG24/AG$23,"N/A")</f>
        <v>N/A</v>
      </c>
    </row>
    <row r="30" ht="14.25" customHeight="1" hidden="1" spans="1:33" x14ac:dyDescent="0.25" outlineLevel="1">
      <c r="C30" s="476" t="s">
        <v>456</v>
      </c>
      <c r="D30" s="16"/>
      <c r="E30" s="16"/>
      <c r="F30" s="474" t="str">
        <f t="shared" ref="F30:AG30" si="30" ca="1">IFERROR(F25/F$23,"N/A")</f>
        <v>N/A</v>
      </c>
      <c r="G30" s="474" t="str">
        <f ca="1">IFERROR(G25/G$23,"N/A")</f>
        <v>N/A</v>
      </c>
      <c r="H30" s="474" t="str">
        <f ca="1">IFERROR(H25/H$23,"N/A")</f>
        <v>N/A</v>
      </c>
      <c r="I30" s="474" t="str">
        <f ca="1">IFERROR(I25/I$23,"N/A")</f>
        <v>N/A</v>
      </c>
      <c r="J30" s="479" t="str">
        <f ca="1">IFERROR(J25/J$23,"N/A")</f>
        <v>N/A</v>
      </c>
      <c r="K30" s="474" t="str">
        <f ca="1">IFERROR(K25/K$23,"N/A")</f>
        <v>N/A</v>
      </c>
      <c r="L30" s="474" t="str">
        <f ca="1">IFERROR(L25/L$23,"N/A")</f>
        <v>N/A</v>
      </c>
      <c r="M30" s="474" t="str">
        <f ca="1">IFERROR(M25/M$23,"N/A")</f>
        <v>N/A</v>
      </c>
      <c r="N30" s="474" t="str">
        <f ca="1">IFERROR(N25/N$23,"N/A")</f>
        <v>N/A</v>
      </c>
      <c r="O30" s="479" t="str">
        <f ca="1">IFERROR(O25/O$23,"N/A")</f>
        <v>N/A</v>
      </c>
      <c r="P30" s="474" t="str">
        <f ca="1">IFERROR(P25/P$23,"N/A")</f>
        <v>N/A</v>
      </c>
      <c r="Q30" s="474" t="str">
        <f ca="1">IFERROR(Q25/Q$23,"N/A")</f>
        <v>N/A</v>
      </c>
      <c r="R30" s="474" t="str">
        <f ca="1">IFERROR(R25/R$23,"N/A")</f>
        <v>N/A</v>
      </c>
      <c r="S30" s="474" t="str">
        <f ca="1">IFERROR(S25/S$23,"N/A")</f>
        <v>N/A</v>
      </c>
      <c r="T30" s="479" t="str">
        <f ca="1">IFERROR(T25/T$23,"N/A")</f>
        <v>N/A</v>
      </c>
      <c r="U30" s="474" t="str">
        <f ca="1">IFERROR(U25/U$23,"N/A")</f>
        <v>N/A</v>
      </c>
      <c r="V30" s="474" t="str">
        <f ca="1">IFERROR(V25/V$23,"N/A")</f>
        <v>N/A</v>
      </c>
      <c r="W30" s="474" t="str">
        <f ca="1">IFERROR(W25/W$23,"N/A")</f>
        <v>N/A</v>
      </c>
      <c r="X30" s="475" t="str">
        <f ca="1">IFERROR(X25/X$23,"N/A")</f>
        <v>N/A</v>
      </c>
      <c r="Y30" s="479" t="str">
        <f ca="1">IFERROR(Y25/Y$23,"N/A")</f>
        <v>N/A</v>
      </c>
      <c r="Z30" s="475" t="str">
        <f ca="1">IFERROR(Z25/Z$23,"N/A")</f>
        <v>N/A</v>
      </c>
      <c r="AA30" s="475" t="str">
        <f ca="1">IFERROR(AA25/AA$23,"N/A")</f>
        <v>N/A</v>
      </c>
      <c r="AB30" s="475" t="str">
        <f ca="1">IFERROR(AB25/AB$23,"N/A")</f>
        <v>N/A</v>
      </c>
      <c r="AC30" s="475" t="str">
        <f ca="1">IFERROR(AC25/AC$23,"N/A")</f>
        <v>N/A</v>
      </c>
      <c r="AD30" s="479" t="str">
        <f ca="1">IFERROR(AD25/AD$23,"N/A")</f>
        <v>N/A</v>
      </c>
      <c r="AE30" s="479" t="str">
        <f ca="1">IFERROR(AE25/AE$23,"N/A")</f>
        <v>N/A</v>
      </c>
      <c r="AF30" s="479" t="str">
        <f ca="1">IFERROR(AF25/AF$23,"N/A")</f>
        <v>N/A</v>
      </c>
      <c r="AG30" s="479" t="str">
        <f ca="1">IFERROR(AG25/AG$23,"N/A")</f>
        <v>N/A</v>
      </c>
    </row>
    <row r="31" ht="14.25" customHeight="1" hidden="1" spans="1:33" x14ac:dyDescent="0.25" outlineLevel="1">
      <c r="C31" s="476" t="s">
        <v>457</v>
      </c>
      <c r="D31" s="16"/>
      <c r="E31" s="16"/>
      <c r="F31" s="474" t="str">
        <f t="shared" ref="F31:AG31" si="31" ca="1">IFERROR(F26/F$23,"N/A")</f>
        <v>N/A</v>
      </c>
      <c r="G31" s="474" t="str">
        <f ca="1">IFERROR(G26/G$23,"N/A")</f>
        <v>N/A</v>
      </c>
      <c r="H31" s="474" t="str">
        <f ca="1">IFERROR(H26/H$23,"N/A")</f>
        <v>N/A</v>
      </c>
      <c r="I31" s="474" t="str">
        <f ca="1">IFERROR(I26/I$23,"N/A")</f>
        <v>N/A</v>
      </c>
      <c r="J31" s="479" t="str">
        <f ca="1">IFERROR(J26/J$23,"N/A")</f>
        <v>N/A</v>
      </c>
      <c r="K31" s="474" t="str">
        <f ca="1">IFERROR(K26/K$23,"N/A")</f>
        <v>N/A</v>
      </c>
      <c r="L31" s="474" t="str">
        <f ca="1">IFERROR(L26/L$23,"N/A")</f>
        <v>N/A</v>
      </c>
      <c r="M31" s="474" t="str">
        <f ca="1">IFERROR(M26/M$23,"N/A")</f>
        <v>N/A</v>
      </c>
      <c r="N31" s="474" t="str">
        <f ca="1">IFERROR(N26/N$23,"N/A")</f>
        <v>N/A</v>
      </c>
      <c r="O31" s="479" t="str">
        <f ca="1">IFERROR(O26/O$23,"N/A")</f>
        <v>N/A</v>
      </c>
      <c r="P31" s="474" t="str">
        <f ca="1">IFERROR(P26/P$23,"N/A")</f>
        <v>N/A</v>
      </c>
      <c r="Q31" s="474" t="str">
        <f ca="1">IFERROR(Q26/Q$23,"N/A")</f>
        <v>N/A</v>
      </c>
      <c r="R31" s="474" t="str">
        <f ca="1">IFERROR(R26/R$23,"N/A")</f>
        <v>N/A</v>
      </c>
      <c r="S31" s="474" t="str">
        <f ca="1">IFERROR(S26/S$23,"N/A")</f>
        <v>N/A</v>
      </c>
      <c r="T31" s="479" t="str">
        <f ca="1">IFERROR(T26/T$23,"N/A")</f>
        <v>N/A</v>
      </c>
      <c r="U31" s="474" t="str">
        <f ca="1">IFERROR(U26/U$23,"N/A")</f>
        <v>N/A</v>
      </c>
      <c r="V31" s="474" t="str">
        <f ca="1">IFERROR(V26/V$23,"N/A")</f>
        <v>N/A</v>
      </c>
      <c r="W31" s="474" t="str">
        <f ca="1">IFERROR(W26/W$23,"N/A")</f>
        <v>N/A</v>
      </c>
      <c r="X31" s="475" t="str">
        <f ca="1">IFERROR(X26/X$23,"N/A")</f>
        <v>N/A</v>
      </c>
      <c r="Y31" s="479" t="str">
        <f ca="1">IFERROR(Y26/Y$23,"N/A")</f>
        <v>N/A</v>
      </c>
      <c r="Z31" s="475" t="str">
        <f ca="1">IFERROR(Z26/Z$23,"N/A")</f>
        <v>N/A</v>
      </c>
      <c r="AA31" s="475" t="str">
        <f ca="1">IFERROR(AA26/AA$23,"N/A")</f>
        <v>N/A</v>
      </c>
      <c r="AB31" s="475" t="str">
        <f ca="1">IFERROR(AB26/AB$23,"N/A")</f>
        <v>N/A</v>
      </c>
      <c r="AC31" s="475" t="str">
        <f ca="1">IFERROR(AC26/AC$23,"N/A")</f>
        <v>N/A</v>
      </c>
      <c r="AD31" s="479" t="str">
        <f ca="1">IFERROR(AD26/AD$23,"N/A")</f>
        <v>N/A</v>
      </c>
      <c r="AE31" s="479" t="str">
        <f ca="1">IFERROR(AE26/AE$23,"N/A")</f>
        <v>N/A</v>
      </c>
      <c r="AF31" s="479" t="str">
        <f ca="1">IFERROR(AF26/AF$23,"N/A")</f>
        <v>N/A</v>
      </c>
      <c r="AG31" s="479" t="str">
        <f ca="1">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458</v>
      </c>
      <c r="D33" s="16"/>
      <c r="E33" s="16"/>
      <c r="F33" s="317">
        <f t="shared" ref="F33:I33" si="32" ca="1">SUM(F34:F39)</f>
        <v>1e-12</v>
      </c>
      <c r="G33" s="317">
        <f ca="1">SUM(G34:G39)</f>
        <v>1e-12</v>
      </c>
      <c r="H33" s="317">
        <f ca="1">SUM(H34:H39)</f>
        <v>1e-12</v>
      </c>
      <c r="I33" s="317">
        <f ca="1">SUM(I34:I39)</f>
        <v>4018</v>
      </c>
      <c r="J33" s="287">
        <f t="shared" ref="J33:J39" si="33" ca="1">SUM(F33:I33)</f>
        <v>4018</v>
      </c>
      <c r="K33" s="317">
        <f t="shared" ref="K33:N33" si="34" ca="1">SUM(K34:K39)</f>
        <v>1e-12</v>
      </c>
      <c r="L33" s="317">
        <f ca="1">SUM(L34:L39)</f>
        <v>1e-12</v>
      </c>
      <c r="M33" s="317">
        <f ca="1">SUM(M34:M39)</f>
        <v>1e-12</v>
      </c>
      <c r="N33" s="317">
        <f ca="1">SUM(N34:N39)</f>
        <v>1e-12</v>
      </c>
      <c r="O33" s="287">
        <f t="shared" ref="O33:O39" si="35" ca="1">SUM(K33:N33)</f>
        <v>1e-12</v>
      </c>
      <c r="P33" s="317">
        <f t="shared" ref="P33:Q33" si="36" ca="1">SUM(P34:P39)</f>
        <v>4053</v>
      </c>
      <c r="Q33" s="317">
        <f ca="1">SUM(Q34:Q39)</f>
        <v>1e-12</v>
      </c>
      <c r="R33" s="317">
        <f ca="1">R34</f>
        <v>1e-12</v>
      </c>
      <c r="S33" s="317">
        <f ca="1">SUM(S34:S39)</f>
        <v>1e-12</v>
      </c>
      <c r="T33" s="287">
        <f t="shared" ref="T33:T39" si="37" ca="1">SUM(P33:S33)</f>
        <v>4053</v>
      </c>
      <c r="U33" s="317">
        <f t="shared" ref="U33:V33" si="38" ca="1">SUM(U34:U39)</f>
        <v>4630</v>
      </c>
      <c r="V33" s="317">
        <f ca="1">SUM(V34:V39)</f>
        <v>2977.56</v>
      </c>
      <c r="W33" s="317">
        <f ca="1">W34</f>
        <v>2789</v>
      </c>
      <c r="X33" s="286">
        <f ca="1">SUM(X34:X39)</f>
        <v>2830.373</v>
      </c>
      <c r="Y33" s="287">
        <f t="shared" ref="Y33:Y39" si="39" ca="1">SUM(U33:X33)</f>
        <v>11161.242999999999</v>
      </c>
      <c r="Z33" s="286">
        <f t="shared" ref="Z33:AC33" si="40" ca="1">SUM(Z34:Z39)</f>
        <v>3596.75092</v>
      </c>
      <c r="AA33" s="286">
        <f ca="1">SUM(AA34:AA39)</f>
        <v>4246.7351934</v>
      </c>
      <c r="AB33" s="286">
        <f ca="1">SUM(AB34:AB39)</f>
        <v>3092.794733952</v>
      </c>
      <c r="AC33" s="286">
        <f ca="1">SUM(AC34:AC39)</f>
        <v>3305.4243719112</v>
      </c>
      <c r="AD33" s="287">
        <f t="shared" ref="AD33:AD39" si="41" ca="1">SUM(Z33:AC33)</f>
        <v>14241.7052192632</v>
      </c>
      <c r="AE33" s="287">
        <f t="shared" ref="AE33:AG33" si="42" ca="1">SUM(AE34:AE39)</f>
        <v>14920.47653053796</v>
      </c>
      <c r="AF33" s="287">
        <f ca="1">SUM(AF34:AF39)</f>
        <v>15328.374450077847</v>
      </c>
      <c r="AG33" s="287">
        <f ca="1">SUM(AG34:AG39)</f>
        <v>15858.298252494822</v>
      </c>
    </row>
    <row r="34" ht="14.25" customHeight="1" spans="1:33" x14ac:dyDescent="0.25">
      <c r="C34" s="139" t="s">
        <v>459</v>
      </c>
      <c r="D34" s="16"/>
      <c r="E34" s="16"/>
      <c r="F34" s="469">
        <v>0</v>
      </c>
      <c r="G34" s="469">
        <v>0</v>
      </c>
      <c r="H34" s="469">
        <v>0</v>
      </c>
      <c r="I34" s="469">
        <f ca="1">4018-SUM(F34:H34)</f>
        <v>4018</v>
      </c>
      <c r="J34" s="470">
        <f ca="1">SUM(F34:I34)</f>
        <v>4018</v>
      </c>
      <c r="K34" s="469">
        <v>0</v>
      </c>
      <c r="L34" s="469">
        <v>0</v>
      </c>
      <c r="M34" s="469">
        <v>0</v>
      </c>
      <c r="N34" s="469">
        <v>0</v>
      </c>
      <c r="O34" s="470">
        <f ca="1">SUM(K34:N34)</f>
        <v>1e-12</v>
      </c>
      <c r="P34" s="469">
        <v>4053</v>
      </c>
      <c r="Q34" s="469">
        <v>0</v>
      </c>
      <c r="R34" s="469">
        <v>0</v>
      </c>
      <c r="S34" s="469">
        <v>0</v>
      </c>
      <c r="T34" s="470">
        <f ca="1">SUM(P34:S34)</f>
        <v>4053</v>
      </c>
      <c r="U34" s="469">
        <v>4630</v>
      </c>
      <c r="V34" s="469">
        <v>2977.56</v>
      </c>
      <c r="W34" s="469">
        <v>2789</v>
      </c>
      <c r="X34" s="480">
        <f ca="1">X8*Drivers!X$7</f>
        <v>2830.373</v>
      </c>
      <c r="Y34" s="470">
        <f ca="1">SUM(U34:X34)</f>
        <v>11161.242999999999</v>
      </c>
      <c r="Z34" s="480">
        <f ca="1">Z8*Drivers!Z$7</f>
        <v>3596.75092</v>
      </c>
      <c r="AA34" s="480">
        <f ca="1">AA8*Drivers!AA$7</f>
        <v>4246.7351934</v>
      </c>
      <c r="AB34" s="480">
        <f ca="1">AB8*Drivers!AB$7</f>
        <v>3092.794733952</v>
      </c>
      <c r="AC34" s="480">
        <f ca="1">AC8*Drivers!AC$7</f>
        <v>3305.4243719112</v>
      </c>
      <c r="AD34" s="470">
        <f ca="1">SUM(Z34:AC34)</f>
        <v>14241.7052192632</v>
      </c>
      <c r="AE34" s="470">
        <f ca="1">AE8*Drivers!AE$7</f>
        <v>14920.47653053796</v>
      </c>
      <c r="AF34" s="470">
        <f ca="1">AF8*Drivers!AF$7</f>
        <v>15328.374450077847</v>
      </c>
      <c r="AG34" s="470">
        <f ca="1">AG8*Drivers!AG$7</f>
        <v>15858.298252494822</v>
      </c>
    </row>
    <row r="35" ht="14.25" customHeight="1" spans="1:33" x14ac:dyDescent="0.25">
      <c r="C35" s="139" t="s">
        <v>446</v>
      </c>
      <c r="D35" s="16"/>
      <c r="E35" s="16"/>
      <c r="F35" s="469">
        <v>0</v>
      </c>
      <c r="G35" s="469">
        <v>0</v>
      </c>
      <c r="H35" s="469">
        <v>0</v>
      </c>
      <c r="I35" s="469">
        <v>0</v>
      </c>
      <c r="J35" s="470">
        <f ca="1">SUM(F35:I35)</f>
        <v>1e-12</v>
      </c>
      <c r="K35" s="469">
        <v>0</v>
      </c>
      <c r="L35" s="469">
        <v>0</v>
      </c>
      <c r="M35" s="469">
        <v>0</v>
      </c>
      <c r="N35" s="469">
        <v>0</v>
      </c>
      <c r="O35" s="470">
        <f ca="1">SUM(K35:N35)</f>
        <v>1e-12</v>
      </c>
      <c r="P35" s="469">
        <v>0</v>
      </c>
      <c r="Q35" s="469">
        <v>0</v>
      </c>
      <c r="R35" s="469">
        <v>0</v>
      </c>
      <c r="S35" s="469">
        <v>0</v>
      </c>
      <c r="T35" s="470">
        <f ca="1">SUM(P35:S35)</f>
        <v>1e-12</v>
      </c>
      <c r="U35" s="469">
        <v>0</v>
      </c>
      <c r="V35" s="469">
        <v>0</v>
      </c>
      <c r="W35" s="469">
        <v>0</v>
      </c>
      <c r="X35" s="480">
        <f ca="1">X9*Drivers!X$12</f>
        <v>0</v>
      </c>
      <c r="Y35" s="470">
        <f ca="1">SUM(U35:X35)</f>
        <v>1e-12</v>
      </c>
      <c r="Z35" s="480">
        <f ca="1">Z9*Drivers!Z$12</f>
        <v>0</v>
      </c>
      <c r="AA35" s="480">
        <f ca="1">AA9*Drivers!AA$12</f>
        <v>0</v>
      </c>
      <c r="AB35" s="480">
        <f ca="1">AB9*Drivers!AB$12</f>
        <v>0</v>
      </c>
      <c r="AC35" s="480">
        <f ca="1">AC9*Drivers!AC$12</f>
        <v>0</v>
      </c>
      <c r="AD35" s="470">
        <f ca="1">SUM(Z35:AC35)</f>
        <v>1e-12</v>
      </c>
      <c r="AE35" s="470">
        <f ca="1">AE9*Drivers!AE$12</f>
        <v>0</v>
      </c>
      <c r="AF35" s="470">
        <f ca="1">AF9*Drivers!AF$12</f>
        <v>0</v>
      </c>
      <c r="AG35" s="470">
        <f ca="1">AG9*Drivers!AG$12</f>
        <v>0</v>
      </c>
    </row>
    <row r="36" ht="14.25" customHeight="1" spans="1:33" x14ac:dyDescent="0.25">
      <c r="C36" s="139" t="s">
        <v>446</v>
      </c>
      <c r="D36" s="16"/>
      <c r="E36" s="16"/>
      <c r="F36" s="469">
        <v>0</v>
      </c>
      <c r="G36" s="469">
        <v>0</v>
      </c>
      <c r="H36" s="469">
        <v>0</v>
      </c>
      <c r="I36" s="469">
        <v>0</v>
      </c>
      <c r="J36" s="470">
        <f ca="1">SUM(F36:I36)</f>
        <v>1e-12</v>
      </c>
      <c r="K36" s="469">
        <v>0</v>
      </c>
      <c r="L36" s="469">
        <v>0</v>
      </c>
      <c r="M36" s="469">
        <v>0</v>
      </c>
      <c r="N36" s="469">
        <v>0</v>
      </c>
      <c r="O36" s="470">
        <f ca="1">SUM(K36:N36)</f>
        <v>1e-12</v>
      </c>
      <c r="P36" s="469">
        <v>0</v>
      </c>
      <c r="Q36" s="469">
        <v>0</v>
      </c>
      <c r="R36" s="469">
        <v>0</v>
      </c>
      <c r="S36" s="469">
        <v>0</v>
      </c>
      <c r="T36" s="470">
        <f ca="1">SUM(P36:S36)</f>
        <v>1e-12</v>
      </c>
      <c r="U36" s="469">
        <v>0</v>
      </c>
      <c r="V36" s="469">
        <v>0</v>
      </c>
      <c r="W36" s="469">
        <v>0</v>
      </c>
      <c r="X36" s="480">
        <f ca="1">X10*Drivers!X17</f>
        <v>0</v>
      </c>
      <c r="Y36" s="470">
        <f ca="1">SUM(U36:X36)</f>
        <v>1e-12</v>
      </c>
      <c r="Z36" s="480">
        <f ca="1">Z10*Drivers!Z$17</f>
        <v>0</v>
      </c>
      <c r="AA36" s="480">
        <f ca="1">AA10*Drivers!AA$17</f>
        <v>0</v>
      </c>
      <c r="AB36" s="480">
        <f ca="1">AB10*Drivers!AB$17</f>
        <v>0</v>
      </c>
      <c r="AC36" s="480">
        <f ca="1">AC10*Drivers!AC$17</f>
        <v>0</v>
      </c>
      <c r="AD36" s="470">
        <f ca="1">SUM(Z36:AC36)</f>
        <v>1e-12</v>
      </c>
      <c r="AE36" s="470">
        <f ca="1">AE10*Drivers!AE$17</f>
        <v>0</v>
      </c>
      <c r="AF36" s="470">
        <f ca="1">AF10*Drivers!AF$17</f>
        <v>0</v>
      </c>
      <c r="AG36" s="470">
        <f ca="1">AG10*Drivers!AG$17</f>
        <v>0</v>
      </c>
    </row>
    <row r="37" ht="14.25" customHeight="1" spans="1:33" x14ac:dyDescent="0.25">
      <c r="C37" s="139" t="s">
        <v>446</v>
      </c>
      <c r="D37" s="16"/>
      <c r="E37" s="16"/>
      <c r="F37" s="469">
        <v>0</v>
      </c>
      <c r="G37" s="469">
        <v>0</v>
      </c>
      <c r="H37" s="469">
        <v>0</v>
      </c>
      <c r="I37" s="469">
        <v>0</v>
      </c>
      <c r="J37" s="470">
        <f ca="1">SUM(F37:I37)</f>
        <v>1e-12</v>
      </c>
      <c r="K37" s="469">
        <v>0</v>
      </c>
      <c r="L37" s="469">
        <v>0</v>
      </c>
      <c r="M37" s="469">
        <v>0</v>
      </c>
      <c r="N37" s="469">
        <v>0</v>
      </c>
      <c r="O37" s="470">
        <f ca="1">SUM(K37:N37)</f>
        <v>1e-12</v>
      </c>
      <c r="P37" s="469">
        <v>0</v>
      </c>
      <c r="Q37" s="469">
        <v>0</v>
      </c>
      <c r="R37" s="469">
        <v>0</v>
      </c>
      <c r="S37" s="469">
        <v>0</v>
      </c>
      <c r="T37" s="470">
        <f ca="1">SUM(P37:S37)</f>
        <v>1e-12</v>
      </c>
      <c r="U37" s="469">
        <v>0</v>
      </c>
      <c r="V37" s="469">
        <v>0</v>
      </c>
      <c r="W37" s="469">
        <v>0</v>
      </c>
      <c r="X37" s="480">
        <f ca="1">X11*Drivers!X$22</f>
        <v>0</v>
      </c>
      <c r="Y37" s="470">
        <f ca="1">SUM(U37:X37)</f>
        <v>1e-12</v>
      </c>
      <c r="Z37" s="480">
        <f ca="1">Z11*Drivers!Z$22</f>
        <v>0</v>
      </c>
      <c r="AA37" s="480">
        <f ca="1">AA11*Drivers!AA$22</f>
        <v>0</v>
      </c>
      <c r="AB37" s="480">
        <f ca="1">AB11*Drivers!AB$22</f>
        <v>0</v>
      </c>
      <c r="AC37" s="480">
        <f ca="1">AC11*Drivers!AC$22</f>
        <v>0</v>
      </c>
      <c r="AD37" s="470">
        <f ca="1">SUM(Z37:AC37)</f>
        <v>1e-12</v>
      </c>
      <c r="AE37" s="470">
        <f ca="1">AE11*Drivers!AE$22</f>
        <v>0</v>
      </c>
      <c r="AF37" s="470">
        <f ca="1">AF11*Drivers!AF$22</f>
        <v>0</v>
      </c>
      <c r="AG37" s="470">
        <f ca="1">AG11*Drivers!AG$22</f>
        <v>0</v>
      </c>
    </row>
    <row r="38" ht="14.25" customHeight="1" spans="1:33" x14ac:dyDescent="0.25">
      <c r="C38" s="139" t="s">
        <v>446</v>
      </c>
      <c r="D38" s="16"/>
      <c r="E38" s="16"/>
      <c r="F38" s="469">
        <v>0</v>
      </c>
      <c r="G38" s="469">
        <v>0</v>
      </c>
      <c r="H38" s="469">
        <v>0</v>
      </c>
      <c r="I38" s="469">
        <v>0</v>
      </c>
      <c r="J38" s="470">
        <f ca="1">SUM(F38:I38)</f>
        <v>1e-12</v>
      </c>
      <c r="K38" s="469">
        <v>0</v>
      </c>
      <c r="L38" s="469">
        <v>0</v>
      </c>
      <c r="M38" s="469">
        <v>0</v>
      </c>
      <c r="N38" s="469">
        <v>0</v>
      </c>
      <c r="O38" s="470">
        <f ca="1">SUM(K38:N38)</f>
        <v>1e-12</v>
      </c>
      <c r="P38" s="469">
        <v>0</v>
      </c>
      <c r="Q38" s="469">
        <v>0</v>
      </c>
      <c r="R38" s="469">
        <v>0</v>
      </c>
      <c r="S38" s="469">
        <v>0</v>
      </c>
      <c r="T38" s="470">
        <f ca="1">SUM(P38:S38)</f>
        <v>1e-12</v>
      </c>
      <c r="U38" s="469">
        <v>0</v>
      </c>
      <c r="V38" s="469">
        <v>0</v>
      </c>
      <c r="W38" s="469">
        <v>0</v>
      </c>
      <c r="X38" s="480">
        <f ca="1">X12*Drivers!X$27</f>
        <v>0</v>
      </c>
      <c r="Y38" s="470">
        <f ca="1">SUM(U38:X38)</f>
        <v>1e-12</v>
      </c>
      <c r="Z38" s="480">
        <f ca="1">Z12*Drivers!Z$27</f>
        <v>0</v>
      </c>
      <c r="AA38" s="480">
        <f ca="1">AA12*Drivers!AA$27</f>
        <v>0</v>
      </c>
      <c r="AB38" s="480">
        <f ca="1">AB12*Drivers!AB$27</f>
        <v>0</v>
      </c>
      <c r="AC38" s="480">
        <f ca="1">AC12*Drivers!AC$27</f>
        <v>0</v>
      </c>
      <c r="AD38" s="470">
        <f ca="1">SUM(Z38:AC38)</f>
        <v>1e-12</v>
      </c>
      <c r="AE38" s="470">
        <f ca="1">AE12*Drivers!AE$27</f>
        <v>0</v>
      </c>
      <c r="AF38" s="470">
        <f ca="1">AF12*Drivers!AF$27</f>
        <v>0</v>
      </c>
      <c r="AG38" s="470">
        <f ca="1">AG12*Drivers!AG$27</f>
        <v>0</v>
      </c>
    </row>
    <row r="39" ht="14.25" customHeight="1" spans="1:33" x14ac:dyDescent="0.25">
      <c r="C39" s="139" t="s">
        <v>446</v>
      </c>
      <c r="D39" s="16"/>
      <c r="E39" s="16"/>
      <c r="F39" s="469">
        <v>0</v>
      </c>
      <c r="G39" s="469">
        <v>0</v>
      </c>
      <c r="H39" s="469">
        <v>0</v>
      </c>
      <c r="I39" s="469">
        <v>0</v>
      </c>
      <c r="J39" s="470">
        <f ca="1">SUM(F39:I39)</f>
        <v>1e-12</v>
      </c>
      <c r="K39" s="469">
        <v>0</v>
      </c>
      <c r="L39" s="469">
        <v>0</v>
      </c>
      <c r="M39" s="469">
        <v>0</v>
      </c>
      <c r="N39" s="469">
        <v>0</v>
      </c>
      <c r="O39" s="470">
        <f ca="1">SUM(K39:N39)</f>
        <v>1e-12</v>
      </c>
      <c r="P39" s="469">
        <v>0</v>
      </c>
      <c r="Q39" s="469">
        <v>0</v>
      </c>
      <c r="R39" s="469">
        <v>0</v>
      </c>
      <c r="S39" s="469">
        <v>0</v>
      </c>
      <c r="T39" s="470">
        <f ca="1">SUM(P39:S39)</f>
        <v>1e-12</v>
      </c>
      <c r="U39" s="469">
        <v>0</v>
      </c>
      <c r="V39" s="469">
        <v>0</v>
      </c>
      <c r="W39" s="469">
        <v>0</v>
      </c>
      <c r="X39" s="480">
        <f ca="1">X13*Drivers!X$32</f>
        <v>0</v>
      </c>
      <c r="Y39" s="470">
        <f ca="1">SUM(U39:X39)</f>
        <v>1e-12</v>
      </c>
      <c r="Z39" s="480">
        <f ca="1">Z13*Drivers!Z$32</f>
        <v>0</v>
      </c>
      <c r="AA39" s="480">
        <f ca="1">AA13*Drivers!AA$32</f>
        <v>0</v>
      </c>
      <c r="AB39" s="480">
        <f ca="1">AB13*Drivers!AB$32</f>
        <v>0</v>
      </c>
      <c r="AC39" s="480">
        <f ca="1">AC13*Drivers!AC$32</f>
        <v>0</v>
      </c>
      <c r="AD39" s="470">
        <f ca="1">SUM(Z39:AC39)</f>
        <v>1e-12</v>
      </c>
      <c r="AE39" s="470">
        <f ca="1">AE13*Drivers!AE$32</f>
        <v>0</v>
      </c>
      <c r="AF39" s="470">
        <f ca="1">AF13*Drivers!AF$32</f>
        <v>0</v>
      </c>
      <c r="AG39" s="470">
        <f ca="1">AG13*Drivers!AG$32</f>
        <v>0</v>
      </c>
    </row>
    <row r="40" ht="14.25" customHeight="1" spans="1:33" x14ac:dyDescent="0.25">
      <c r="C40" s="139"/>
      <c r="D40" s="16"/>
      <c r="E40" s="16"/>
      <c r="F40" s="481"/>
      <c r="G40" s="481"/>
      <c r="H40" s="481"/>
      <c r="I40" s="481"/>
      <c r="J40" s="168">
        <f ca="1">SUM(F40:I40)</f>
        <v>1e-12</v>
      </c>
      <c r="K40" s="481"/>
      <c r="L40" s="481"/>
      <c r="M40" s="481"/>
      <c r="N40" s="481"/>
      <c r="O40" s="168">
        <f ca="1">SUM(K40:N40)</f>
        <v>1e-12</v>
      </c>
      <c r="P40" s="481"/>
      <c r="Q40" s="481"/>
      <c r="R40" s="481"/>
      <c r="S40" s="481"/>
      <c r="T40" s="168">
        <f ca="1">SUM(P40:S40)</f>
        <v>1e-12</v>
      </c>
      <c r="U40" s="481"/>
      <c r="V40" s="481"/>
      <c r="W40" s="481"/>
      <c r="X40" s="482"/>
      <c r="Y40" s="168"/>
      <c r="Z40" s="482"/>
      <c r="AA40" s="482"/>
      <c r="AB40" s="482"/>
      <c r="AC40" s="482"/>
      <c r="AD40" s="168"/>
      <c r="AE40" s="168"/>
      <c r="AF40" s="168"/>
      <c r="AG40" s="168"/>
    </row>
    <row r="41" ht="14.25" customHeight="1" spans="1:33" x14ac:dyDescent="0.25">
      <c r="C41" s="120" t="s">
        <v>460</v>
      </c>
      <c r="D41" s="16"/>
      <c r="E41" s="16"/>
      <c r="F41" s="483">
        <f t="shared" ref="F41:AG41" si="43" ca="1">F33-SUM(F34:F39)</f>
        <v>1e-12</v>
      </c>
      <c r="G41" s="483">
        <f ca="1">G33-SUM(G34:G39)</f>
        <v>1e-12</v>
      </c>
      <c r="H41" s="483">
        <f ca="1">H33-SUM(H34:H39)</f>
        <v>1e-12</v>
      </c>
      <c r="I41" s="483">
        <f ca="1">I33-SUM(I34:I39)</f>
        <v>1e-12</v>
      </c>
      <c r="J41" s="484">
        <f ca="1">J33-SUM(J34:J39)</f>
        <v>1e-12</v>
      </c>
      <c r="K41" s="483">
        <f ca="1">K33-SUM(K34:K39)</f>
        <v>1e-12</v>
      </c>
      <c r="L41" s="483">
        <f ca="1">L33-SUM(L34:L39)</f>
        <v>1e-12</v>
      </c>
      <c r="M41" s="483">
        <f ca="1">M33-SUM(M34:M39)</f>
        <v>1e-12</v>
      </c>
      <c r="N41" s="483">
        <f ca="1">N33-SUM(N34:N39)</f>
        <v>1e-12</v>
      </c>
      <c r="O41" s="484">
        <f ca="1">O33-SUM(O34:O39)</f>
        <v>1e-12</v>
      </c>
      <c r="P41" s="483">
        <f ca="1">P33-SUM(P34:P39)</f>
        <v>1e-12</v>
      </c>
      <c r="Q41" s="483">
        <f ca="1">Q33-SUM(Q34:Q39)</f>
        <v>1e-12</v>
      </c>
      <c r="R41" s="483">
        <f ca="1">R33-SUM(R34:R39)</f>
        <v>1e-12</v>
      </c>
      <c r="S41" s="483">
        <f ca="1">S33-SUM(S34:S39)</f>
        <v>1e-12</v>
      </c>
      <c r="T41" s="484">
        <f ca="1">T33-SUM(T34:T39)</f>
        <v>1e-12</v>
      </c>
      <c r="U41" s="483">
        <f ca="1">U33-SUM(U34:U39)</f>
        <v>1e-12</v>
      </c>
      <c r="V41" s="483">
        <f ca="1">V33-SUM(V34:V39)</f>
        <v>1e-12</v>
      </c>
      <c r="W41" s="483">
        <f ca="1">W33-SUM(W34:W39)</f>
        <v>1e-12</v>
      </c>
      <c r="X41" s="485">
        <f ca="1">X33-SUM(X34:X39)</f>
        <v>1e-12</v>
      </c>
      <c r="Y41" s="484">
        <f ca="1">Y33-SUM(Y34:Y39)</f>
        <v>1e-12</v>
      </c>
      <c r="Z41" s="485">
        <f ca="1">Z33-SUM(Z34:Z39)</f>
        <v>1e-12</v>
      </c>
      <c r="AA41" s="485">
        <f ca="1">AA33-SUM(AA34:AA39)</f>
        <v>1e-12</v>
      </c>
      <c r="AB41" s="485">
        <f ca="1">AB33-SUM(AB34:AB39)</f>
        <v>1e-12</v>
      </c>
      <c r="AC41" s="485">
        <f ca="1">AC33-SUM(AC34:AC39)</f>
        <v>1e-12</v>
      </c>
      <c r="AD41" s="484">
        <f ca="1">AD33-SUM(AD34:AD39)</f>
        <v>1e-12</v>
      </c>
      <c r="AE41" s="484">
        <f ca="1">AE33-SUM(AE34:AE39)</f>
        <v>1e-12</v>
      </c>
      <c r="AF41" s="484">
        <f ca="1">AF33-SUM(AF34:AF39)</f>
        <v>1e-12</v>
      </c>
      <c r="AG41" s="484">
        <f ca="1">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461</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4" ca="1">C16</f>
        <v>Home Improvement Retail</v>
      </c>
      <c r="D44" s="16"/>
      <c r="E44" s="16"/>
      <c r="F44" s="377">
        <f t="shared" ref="F44:AG44" si="45" ca="1">IFERROR(F34/F$33,"N/A")</f>
        <v>1</v>
      </c>
      <c r="G44" s="377">
        <f ca="1">IFERROR(G34/G$33,"N/A")</f>
        <v>1</v>
      </c>
      <c r="H44" s="377">
        <f ca="1">IFERROR(H34/H$33,"N/A")</f>
        <v>1</v>
      </c>
      <c r="I44" s="377">
        <f ca="1">IFERROR(I34/I$33,"N/A")</f>
        <v>1</v>
      </c>
      <c r="J44" s="378">
        <f ca="1">IFERROR(J34/J$33,"N/A")</f>
        <v>1</v>
      </c>
      <c r="K44" s="377">
        <f ca="1">IFERROR(K34/K$33,"N/A")</f>
        <v>1</v>
      </c>
      <c r="L44" s="377">
        <f ca="1">IFERROR(L34/L$33,"N/A")</f>
        <v>1</v>
      </c>
      <c r="M44" s="377">
        <f ca="1">IFERROR(M34/M$33,"N/A")</f>
        <v>1</v>
      </c>
      <c r="N44" s="377">
        <f ca="1">IFERROR(N34/N$33,"N/A")</f>
        <v>1</v>
      </c>
      <c r="O44" s="378">
        <f ca="1">IFERROR(O34/O$33,"N/A")</f>
        <v>1</v>
      </c>
      <c r="P44" s="377">
        <f ca="1">IFERROR(P34/P$33,"N/A")</f>
        <v>1</v>
      </c>
      <c r="Q44" s="377">
        <f ca="1">IFERROR(Q34/Q$33,"N/A")</f>
        <v>1</v>
      </c>
      <c r="R44" s="377">
        <f ca="1">IFERROR(R34/R$33,"N/A")</f>
        <v>1</v>
      </c>
      <c r="S44" s="377">
        <f ca="1">IFERROR(S34/S$33,"N/A")</f>
        <v>1</v>
      </c>
      <c r="T44" s="378">
        <f ca="1">IFERROR(T34/T$33,"N/A")</f>
        <v>1</v>
      </c>
      <c r="U44" s="377">
        <f ca="1">IFERROR(U34/U$33,"N/A")</f>
        <v>1</v>
      </c>
      <c r="V44" s="377">
        <f ca="1">IFERROR(V34/V$33,"N/A")</f>
        <v>1</v>
      </c>
      <c r="W44" s="377">
        <f ca="1">IFERROR(W34/W$33,"N/A")</f>
        <v>1</v>
      </c>
      <c r="X44" s="379">
        <f ca="1">IFERROR(X34/X$33,"N/A")</f>
        <v>1</v>
      </c>
      <c r="Y44" s="378">
        <f ca="1">IFERROR(Y34/Y$33,"N/A")</f>
        <v>1</v>
      </c>
      <c r="Z44" s="379">
        <f ca="1">IFERROR(Z34/Z$33,"N/A")</f>
        <v>1</v>
      </c>
      <c r="AA44" s="379">
        <f ca="1">IFERROR(AA34/AA$33,"N/A")</f>
        <v>1</v>
      </c>
      <c r="AB44" s="379">
        <f ca="1">IFERROR(AB34/AB$33,"N/A")</f>
        <v>1</v>
      </c>
      <c r="AC44" s="379">
        <f ca="1">IFERROR(AC34/AC$33,"N/A")</f>
        <v>1</v>
      </c>
      <c r="AD44" s="378">
        <f ca="1">IFERROR(AD34/AD$33,"N/A")</f>
        <v>1</v>
      </c>
      <c r="AE44" s="378">
        <f ca="1">IFERROR(AE34/AE$33,"N/A")</f>
        <v>1</v>
      </c>
      <c r="AF44" s="378">
        <f ca="1">IFERROR(AF34/AF$33,"N/A")</f>
        <v>1</v>
      </c>
      <c r="AG44" s="378">
        <f ca="1">IFERROR(AG34/AG$33,"N/A")</f>
        <v>1</v>
      </c>
    </row>
    <row r="45" ht="14.25" customHeight="1" spans="1:33" x14ac:dyDescent="0.25">
      <c r="C45" s="139" t="str">
        <f ca="1">C17</f>
        <v>Segment 2</v>
      </c>
      <c r="D45" s="16"/>
      <c r="E45" s="16"/>
      <c r="F45" s="377">
        <f t="shared" ref="F45:AG45" si="46" ca="1">IFERROR(F35/F$33,"N/A")</f>
        <v>0</v>
      </c>
      <c r="G45" s="377">
        <f ca="1">IFERROR(G35/G$33,"N/A")</f>
      </c>
      <c r="H45" s="377">
        <f ca="1">IFERROR(H35/H$33,"N/A")</f>
      </c>
      <c r="I45" s="377">
        <f ca="1">IFERROR(I35/I$33,"N/A")</f>
      </c>
      <c r="J45" s="378">
        <f ca="1">IFERROR(J35/J$33,"N/A")</f>
      </c>
      <c r="K45" s="377">
        <f ca="1">IFERROR(K35/K$33,"N/A")</f>
      </c>
      <c r="L45" s="377">
        <f ca="1">IFERROR(L35/L$33,"N/A")</f>
      </c>
      <c r="M45" s="377">
        <f ca="1">IFERROR(M35/M$33,"N/A")</f>
      </c>
      <c r="N45" s="377">
        <f ca="1">IFERROR(N35/N$33,"N/A")</f>
      </c>
      <c r="O45" s="378">
        <f ca="1">IFERROR(O35/O$33,"N/A")</f>
      </c>
      <c r="P45" s="377">
        <f ca="1">IFERROR(P35/P$33,"N/A")</f>
      </c>
      <c r="Q45" s="377">
        <f ca="1">IFERROR(Q35/Q$33,"N/A")</f>
      </c>
      <c r="R45" s="377">
        <f ca="1">IFERROR(R35/R$33,"N/A")</f>
      </c>
      <c r="S45" s="377">
        <f ca="1">IFERROR(S35/S$33,"N/A")</f>
      </c>
      <c r="T45" s="378">
        <f ca="1">IFERROR(T35/T$33,"N/A")</f>
      </c>
      <c r="U45" s="377">
        <f ca="1">IFERROR(U35/U$33,"N/A")</f>
      </c>
      <c r="V45" s="377">
        <f ca="1">IFERROR(V35/V$33,"N/A")</f>
      </c>
      <c r="W45" s="377">
        <f ca="1">IFERROR(W35/W$33,"N/A")</f>
      </c>
      <c r="X45" s="379">
        <f ca="1">IFERROR(X35/X$33,"N/A")</f>
      </c>
      <c r="Y45" s="378">
        <f ca="1">IFERROR(Y35/Y$33,"N/A")</f>
      </c>
      <c r="Z45" s="379">
        <f ca="1">IFERROR(Z35/Z$33,"N/A")</f>
      </c>
      <c r="AA45" s="379">
        <f ca="1">IFERROR(AA35/AA$33,"N/A")</f>
      </c>
      <c r="AB45" s="379">
        <f ca="1">IFERROR(AB35/AB$33,"N/A")</f>
      </c>
      <c r="AC45" s="379">
        <f ca="1">IFERROR(AC35/AC$33,"N/A")</f>
      </c>
      <c r="AD45" s="378">
        <f ca="1">IFERROR(AD35/AD$33,"N/A")</f>
      </c>
      <c r="AE45" s="378">
        <f ca="1">IFERROR(AE35/AE$33,"N/A")</f>
      </c>
      <c r="AF45" s="378">
        <f ca="1">IFERROR(AF35/AF$33,"N/A")</f>
      </c>
      <c r="AG45" s="378">
        <f ca="1">IFERROR(AG35/AG$33,"N/A")</f>
      </c>
    </row>
    <row r="46" ht="14.25" customHeight="1" spans="1:33" x14ac:dyDescent="0.25">
      <c r="C46" s="139" t="str">
        <f ca="1">C18</f>
        <v>Segment 3</v>
      </c>
      <c r="D46" s="16"/>
      <c r="E46" s="16"/>
      <c r="F46" s="377">
        <f t="shared" ref="F46:AG46" si="47" ca="1">IFERROR(F36/F$33,"N/A")</f>
        <v>0</v>
      </c>
      <c r="G46" s="377">
        <f ca="1">IFERROR(G36/G$33,"N/A")</f>
      </c>
      <c r="H46" s="377">
        <f ca="1">IFERROR(H36/H$33,"N/A")</f>
      </c>
      <c r="I46" s="377">
        <f ca="1">IFERROR(I36/I$33,"N/A")</f>
      </c>
      <c r="J46" s="378">
        <f ca="1">IFERROR(J36/J$33,"N/A")</f>
      </c>
      <c r="K46" s="377">
        <f ca="1">IFERROR(K36/K$33,"N/A")</f>
      </c>
      <c r="L46" s="377">
        <f ca="1">IFERROR(L36/L$33,"N/A")</f>
      </c>
      <c r="M46" s="377">
        <f ca="1">IFERROR(M36/M$33,"N/A")</f>
      </c>
      <c r="N46" s="377">
        <f ca="1">IFERROR(N36/N$33,"N/A")</f>
      </c>
      <c r="O46" s="378">
        <f ca="1">IFERROR(O36/O$33,"N/A")</f>
      </c>
      <c r="P46" s="377">
        <f ca="1">IFERROR(P36/P$33,"N/A")</f>
      </c>
      <c r="Q46" s="377">
        <f ca="1">IFERROR(Q36/Q$33,"N/A")</f>
      </c>
      <c r="R46" s="377">
        <f ca="1">IFERROR(R36/R$33,"N/A")</f>
      </c>
      <c r="S46" s="377">
        <f ca="1">IFERROR(S36/S$33,"N/A")</f>
      </c>
      <c r="T46" s="378">
        <f ca="1">IFERROR(T36/T$33,"N/A")</f>
      </c>
      <c r="U46" s="377">
        <f ca="1">IFERROR(U36/U$33,"N/A")</f>
      </c>
      <c r="V46" s="377">
        <f ca="1">IFERROR(V36/V$33,"N/A")</f>
      </c>
      <c r="W46" s="377">
        <f ca="1">IFERROR(W36/W$33,"N/A")</f>
      </c>
      <c r="X46" s="379">
        <f ca="1">IFERROR(X36/X$33,"N/A")</f>
      </c>
      <c r="Y46" s="378">
        <f ca="1">IFERROR(Y36/Y$33,"N/A")</f>
      </c>
      <c r="Z46" s="379">
        <f ca="1">IFERROR(Z36/Z$33,"N/A")</f>
      </c>
      <c r="AA46" s="379">
        <f ca="1">IFERROR(AA36/AA$33,"N/A")</f>
      </c>
      <c r="AB46" s="379">
        <f ca="1">IFERROR(AB36/AB$33,"N/A")</f>
      </c>
      <c r="AC46" s="379">
        <f ca="1">IFERROR(AC36/AC$33,"N/A")</f>
      </c>
      <c r="AD46" s="378">
        <f ca="1">IFERROR(AD36/AD$33,"N/A")</f>
      </c>
      <c r="AE46" s="378">
        <f ca="1">IFERROR(AE36/AE$33,"N/A")</f>
      </c>
      <c r="AF46" s="378">
        <f ca="1">IFERROR(AF36/AF$33,"N/A")</f>
      </c>
      <c r="AG46" s="378">
        <f ca="1">IFERROR(AG36/AG$33,"N/A")</f>
      </c>
    </row>
    <row r="47" ht="14.25" customHeight="1" spans="1:33" x14ac:dyDescent="0.25">
      <c r="C47" s="139" t="str">
        <f ca="1">C19</f>
        <v>Segment 4</v>
      </c>
      <c r="D47" s="16"/>
      <c r="E47" s="16"/>
      <c r="F47" s="377">
        <f t="shared" ref="F47:AG47" si="48" ca="1">IFERROR(F37/F$33,"N/A")</f>
        <v>0</v>
      </c>
      <c r="G47" s="377">
        <f ca="1">IFERROR(G37/G$33,"N/A")</f>
      </c>
      <c r="H47" s="377">
        <f ca="1">IFERROR(H37/H$33,"N/A")</f>
      </c>
      <c r="I47" s="377">
        <f ca="1">IFERROR(I37/I$33,"N/A")</f>
      </c>
      <c r="J47" s="378">
        <f ca="1">IFERROR(J37/J$33,"N/A")</f>
      </c>
      <c r="K47" s="377">
        <f ca="1">IFERROR(K37/K$33,"N/A")</f>
      </c>
      <c r="L47" s="377">
        <f ca="1">IFERROR(L37/L$33,"N/A")</f>
      </c>
      <c r="M47" s="377">
        <f ca="1">IFERROR(M37/M$33,"N/A")</f>
      </c>
      <c r="N47" s="377">
        <f ca="1">IFERROR(N37/N$33,"N/A")</f>
      </c>
      <c r="O47" s="378">
        <f ca="1">IFERROR(O37/O$33,"N/A")</f>
      </c>
      <c r="P47" s="377">
        <f ca="1">IFERROR(P37/P$33,"N/A")</f>
      </c>
      <c r="Q47" s="377">
        <f ca="1">IFERROR(Q37/Q$33,"N/A")</f>
      </c>
      <c r="R47" s="377">
        <f ca="1">IFERROR(R37/R$33,"N/A")</f>
      </c>
      <c r="S47" s="377">
        <f ca="1">IFERROR(S37/S$33,"N/A")</f>
      </c>
      <c r="T47" s="378">
        <f ca="1">IFERROR(T37/T$33,"N/A")</f>
      </c>
      <c r="U47" s="377">
        <f ca="1">IFERROR(U37/U$33,"N/A")</f>
      </c>
      <c r="V47" s="377">
        <f ca="1">IFERROR(V37/V$33,"N/A")</f>
      </c>
      <c r="W47" s="377">
        <f ca="1">IFERROR(W37/W$33,"N/A")</f>
      </c>
      <c r="X47" s="379">
        <f ca="1">IFERROR(X37/X$33,"N/A")</f>
      </c>
      <c r="Y47" s="378">
        <f ca="1">IFERROR(Y37/Y$33,"N/A")</f>
      </c>
      <c r="Z47" s="379">
        <f ca="1">IFERROR(Z37/Z$33,"N/A")</f>
      </c>
      <c r="AA47" s="379">
        <f ca="1">IFERROR(AA37/AA$33,"N/A")</f>
      </c>
      <c r="AB47" s="379">
        <f ca="1">IFERROR(AB37/AB$33,"N/A")</f>
      </c>
      <c r="AC47" s="379">
        <f ca="1">IFERROR(AC37/AC$33,"N/A")</f>
      </c>
      <c r="AD47" s="378">
        <f ca="1">IFERROR(AD37/AD$33,"N/A")</f>
      </c>
      <c r="AE47" s="378">
        <f ca="1">IFERROR(AE37/AE$33,"N/A")</f>
      </c>
      <c r="AF47" s="378">
        <f ca="1">IFERROR(AF37/AF$33,"N/A")</f>
      </c>
      <c r="AG47" s="378">
        <f ca="1">IFERROR(AG37/AG$33,"N/A")</f>
      </c>
    </row>
    <row r="48" ht="14.25" customHeight="1" spans="1:33" x14ac:dyDescent="0.25">
      <c r="C48" s="139" t="str">
        <f ca="1">C20</f>
        <v>Segment 5</v>
      </c>
      <c r="D48" s="16"/>
      <c r="E48" s="16"/>
      <c r="F48" s="377">
        <f t="shared" ref="F48:AG48" si="49" ca="1">IFERROR(F38/F$33,"N/A")</f>
        <v>0</v>
      </c>
      <c r="G48" s="377">
        <f ca="1">IFERROR(G38/G$33,"N/A")</f>
      </c>
      <c r="H48" s="377">
        <f ca="1">IFERROR(H38/H$33,"N/A")</f>
      </c>
      <c r="I48" s="377">
        <f ca="1">IFERROR(I38/I$33,"N/A")</f>
      </c>
      <c r="J48" s="378">
        <f ca="1">IFERROR(J38/J$33,"N/A")</f>
      </c>
      <c r="K48" s="377">
        <f ca="1">IFERROR(K38/K$33,"N/A")</f>
      </c>
      <c r="L48" s="377">
        <f ca="1">IFERROR(L38/L$33,"N/A")</f>
      </c>
      <c r="M48" s="377">
        <f ca="1">IFERROR(M38/M$33,"N/A")</f>
      </c>
      <c r="N48" s="377">
        <f ca="1">IFERROR(N38/N$33,"N/A")</f>
      </c>
      <c r="O48" s="378">
        <f ca="1">IFERROR(O38/O$33,"N/A")</f>
      </c>
      <c r="P48" s="377">
        <f ca="1">IFERROR(P38/P$33,"N/A")</f>
      </c>
      <c r="Q48" s="377">
        <f ca="1">IFERROR(Q38/Q$33,"N/A")</f>
      </c>
      <c r="R48" s="377">
        <f ca="1">IFERROR(R38/R$33,"N/A")</f>
      </c>
      <c r="S48" s="377">
        <f ca="1">IFERROR(S38/S$33,"N/A")</f>
      </c>
      <c r="T48" s="378">
        <f ca="1">IFERROR(T38/T$33,"N/A")</f>
      </c>
      <c r="U48" s="377">
        <f ca="1">IFERROR(U38/U$33,"N/A")</f>
      </c>
      <c r="V48" s="377">
        <f ca="1">IFERROR(V38/V$33,"N/A")</f>
      </c>
      <c r="W48" s="377">
        <f ca="1">IFERROR(W38/W$33,"N/A")</f>
      </c>
      <c r="X48" s="379">
        <f ca="1">IFERROR(X38/X$33,"N/A")</f>
      </c>
      <c r="Y48" s="378">
        <f ca="1">IFERROR(Y38/Y$33,"N/A")</f>
      </c>
      <c r="Z48" s="379">
        <f ca="1">IFERROR(Z38/Z$33,"N/A")</f>
      </c>
      <c r="AA48" s="379">
        <f ca="1">IFERROR(AA38/AA$33,"N/A")</f>
      </c>
      <c r="AB48" s="379">
        <f ca="1">IFERROR(AB38/AB$33,"N/A")</f>
      </c>
      <c r="AC48" s="379">
        <f ca="1">IFERROR(AC38/AC$33,"N/A")</f>
      </c>
      <c r="AD48" s="378">
        <f ca="1">IFERROR(AD38/AD$33,"N/A")</f>
      </c>
      <c r="AE48" s="378">
        <f ca="1">IFERROR(AE38/AE$33,"N/A")</f>
      </c>
      <c r="AF48" s="378">
        <f ca="1">IFERROR(AF38/AF$33,"N/A")</f>
      </c>
      <c r="AG48" s="378">
        <f ca="1">IFERROR(AG38/AG$33,"N/A")</f>
      </c>
    </row>
    <row r="49" ht="14.25" customHeight="1" spans="1:33" x14ac:dyDescent="0.25">
      <c r="C49" s="139" t="str">
        <f ca="1">C21</f>
        <v>Segment 6</v>
      </c>
      <c r="D49" s="16"/>
      <c r="E49" s="16"/>
      <c r="F49" s="377">
        <f t="shared" ref="F49:AG49" si="50" ca="1">IFERROR(F39/F$33,"N/A")</f>
        <v>0</v>
      </c>
      <c r="G49" s="377">
        <f ca="1">IFERROR(G39/G$33,"N/A")</f>
      </c>
      <c r="H49" s="377">
        <f ca="1">IFERROR(H39/H$33,"N/A")</f>
      </c>
      <c r="I49" s="377">
        <f ca="1">IFERROR(I39/I$33,"N/A")</f>
      </c>
      <c r="J49" s="378">
        <f ca="1">IFERROR(J39/J$33,"N/A")</f>
      </c>
      <c r="K49" s="377">
        <f ca="1">IFERROR(K39/K$33,"N/A")</f>
      </c>
      <c r="L49" s="377">
        <f ca="1">IFERROR(L39/L$33,"N/A")</f>
      </c>
      <c r="M49" s="377">
        <f ca="1">IFERROR(M39/M$33,"N/A")</f>
      </c>
      <c r="N49" s="377">
        <f ca="1">IFERROR(N39/N$33,"N/A")</f>
      </c>
      <c r="O49" s="378">
        <f ca="1">IFERROR(O39/O$33,"N/A")</f>
      </c>
      <c r="P49" s="377">
        <f ca="1">IFERROR(P39/P$33,"N/A")</f>
      </c>
      <c r="Q49" s="377">
        <f ca="1">IFERROR(Q39/Q$33,"N/A")</f>
      </c>
      <c r="R49" s="377">
        <f ca="1">IFERROR(R39/R$33,"N/A")</f>
      </c>
      <c r="S49" s="377">
        <f ca="1">IFERROR(S39/S$33,"N/A")</f>
      </c>
      <c r="T49" s="378">
        <f ca="1">IFERROR(T39/T$33,"N/A")</f>
      </c>
      <c r="U49" s="377">
        <f ca="1">IFERROR(U39/U$33,"N/A")</f>
      </c>
      <c r="V49" s="377">
        <f ca="1">IFERROR(V39/V$33,"N/A")</f>
      </c>
      <c r="W49" s="377">
        <f ca="1">IFERROR(W39/W$33,"N/A")</f>
      </c>
      <c r="X49" s="379">
        <f ca="1">IFERROR(X39/X$33,"N/A")</f>
      </c>
      <c r="Y49" s="378">
        <f ca="1">IFERROR(Y39/Y$33,"N/A")</f>
      </c>
      <c r="Z49" s="379">
        <f ca="1">IFERROR(Z39/Z$33,"N/A")</f>
      </c>
      <c r="AA49" s="379">
        <f ca="1">IFERROR(AA39/AA$33,"N/A")</f>
      </c>
      <c r="AB49" s="379">
        <f ca="1">IFERROR(AB39/AB$33,"N/A")</f>
      </c>
      <c r="AC49" s="379">
        <f ca="1">IFERROR(AC39/AC$33,"N/A")</f>
      </c>
      <c r="AD49" s="378">
        <f ca="1">IFERROR(AD39/AD$33,"N/A")</f>
      </c>
      <c r="AE49" s="378">
        <f ca="1">IFERROR(AE39/AE$33,"N/A")</f>
      </c>
      <c r="AF49" s="378">
        <f ca="1">IFERROR(AF39/AF$33,"N/A")</f>
      </c>
      <c r="AG49" s="378">
        <f ca="1">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462</v>
      </c>
      <c r="D51" s="16"/>
      <c r="E51" s="16"/>
      <c r="F51" s="317">
        <f t="shared" ref="F51:W51" si="51" ca="1">SUM(F52:F57)</f>
        <v>1e-12</v>
      </c>
      <c r="G51" s="317">
        <f ca="1">SUM(G52:G57)</f>
        <v>1e-12</v>
      </c>
      <c r="H51" s="317">
        <f ca="1">SUM(H52:H57)</f>
        <v>1e-12</v>
      </c>
      <c r="I51" s="317">
        <f ca="1">SUM(I52:I57)</f>
        <v>1e-12</v>
      </c>
      <c r="J51" s="287">
        <f ca="1">SUM(J52:J57)</f>
        <v>1e-12</v>
      </c>
      <c r="K51" s="317">
        <f ca="1">SUM(K52:K57)</f>
        <v>1e-12</v>
      </c>
      <c r="L51" s="317">
        <f ca="1">SUM(L52:L57)</f>
        <v>1e-12</v>
      </c>
      <c r="M51" s="317">
        <f ca="1">SUM(M52:M57)</f>
        <v>1e-12</v>
      </c>
      <c r="N51" s="317">
        <f ca="1">SUM(N52:N57)</f>
        <v>1e-12</v>
      </c>
      <c r="O51" s="287">
        <f ca="1">SUM(O52:O57)</f>
        <v>1e-12</v>
      </c>
      <c r="P51" s="317">
        <f ca="1">SUM(P52:P57)</f>
        <v>1e-12</v>
      </c>
      <c r="Q51" s="317">
        <f ca="1">SUM(Q52:Q57)</f>
        <v>1e-12</v>
      </c>
      <c r="R51" s="317">
        <f ca="1">SUM(R52:R57)</f>
        <v>1e-12</v>
      </c>
      <c r="S51" s="317">
        <f ca="1">SUM(S52:S57)</f>
        <v>1e-12</v>
      </c>
      <c r="T51" s="287">
        <f ca="1">SUM(T52:T57)</f>
        <v>1e-12</v>
      </c>
      <c r="U51" s="473">
        <f ca="1">SUM(U52:U57)</f>
        <v>1e-12</v>
      </c>
      <c r="V51" s="473">
        <f ca="1">SUM(V52:V57)</f>
        <v>409</v>
      </c>
      <c r="W51" s="317">
        <f ca="1">SUM(W52:W57)</f>
        <v>425</v>
      </c>
      <c r="X51" s="486">
        <f ca="1">Model!X76</f>
        <v>331.18750000000006</v>
      </c>
      <c r="Y51" s="287">
        <f ca="1">SUM(Y52:Y57)</f>
        <v>1556.1875</v>
      </c>
      <c r="Z51" s="486">
        <f ca="1">Model!Z76</f>
        <v>331.86891850000006</v>
      </c>
      <c r="AA51" s="486">
        <f ca="1">Model!AA76</f>
        <v>336.85146518625004</v>
      </c>
      <c r="AB51" s="486">
        <f ca="1">Model!AB76</f>
        <v>342.23237867969067</v>
      </c>
      <c r="AC51" s="486">
        <f ca="1">Model!AC76</f>
        <v>343.91086566405204</v>
      </c>
      <c r="AD51" s="287">
        <f ca="1">SUM(AD52:AD57)</f>
        <v>1354.863628029993</v>
      </c>
      <c r="AE51" s="285">
        <f ca="1">Model!AE76</f>
        <v>1420.1551602334257</v>
      </c>
      <c r="AF51" s="285">
        <f ca="1">Model!AF76</f>
        <v>1472.475831890681</v>
      </c>
      <c r="AG51" s="285">
        <f ca="1">Model!AG76</f>
        <v>1524.1208520524956</v>
      </c>
    </row>
    <row r="52" ht="14.25" customHeight="1" spans="1:33" x14ac:dyDescent="0.25">
      <c r="C52" s="139" t="s">
        <v>446</v>
      </c>
      <c r="D52" s="16"/>
      <c r="E52" s="16"/>
      <c r="F52" s="469">
        <v>0</v>
      </c>
      <c r="G52" s="469">
        <v>0</v>
      </c>
      <c r="H52" s="469">
        <v>0</v>
      </c>
      <c r="I52" s="469">
        <v>0</v>
      </c>
      <c r="J52" s="487">
        <f t="shared" ref="J52:J57" si="52" ca="1">SUM(F52:I52)</f>
        <v>1e-12</v>
      </c>
      <c r="K52" s="469">
        <v>0</v>
      </c>
      <c r="L52" s="469">
        <v>0</v>
      </c>
      <c r="M52" s="469">
        <v>0</v>
      </c>
      <c r="N52" s="469">
        <v>0</v>
      </c>
      <c r="O52" s="487">
        <f t="shared" ref="O52:O57" si="53" ca="1">SUM(K52:N52)</f>
        <v>1e-12</v>
      </c>
      <c r="P52" s="469">
        <v>0</v>
      </c>
      <c r="Q52" s="469">
        <v>0</v>
      </c>
      <c r="R52" s="469">
        <v>0</v>
      </c>
      <c r="S52" s="469">
        <v>0</v>
      </c>
      <c r="T52" s="487">
        <f t="shared" ref="T52:T57" si="54" ca="1">SUM(P52:S52)</f>
        <v>1e-12</v>
      </c>
      <c r="U52" s="469">
        <v>0</v>
      </c>
      <c r="V52" s="469">
        <v>409</v>
      </c>
      <c r="W52" s="469">
        <v>425</v>
      </c>
      <c r="X52" s="488">
        <f t="shared" ref="X52:X57" si="55" ca="1">X62*X$51</f>
        <v>331.18750000000006</v>
      </c>
      <c r="Y52" s="470">
        <f t="shared" ref="Y52:Y57" si="56" ca="1">SUM(U52:X52)</f>
        <v>1556.1875</v>
      </c>
      <c r="Z52" s="488">
        <f t="shared" ref="Z52:AC52" si="57" ca="1">Z62*Z$51</f>
        <v>331.86891850000006</v>
      </c>
      <c r="AA52" s="488">
        <f ca="1">AA62*AA$51</f>
        <v>336.85146518625004</v>
      </c>
      <c r="AB52" s="488">
        <f ca="1">AB62*AB$51</f>
        <v>342.23237867969067</v>
      </c>
      <c r="AC52" s="488">
        <f ca="1">AC62*AC$51</f>
        <v>343.91086566405204</v>
      </c>
      <c r="AD52" s="470">
        <f t="shared" ref="AD52:AD57" si="58" ca="1">SUM(Z52:AC52)</f>
        <v>1354.863628029993</v>
      </c>
      <c r="AE52" s="470">
        <f t="shared" ref="AE52:AG52" si="59" ca="1">AE62*AE$51</f>
        <v>1420.1551602334257</v>
      </c>
      <c r="AF52" s="470">
        <f ca="1">AF62*AF$51</f>
        <v>1472.475831890681</v>
      </c>
      <c r="AG52" s="470">
        <f ca="1">AG62*AG$51</f>
        <v>1524.1208520524956</v>
      </c>
    </row>
    <row r="53" ht="14.25" customHeight="1" spans="1:33" x14ac:dyDescent="0.25">
      <c r="C53" s="139" t="s">
        <v>446</v>
      </c>
      <c r="D53" s="16"/>
      <c r="E53" s="16"/>
      <c r="F53" s="469">
        <v>0</v>
      </c>
      <c r="G53" s="469">
        <v>0</v>
      </c>
      <c r="H53" s="469">
        <v>0</v>
      </c>
      <c r="I53" s="469">
        <v>0</v>
      </c>
      <c r="J53" s="487">
        <f ca="1">SUM(F53:I53)</f>
        <v>1e-12</v>
      </c>
      <c r="K53" s="469">
        <v>0</v>
      </c>
      <c r="L53" s="469">
        <v>0</v>
      </c>
      <c r="M53" s="469">
        <v>0</v>
      </c>
      <c r="N53" s="469">
        <v>0</v>
      </c>
      <c r="O53" s="487">
        <f ca="1">SUM(K53:N53)</f>
        <v>1e-12</v>
      </c>
      <c r="P53" s="469">
        <v>0</v>
      </c>
      <c r="Q53" s="469">
        <v>0</v>
      </c>
      <c r="R53" s="469">
        <v>0</v>
      </c>
      <c r="S53" s="469">
        <v>0</v>
      </c>
      <c r="T53" s="487">
        <f ca="1">SUM(P53:S53)</f>
        <v>1e-12</v>
      </c>
      <c r="U53" s="469">
        <v>0</v>
      </c>
      <c r="V53" s="469">
        <v>0</v>
      </c>
      <c r="W53" s="469">
        <v>0</v>
      </c>
      <c r="X53" s="488">
        <f ca="1">X63*X$51</f>
        <v>1e-12</v>
      </c>
      <c r="Y53" s="470">
        <f ca="1">SUM(U53:X53)</f>
        <v>1e-12</v>
      </c>
      <c r="Z53" s="488">
        <f t="shared" ref="Z53:AC53" si="60" ca="1">Z63*Z$51</f>
        <v>1e-12</v>
      </c>
      <c r="AA53" s="488">
        <f ca="1">AA63*AA$51</f>
        <v>1e-12</v>
      </c>
      <c r="AB53" s="488">
        <f ca="1">AB63*AB$51</f>
        <v>1e-12</v>
      </c>
      <c r="AC53" s="488">
        <f ca="1">AC63*AC$51</f>
        <v>1e-12</v>
      </c>
      <c r="AD53" s="470">
        <f ca="1">SUM(Z53:AC53)</f>
        <v>1e-12</v>
      </c>
      <c r="AE53" s="470">
        <f t="shared" ref="AE53:AG53" si="61" ca="1">AE63*AE$51</f>
        <v>1e-12</v>
      </c>
      <c r="AF53" s="470">
        <f ca="1">AF63*AF$51</f>
        <v>1e-12</v>
      </c>
      <c r="AG53" s="470">
        <f ca="1">AG63*AG$51</f>
        <v>1e-12</v>
      </c>
    </row>
    <row r="54" ht="14.25" customHeight="1" spans="1:33" x14ac:dyDescent="0.25">
      <c r="C54" s="139" t="s">
        <v>446</v>
      </c>
      <c r="D54" s="16"/>
      <c r="E54" s="16"/>
      <c r="F54" s="469">
        <v>0</v>
      </c>
      <c r="G54" s="469">
        <v>0</v>
      </c>
      <c r="H54" s="469">
        <v>0</v>
      </c>
      <c r="I54" s="469">
        <v>0</v>
      </c>
      <c r="J54" s="487">
        <f ca="1">SUM(F54:I54)</f>
        <v>1e-12</v>
      </c>
      <c r="K54" s="469">
        <v>0</v>
      </c>
      <c r="L54" s="469">
        <v>0</v>
      </c>
      <c r="M54" s="469">
        <v>0</v>
      </c>
      <c r="N54" s="469">
        <v>0</v>
      </c>
      <c r="O54" s="487">
        <f ca="1">SUM(K54:N54)</f>
        <v>1e-12</v>
      </c>
      <c r="P54" s="469">
        <v>0</v>
      </c>
      <c r="Q54" s="469">
        <v>0</v>
      </c>
      <c r="R54" s="469">
        <v>0</v>
      </c>
      <c r="S54" s="469">
        <v>0</v>
      </c>
      <c r="T54" s="487">
        <f ca="1">SUM(P54:S54)</f>
        <v>1e-12</v>
      </c>
      <c r="U54" s="469">
        <v>0</v>
      </c>
      <c r="V54" s="469">
        <v>0</v>
      </c>
      <c r="W54" s="469">
        <v>0</v>
      </c>
      <c r="X54" s="488">
        <f ca="1">X64*X$51</f>
        <v>1e-12</v>
      </c>
      <c r="Y54" s="470">
        <f ca="1">SUM(U54:X54)</f>
        <v>1e-12</v>
      </c>
      <c r="Z54" s="488">
        <f t="shared" ref="Z54:AC54" si="62" ca="1">Z64*Z$51</f>
        <v>1e-12</v>
      </c>
      <c r="AA54" s="488">
        <f ca="1">AA64*AA$51</f>
        <v>1e-12</v>
      </c>
      <c r="AB54" s="488">
        <f ca="1">AB64*AB$51</f>
        <v>1e-12</v>
      </c>
      <c r="AC54" s="488">
        <f ca="1">AC64*AC$51</f>
        <v>1e-12</v>
      </c>
      <c r="AD54" s="470">
        <f ca="1">SUM(Z54:AC54)</f>
        <v>1e-12</v>
      </c>
      <c r="AE54" s="470">
        <f t="shared" ref="AE54:AG54" si="63" ca="1">AE64*AE$51</f>
        <v>1e-12</v>
      </c>
      <c r="AF54" s="470">
        <f ca="1">AF64*AF$51</f>
        <v>1e-12</v>
      </c>
      <c r="AG54" s="470">
        <f ca="1">AG64*AG$51</f>
        <v>1e-12</v>
      </c>
    </row>
    <row r="55" ht="14.25" customHeight="1" spans="1:33" x14ac:dyDescent="0.25">
      <c r="C55" s="139" t="s">
        <v>446</v>
      </c>
      <c r="D55" s="16"/>
      <c r="E55" s="16"/>
      <c r="F55" s="469">
        <v>0</v>
      </c>
      <c r="G55" s="469">
        <v>0</v>
      </c>
      <c r="H55" s="469">
        <v>0</v>
      </c>
      <c r="I55" s="469">
        <v>0</v>
      </c>
      <c r="J55" s="487">
        <f ca="1">SUM(F55:I55)</f>
        <v>1e-12</v>
      </c>
      <c r="K55" s="469">
        <v>0</v>
      </c>
      <c r="L55" s="469">
        <v>0</v>
      </c>
      <c r="M55" s="469">
        <v>0</v>
      </c>
      <c r="N55" s="469">
        <v>0</v>
      </c>
      <c r="O55" s="487">
        <f ca="1">SUM(K55:N55)</f>
        <v>1e-12</v>
      </c>
      <c r="P55" s="469">
        <v>0</v>
      </c>
      <c r="Q55" s="469">
        <v>0</v>
      </c>
      <c r="R55" s="469">
        <v>0</v>
      </c>
      <c r="S55" s="469">
        <v>0</v>
      </c>
      <c r="T55" s="487">
        <f ca="1">SUM(P55:S55)</f>
        <v>1e-12</v>
      </c>
      <c r="U55" s="469">
        <v>0</v>
      </c>
      <c r="V55" s="469">
        <v>0</v>
      </c>
      <c r="W55" s="469">
        <v>0</v>
      </c>
      <c r="X55" s="488">
        <f ca="1">X65*X$51</f>
        <v>1e-12</v>
      </c>
      <c r="Y55" s="470">
        <f ca="1">SUM(U55:X55)</f>
        <v>1e-12</v>
      </c>
      <c r="Z55" s="488">
        <f t="shared" ref="Z55:AC55" si="64" ca="1">Z65*Z$51</f>
        <v>1e-12</v>
      </c>
      <c r="AA55" s="488">
        <f ca="1">AA65*AA$51</f>
        <v>1e-12</v>
      </c>
      <c r="AB55" s="488">
        <f ca="1">AB65*AB$51</f>
        <v>1e-12</v>
      </c>
      <c r="AC55" s="488">
        <f ca="1">AC65*AC$51</f>
        <v>1e-12</v>
      </c>
      <c r="AD55" s="470">
        <f ca="1">SUM(Z55:AC55)</f>
        <v>1e-12</v>
      </c>
      <c r="AE55" s="470">
        <f t="shared" ref="AE55:AG55" si="65" ca="1">AE65*AE$51</f>
        <v>1e-12</v>
      </c>
      <c r="AF55" s="470">
        <f ca="1">AF65*AF$51</f>
        <v>1e-12</v>
      </c>
      <c r="AG55" s="470">
        <f ca="1">AG65*AG$51</f>
        <v>1e-12</v>
      </c>
    </row>
    <row r="56" ht="14.25" customHeight="1" spans="1:33" x14ac:dyDescent="0.25" outlineLevel="1">
      <c r="C56" s="139" t="s">
        <v>446</v>
      </c>
      <c r="D56" s="16"/>
      <c r="E56" s="16"/>
      <c r="F56" s="469">
        <v>0</v>
      </c>
      <c r="G56" s="469">
        <v>0</v>
      </c>
      <c r="H56" s="469">
        <v>0</v>
      </c>
      <c r="I56" s="469">
        <v>0</v>
      </c>
      <c r="J56" s="487">
        <f ca="1">SUM(F56:I56)</f>
        <v>1e-12</v>
      </c>
      <c r="K56" s="469">
        <v>0</v>
      </c>
      <c r="L56" s="469">
        <v>0</v>
      </c>
      <c r="M56" s="469">
        <v>0</v>
      </c>
      <c r="N56" s="469">
        <v>0</v>
      </c>
      <c r="O56" s="487">
        <f ca="1">SUM(K56:N56)</f>
        <v>1e-12</v>
      </c>
      <c r="P56" s="469">
        <v>0</v>
      </c>
      <c r="Q56" s="469">
        <v>0</v>
      </c>
      <c r="R56" s="469">
        <v>0</v>
      </c>
      <c r="S56" s="469">
        <v>0</v>
      </c>
      <c r="T56" s="487">
        <f ca="1">SUM(P56:S56)</f>
        <v>1e-12</v>
      </c>
      <c r="U56" s="469">
        <v>0</v>
      </c>
      <c r="V56" s="469">
        <v>0</v>
      </c>
      <c r="W56" s="469">
        <v>0</v>
      </c>
      <c r="X56" s="488">
        <f ca="1">X66*X$51</f>
        <v>1e-12</v>
      </c>
      <c r="Y56" s="470">
        <f ca="1">SUM(U56:X56)</f>
        <v>1e-12</v>
      </c>
      <c r="Z56" s="488">
        <f t="shared" ref="Z56:AC56" si="66" ca="1">Z66*Z$51</f>
        <v>1e-12</v>
      </c>
      <c r="AA56" s="488">
        <f ca="1">AA66*AA$51</f>
        <v>1e-12</v>
      </c>
      <c r="AB56" s="488">
        <f ca="1">AB66*AB$51</f>
        <v>1e-12</v>
      </c>
      <c r="AC56" s="488">
        <f ca="1">AC66*AC$51</f>
        <v>1e-12</v>
      </c>
      <c r="AD56" s="470">
        <f ca="1">SUM(Z56:AC56)</f>
        <v>1e-12</v>
      </c>
      <c r="AE56" s="470">
        <f t="shared" ref="AE56:AG56" si="67" ca="1">AE66*AE$51</f>
        <v>1e-12</v>
      </c>
      <c r="AF56" s="470">
        <f ca="1">AF66*AF$51</f>
        <v>1e-12</v>
      </c>
      <c r="AG56" s="470">
        <f ca="1">AG66*AG$51</f>
        <v>1e-12</v>
      </c>
    </row>
    <row r="57" ht="14.25" customHeight="1" spans="1:33" x14ac:dyDescent="0.25" outlineLevel="1">
      <c r="C57" s="139" t="s">
        <v>446</v>
      </c>
      <c r="D57" s="16"/>
      <c r="E57" s="16"/>
      <c r="F57" s="469">
        <v>0</v>
      </c>
      <c r="G57" s="469">
        <v>0</v>
      </c>
      <c r="H57" s="469">
        <v>0</v>
      </c>
      <c r="I57" s="469">
        <v>0</v>
      </c>
      <c r="J57" s="487">
        <f ca="1">SUM(F57:I57)</f>
        <v>1e-12</v>
      </c>
      <c r="K57" s="469">
        <v>0</v>
      </c>
      <c r="L57" s="469">
        <v>0</v>
      </c>
      <c r="M57" s="469">
        <v>0</v>
      </c>
      <c r="N57" s="469">
        <v>0</v>
      </c>
      <c r="O57" s="487">
        <f ca="1">SUM(K57:N57)</f>
        <v>1e-12</v>
      </c>
      <c r="P57" s="469">
        <v>0</v>
      </c>
      <c r="Q57" s="469">
        <v>0</v>
      </c>
      <c r="R57" s="469">
        <v>0</v>
      </c>
      <c r="S57" s="469">
        <v>0</v>
      </c>
      <c r="T57" s="487">
        <f ca="1">SUM(P57:S57)</f>
        <v>1e-12</v>
      </c>
      <c r="U57" s="469">
        <v>0</v>
      </c>
      <c r="V57" s="469">
        <v>0</v>
      </c>
      <c r="W57" s="469">
        <v>0</v>
      </c>
      <c r="X57" s="488">
        <f ca="1">X67*X$51</f>
        <v>1e-12</v>
      </c>
      <c r="Y57" s="470">
        <f ca="1">SUM(U57:X57)</f>
        <v>1e-12</v>
      </c>
      <c r="Z57" s="488">
        <f t="shared" ref="Z57:AC57" si="68" ca="1">Z67*Z$51</f>
        <v>1e-12</v>
      </c>
      <c r="AA57" s="488">
        <f ca="1">AA67*AA$51</f>
        <v>1e-12</v>
      </c>
      <c r="AB57" s="488">
        <f ca="1">AB67*AB$51</f>
        <v>1e-12</v>
      </c>
      <c r="AC57" s="488">
        <f ca="1">AC67*AC$51</f>
        <v>1e-12</v>
      </c>
      <c r="AD57" s="470">
        <f ca="1">SUM(Z57:AC57)</f>
        <v>1e-12</v>
      </c>
      <c r="AE57" s="470">
        <f t="shared" ref="AE57:AG57" si="69" ca="1">AE67*AE$51</f>
        <v>1e-12</v>
      </c>
      <c r="AF57" s="470">
        <f ca="1">AF67*AF$51</f>
        <v>1e-12</v>
      </c>
      <c r="AG57" s="470">
        <f ca="1">AG67*AG$51</f>
        <v>1e-12</v>
      </c>
    </row>
    <row r="58" ht="14.25" customHeight="1" spans="1:33" x14ac:dyDescent="0.25">
      <c r="C58" s="139"/>
      <c r="D58" s="16"/>
      <c r="E58" s="16"/>
      <c r="F58" s="473"/>
      <c r="G58" s="473"/>
      <c r="H58" s="473"/>
      <c r="I58" s="473"/>
      <c r="J58" s="478">
        <f ca="1">SUM(F58:I58)</f>
        <v>1e-12</v>
      </c>
      <c r="K58" s="473"/>
      <c r="L58" s="473"/>
      <c r="M58" s="473"/>
      <c r="N58" s="473"/>
      <c r="O58" s="470">
        <f ca="1">SUM(K58:N58)</f>
        <v>1e-12</v>
      </c>
      <c r="P58" s="473"/>
      <c r="Q58" s="473"/>
      <c r="R58" s="473"/>
      <c r="S58" s="483"/>
      <c r="T58" s="378">
        <f ca="1">SUM(P58:S58)</f>
        <v>1e-12</v>
      </c>
      <c r="U58" s="483"/>
      <c r="V58" s="319"/>
      <c r="W58" s="473"/>
      <c r="X58" s="480"/>
      <c r="Y58" s="470"/>
      <c r="Z58" s="485"/>
      <c r="AA58" s="485"/>
      <c r="AB58" s="485"/>
      <c r="AC58" s="379"/>
      <c r="AD58" s="378"/>
      <c r="AE58" s="378"/>
      <c r="AF58" s="378"/>
      <c r="AG58" s="378"/>
    </row>
    <row r="59" ht="14.25" customHeight="1" spans="1:33" x14ac:dyDescent="0.25">
      <c r="C59" s="120" t="s">
        <v>463</v>
      </c>
      <c r="D59" s="16"/>
      <c r="E59" s="16"/>
      <c r="F59" s="489">
        <f ca="1">F51-Model!F60</f>
        <v>0</v>
      </c>
      <c r="G59" s="489">
        <f ca="1">G51-Model!G60</f>
        <v>0</v>
      </c>
      <c r="H59" s="489">
        <f ca="1">H51-Model!H60</f>
        <v>0</v>
      </c>
      <c r="I59" s="489">
        <f ca="1">I51-Model!I60</f>
        <v>0</v>
      </c>
      <c r="J59" s="484">
        <f ca="1">J51-Model!J60</f>
        <v>0</v>
      </c>
      <c r="K59" s="489">
        <f ca="1">K51-Model!K60</f>
        <v>0</v>
      </c>
      <c r="L59" s="489">
        <f ca="1">L51-Model!L60</f>
        <v>0</v>
      </c>
      <c r="M59" s="489">
        <f ca="1">M51-Model!M60</f>
        <v>0</v>
      </c>
      <c r="N59" s="489">
        <f ca="1">N51-Model!N60</f>
        <v>0</v>
      </c>
      <c r="O59" s="484">
        <f ca="1">O51-Model!O60</f>
        <v>0</v>
      </c>
      <c r="P59" s="489">
        <f ca="1">P51-Model!P60</f>
        <v>0</v>
      </c>
      <c r="Q59" s="489">
        <f ca="1">Q51-Model!Q60</f>
        <v>0</v>
      </c>
      <c r="R59" s="489">
        <f ca="1">R51-Model!R60</f>
        <v>0</v>
      </c>
      <c r="S59" s="489">
        <f ca="1">S51-Model!S60</f>
        <v>0</v>
      </c>
      <c r="T59" s="484">
        <f ca="1">T51-Model!T60</f>
        <v>0</v>
      </c>
      <c r="U59" s="489">
        <f ca="1">U51-Model!U60</f>
        <v>0</v>
      </c>
      <c r="V59" s="489">
        <f ca="1">V51-Model!V60</f>
        <v>0</v>
      </c>
      <c r="W59" s="489">
        <f ca="1">W51-Model!W60</f>
        <v>0</v>
      </c>
      <c r="X59" s="490">
        <f t="shared" ref="X59:AG59" si="70" ca="1">X51-SUM(X52:X57)</f>
        <v>1e-12</v>
      </c>
      <c r="Y59" s="484">
        <f ca="1">Y51-SUM(Y52:Y57)</f>
        <v>1e-12</v>
      </c>
      <c r="Z59" s="490">
        <f ca="1">Z51-SUM(Z52:Z57)</f>
        <v>1e-12</v>
      </c>
      <c r="AA59" s="490">
        <f ca="1">AA51-SUM(AA52:AA57)</f>
        <v>1e-12</v>
      </c>
      <c r="AB59" s="490">
        <f ca="1">AB51-SUM(AB52:AB57)</f>
        <v>1e-12</v>
      </c>
      <c r="AC59" s="490">
        <f ca="1">AC51-SUM(AC52:AC57)</f>
        <v>1e-12</v>
      </c>
      <c r="AD59" s="484">
        <f ca="1">AD51-SUM(AD52:AD57)</f>
        <v>1e-12</v>
      </c>
      <c r="AE59" s="484">
        <f ca="1">AE51-SUM(AE52:AE57)</f>
        <v>1e-12</v>
      </c>
      <c r="AF59" s="484">
        <f ca="1">AF51-SUM(AF52:AF57)</f>
        <v>1e-12</v>
      </c>
      <c r="AG59" s="484">
        <f ca="1">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464</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1" ca="1">C16</f>
        <v>Home Improvement Retail</v>
      </c>
      <c r="D62" s="16"/>
      <c r="E62" s="16"/>
      <c r="F62" s="377">
        <f t="shared" ref="F62:W62" si="72" ca="1">IFERROR(F52/F$51,"N/A")</f>
        <v>1</v>
      </c>
      <c r="G62" s="377">
        <f ca="1">IFERROR(G52/G$51,"N/A")</f>
        <v>1</v>
      </c>
      <c r="H62" s="377">
        <f ca="1">IFERROR(H52/H$51,"N/A")</f>
        <v>1</v>
      </c>
      <c r="I62" s="377">
        <f ca="1">IFERROR(I52/I$51,"N/A")</f>
        <v>1</v>
      </c>
      <c r="J62" s="378">
        <f ca="1">IFERROR(J52/J$51,"N/A")</f>
        <v>1</v>
      </c>
      <c r="K62" s="377">
        <f ca="1">IFERROR(K52/K$51,"N/A")</f>
        <v>1</v>
      </c>
      <c r="L62" s="377">
        <f ca="1">IFERROR(L52/L$51,"N/A")</f>
        <v>1</v>
      </c>
      <c r="M62" s="377">
        <f ca="1">IFERROR(M52/M$51,"N/A")</f>
        <v>1</v>
      </c>
      <c r="N62" s="377">
        <f ca="1">IFERROR(N52/N$51,"N/A")</f>
        <v>1</v>
      </c>
      <c r="O62" s="378">
        <f ca="1">IFERROR(O52/O$51,"N/A")</f>
        <v>1</v>
      </c>
      <c r="P62" s="377">
        <f ca="1">IFERROR(P52/P$51,"N/A")</f>
        <v>1</v>
      </c>
      <c r="Q62" s="377">
        <f ca="1">IFERROR(Q52/Q$51,"N/A")</f>
        <v>1</v>
      </c>
      <c r="R62" s="377">
        <f ca="1">IFERROR(R52/R$51,"N/A")</f>
        <v>1</v>
      </c>
      <c r="S62" s="377">
        <f ca="1">IFERROR(S52/S$51,"N/A")</f>
        <v>1</v>
      </c>
      <c r="T62" s="378">
        <f ca="1">IFERROR(T52/T$51,"N/A")</f>
        <v>1</v>
      </c>
      <c r="U62" s="377">
        <f ca="1">IFERROR(U52/U$51,"N/A")</f>
        <v>1</v>
      </c>
      <c r="V62" s="377">
        <f ca="1">IFERROR(V52/V$51,"N/A")</f>
        <v>1</v>
      </c>
      <c r="W62" s="377">
        <f ca="1">IFERROR(W52/W$51,"N/A")</f>
        <v>1</v>
      </c>
      <c r="X62" s="380">
        <f ca="1">Drivers!X78</f>
        <v>1</v>
      </c>
      <c r="Y62" s="492">
        <f t="shared" ref="Y62:Y67" si="73" ca="1">Y52/Y$51</f>
        <v>1</v>
      </c>
      <c r="Z62" s="380">
        <f ca="1">Drivers!Z78</f>
        <v>1</v>
      </c>
      <c r="AA62" s="380">
        <f ca="1">Drivers!AA78</f>
        <v>1</v>
      </c>
      <c r="AB62" s="380">
        <f ca="1">Drivers!AB78</f>
        <v>1</v>
      </c>
      <c r="AC62" s="380">
        <f ca="1">Drivers!AC78</f>
        <v>1</v>
      </c>
      <c r="AD62" s="492">
        <f t="shared" ref="AD62:AD67" si="74" ca="1">AD52/AD$51</f>
        <v>1</v>
      </c>
      <c r="AE62" s="381">
        <f ca="1">Drivers!AE78</f>
        <v>1</v>
      </c>
      <c r="AF62" s="381">
        <f ca="1">Drivers!AF78</f>
        <v>1</v>
      </c>
      <c r="AG62" s="381">
        <f ca="1">Drivers!AG78</f>
        <v>1</v>
      </c>
    </row>
    <row r="63" ht="14.25" customHeight="1" spans="1:33" x14ac:dyDescent="0.25">
      <c r="C63" s="491" t="str">
        <f ca="1">C17</f>
        <v>Segment 2</v>
      </c>
      <c r="D63" s="16"/>
      <c r="E63" s="16"/>
      <c r="F63" s="377">
        <f t="shared" ref="F63:W63" si="75" ca="1">IFERROR(F53/F$51,"N/A")</f>
        <v>0</v>
      </c>
      <c r="G63" s="377">
        <f ca="1">IFERROR(G53/G$51,"N/A")</f>
      </c>
      <c r="H63" s="377">
        <f ca="1">IFERROR(H53/H$51,"N/A")</f>
      </c>
      <c r="I63" s="377">
        <f ca="1">IFERROR(I53/I$51,"N/A")</f>
      </c>
      <c r="J63" s="378">
        <f ca="1">IFERROR(J53/J$51,"N/A")</f>
      </c>
      <c r="K63" s="377">
        <f ca="1">IFERROR(K53/K$51,"N/A")</f>
      </c>
      <c r="L63" s="377">
        <f ca="1">IFERROR(L53/L$51,"N/A")</f>
      </c>
      <c r="M63" s="377">
        <f ca="1">IFERROR(M53/M$51,"N/A")</f>
      </c>
      <c r="N63" s="377">
        <f ca="1">IFERROR(N53/N$51,"N/A")</f>
      </c>
      <c r="O63" s="378">
        <f ca="1">IFERROR(O53/O$51,"N/A")</f>
      </c>
      <c r="P63" s="377">
        <f ca="1">IFERROR(P53/P$51,"N/A")</f>
      </c>
      <c r="Q63" s="377">
        <f ca="1">IFERROR(Q53/Q$51,"N/A")</f>
      </c>
      <c r="R63" s="377">
        <f ca="1">IFERROR(R53/R$51,"N/A")</f>
      </c>
      <c r="S63" s="377">
        <f ca="1">IFERROR(S53/S$51,"N/A")</f>
      </c>
      <c r="T63" s="378">
        <f ca="1">IFERROR(T53/T$51,"N/A")</f>
      </c>
      <c r="U63" s="377">
        <f ca="1">IFERROR(U53/U$51,"N/A")</f>
      </c>
      <c r="V63" s="377">
        <f ca="1">IFERROR(V53/V$51,"N/A")</f>
      </c>
      <c r="W63" s="377">
        <f ca="1">IFERROR(W53/W$51,"N/A")</f>
      </c>
      <c r="X63" s="380">
        <f ca="1">Drivers!X79</f>
        <v>0</v>
      </c>
      <c r="Y63" s="492">
        <f ca="1">Y53/Y$51</f>
        <v>1e-12</v>
      </c>
      <c r="Z63" s="380">
        <f ca="1">Drivers!Z79</f>
        <v>0</v>
      </c>
      <c r="AA63" s="380">
        <f ca="1">Drivers!AA79</f>
        <v>0</v>
      </c>
      <c r="AB63" s="380">
        <f ca="1">Drivers!AB79</f>
        <v>0</v>
      </c>
      <c r="AC63" s="380">
        <f ca="1">Drivers!AC79</f>
        <v>0</v>
      </c>
      <c r="AD63" s="492">
        <f ca="1">AD53/AD$51</f>
        <v>1e-12</v>
      </c>
      <c r="AE63" s="381">
        <f ca="1">Drivers!AE79</f>
        <v>0</v>
      </c>
      <c r="AF63" s="381">
        <f ca="1">Drivers!AF79</f>
        <v>0</v>
      </c>
      <c r="AG63" s="381">
        <f ca="1">Drivers!AG79</f>
        <v>0</v>
      </c>
    </row>
    <row r="64" ht="14.25" customHeight="1" spans="1:33" x14ac:dyDescent="0.25">
      <c r="C64" s="491" t="str">
        <f ca="1">C18</f>
        <v>Segment 3</v>
      </c>
      <c r="D64" s="16"/>
      <c r="E64" s="16"/>
      <c r="F64" s="377">
        <f t="shared" ref="F64:W64" si="76" ca="1">IFERROR(F54/F$51,"N/A")</f>
        <v>0</v>
      </c>
      <c r="G64" s="377">
        <f ca="1">IFERROR(G54/G$51,"N/A")</f>
      </c>
      <c r="H64" s="377">
        <f ca="1">IFERROR(H54/H$51,"N/A")</f>
      </c>
      <c r="I64" s="377">
        <f ca="1">IFERROR(I54/I$51,"N/A")</f>
      </c>
      <c r="J64" s="378">
        <f ca="1">IFERROR(J54/J$51,"N/A")</f>
      </c>
      <c r="K64" s="377">
        <f ca="1">IFERROR(K54/K$51,"N/A")</f>
      </c>
      <c r="L64" s="377">
        <f ca="1">IFERROR(L54/L$51,"N/A")</f>
      </c>
      <c r="M64" s="377">
        <f ca="1">IFERROR(M54/M$51,"N/A")</f>
      </c>
      <c r="N64" s="377">
        <f ca="1">IFERROR(N54/N$51,"N/A")</f>
      </c>
      <c r="O64" s="378">
        <f ca="1">IFERROR(O54/O$51,"N/A")</f>
      </c>
      <c r="P64" s="377">
        <f ca="1">IFERROR(P54/P$51,"N/A")</f>
      </c>
      <c r="Q64" s="377">
        <f ca="1">IFERROR(Q54/Q$51,"N/A")</f>
      </c>
      <c r="R64" s="377">
        <f ca="1">IFERROR(R54/R$51,"N/A")</f>
      </c>
      <c r="S64" s="377">
        <f ca="1">IFERROR(S54/S$51,"N/A")</f>
      </c>
      <c r="T64" s="378">
        <f ca="1">IFERROR(T54/T$51,"N/A")</f>
      </c>
      <c r="U64" s="377">
        <f ca="1">IFERROR(U54/U$51,"N/A")</f>
      </c>
      <c r="V64" s="377">
        <f ca="1">IFERROR(V54/V$51,"N/A")</f>
      </c>
      <c r="W64" s="377">
        <f ca="1">IFERROR(W54/W$51,"N/A")</f>
      </c>
      <c r="X64" s="380">
        <f ca="1">Drivers!X80</f>
        <v>0</v>
      </c>
      <c r="Y64" s="492">
        <f ca="1">Y54/Y$51</f>
        <v>1e-12</v>
      </c>
      <c r="Z64" s="380">
        <f ca="1">Drivers!Z80</f>
        <v>0</v>
      </c>
      <c r="AA64" s="380">
        <f ca="1">Drivers!AA80</f>
        <v>0</v>
      </c>
      <c r="AB64" s="380">
        <f ca="1">Drivers!AB80</f>
        <v>0</v>
      </c>
      <c r="AC64" s="380">
        <f ca="1">Drivers!AC80</f>
        <v>0</v>
      </c>
      <c r="AD64" s="492">
        <f ca="1">AD54/AD$51</f>
        <v>1e-12</v>
      </c>
      <c r="AE64" s="381">
        <f ca="1">Drivers!AE80</f>
        <v>0</v>
      </c>
      <c r="AF64" s="381">
        <f ca="1">Drivers!AF80</f>
        <v>0</v>
      </c>
      <c r="AG64" s="381">
        <f ca="1">Drivers!AG80</f>
        <v>0</v>
      </c>
    </row>
    <row r="65" ht="14.25" customHeight="1" spans="1:33" x14ac:dyDescent="0.25">
      <c r="C65" s="491" t="str">
        <f ca="1">C19</f>
        <v>Segment 4</v>
      </c>
      <c r="D65" s="16"/>
      <c r="E65" s="16"/>
      <c r="F65" s="377">
        <f t="shared" ref="F65:W65" si="77" ca="1">IFERROR(F55/F$51,"N/A")</f>
        <v>0</v>
      </c>
      <c r="G65" s="377">
        <f ca="1">IFERROR(G55/G$51,"N/A")</f>
      </c>
      <c r="H65" s="377">
        <f ca="1">IFERROR(H55/H$51,"N/A")</f>
      </c>
      <c r="I65" s="377">
        <f ca="1">IFERROR(I55/I$51,"N/A")</f>
      </c>
      <c r="J65" s="378">
        <f ca="1">IFERROR(J55/J$51,"N/A")</f>
      </c>
      <c r="K65" s="377">
        <f ca="1">IFERROR(K55/K$51,"N/A")</f>
      </c>
      <c r="L65" s="377">
        <f ca="1">IFERROR(L55/L$51,"N/A")</f>
      </c>
      <c r="M65" s="377">
        <f ca="1">IFERROR(M55/M$51,"N/A")</f>
      </c>
      <c r="N65" s="377">
        <f ca="1">IFERROR(N55/N$51,"N/A")</f>
      </c>
      <c r="O65" s="378">
        <f ca="1">IFERROR(O55/O$51,"N/A")</f>
      </c>
      <c r="P65" s="377">
        <f ca="1">IFERROR(P55/P$51,"N/A")</f>
      </c>
      <c r="Q65" s="377">
        <f ca="1">IFERROR(Q55/Q$51,"N/A")</f>
      </c>
      <c r="R65" s="377">
        <f ca="1">IFERROR(R55/R$51,"N/A")</f>
      </c>
      <c r="S65" s="377">
        <f ca="1">IFERROR(S55/S$51,"N/A")</f>
      </c>
      <c r="T65" s="378">
        <f ca="1">IFERROR(T55/T$51,"N/A")</f>
      </c>
      <c r="U65" s="377">
        <f ca="1">IFERROR(U55/U$51,"N/A")</f>
      </c>
      <c r="V65" s="377">
        <f ca="1">IFERROR(V55/V$51,"N/A")</f>
      </c>
      <c r="W65" s="377">
        <f ca="1">IFERROR(W55/W$51,"N/A")</f>
      </c>
      <c r="X65" s="380">
        <f ca="1">Drivers!X81</f>
        <v>0</v>
      </c>
      <c r="Y65" s="492">
        <f ca="1">Y55/Y$51</f>
        <v>1e-12</v>
      </c>
      <c r="Z65" s="380">
        <f ca="1">Drivers!Z81</f>
        <v>0</v>
      </c>
      <c r="AA65" s="380">
        <f ca="1">Drivers!AA81</f>
        <v>0</v>
      </c>
      <c r="AB65" s="380">
        <f ca="1">Drivers!AB81</f>
        <v>0</v>
      </c>
      <c r="AC65" s="380">
        <f ca="1">Drivers!AC81</f>
        <v>0</v>
      </c>
      <c r="AD65" s="492">
        <f ca="1">AD55/AD$51</f>
        <v>1e-12</v>
      </c>
      <c r="AE65" s="381">
        <f ca="1">Drivers!AE81</f>
        <v>0</v>
      </c>
      <c r="AF65" s="381">
        <f ca="1">Drivers!AF81</f>
        <v>0</v>
      </c>
      <c r="AG65" s="381">
        <f ca="1">Drivers!AG81</f>
        <v>0</v>
      </c>
    </row>
    <row r="66" ht="14.25" customHeight="1" spans="1:33" x14ac:dyDescent="0.25" outlineLevel="1">
      <c r="C66" s="491" t="str">
        <f ca="1">C20</f>
        <v>Segment 5</v>
      </c>
      <c r="D66" s="16"/>
      <c r="E66" s="16"/>
      <c r="F66" s="377">
        <f t="shared" ref="F66:W66" si="78" ca="1">IFERROR(F56/F$51,"N/A")</f>
        <v>0</v>
      </c>
      <c r="G66" s="377">
        <f ca="1">IFERROR(G56/G$51,"N/A")</f>
      </c>
      <c r="H66" s="377">
        <f ca="1">IFERROR(H56/H$51,"N/A")</f>
      </c>
      <c r="I66" s="377">
        <f ca="1">IFERROR(I56/I$51,"N/A")</f>
      </c>
      <c r="J66" s="378">
        <f ca="1">IFERROR(J56/J$51,"N/A")</f>
      </c>
      <c r="K66" s="377">
        <f ca="1">IFERROR(K56/K$51,"N/A")</f>
      </c>
      <c r="L66" s="377">
        <f ca="1">IFERROR(L56/L$51,"N/A")</f>
      </c>
      <c r="M66" s="377">
        <f ca="1">IFERROR(M56/M$51,"N/A")</f>
      </c>
      <c r="N66" s="377">
        <f ca="1">IFERROR(N56/N$51,"N/A")</f>
      </c>
      <c r="O66" s="378">
        <f ca="1">IFERROR(O56/O$51,"N/A")</f>
      </c>
      <c r="P66" s="377">
        <f ca="1">IFERROR(P56/P$51,"N/A")</f>
      </c>
      <c r="Q66" s="377">
        <f ca="1">IFERROR(Q56/Q$51,"N/A")</f>
      </c>
      <c r="R66" s="377">
        <f ca="1">IFERROR(R56/R$51,"N/A")</f>
      </c>
      <c r="S66" s="377">
        <f ca="1">IFERROR(S56/S$51,"N/A")</f>
      </c>
      <c r="T66" s="378">
        <f ca="1">IFERROR(T56/T$51,"N/A")</f>
      </c>
      <c r="U66" s="377">
        <f ca="1">IFERROR(U56/U$51,"N/A")</f>
      </c>
      <c r="V66" s="377">
        <f ca="1">IFERROR(V56/V$51,"N/A")</f>
      </c>
      <c r="W66" s="377">
        <f ca="1">IFERROR(W56/W$51,"N/A")</f>
      </c>
      <c r="X66" s="380">
        <f ca="1">Drivers!X82</f>
        <v>0</v>
      </c>
      <c r="Y66" s="492">
        <f ca="1">Y56/Y$51</f>
        <v>1e-12</v>
      </c>
      <c r="Z66" s="380">
        <f ca="1">Drivers!Z82</f>
        <v>0</v>
      </c>
      <c r="AA66" s="380">
        <f ca="1">Drivers!AA82</f>
        <v>0</v>
      </c>
      <c r="AB66" s="380">
        <f ca="1">Drivers!AB82</f>
        <v>0</v>
      </c>
      <c r="AC66" s="380">
        <f ca="1">Drivers!AC82</f>
        <v>0</v>
      </c>
      <c r="AD66" s="492">
        <f ca="1">AD56/AD$51</f>
        <v>1e-12</v>
      </c>
      <c r="AE66" s="381">
        <f ca="1">Drivers!AE82</f>
        <v>0</v>
      </c>
      <c r="AF66" s="381">
        <f ca="1">Drivers!AF82</f>
        <v>0</v>
      </c>
      <c r="AG66" s="381">
        <f ca="1">Drivers!AG82</f>
        <v>0</v>
      </c>
    </row>
    <row r="67" ht="14.25" customHeight="1" spans="1:33" x14ac:dyDescent="0.25" outlineLevel="1">
      <c r="C67" s="491" t="str">
        <f ca="1">C21</f>
        <v>Segment 6</v>
      </c>
      <c r="D67" s="16"/>
      <c r="E67" s="16"/>
      <c r="F67" s="377">
        <f t="shared" ref="F67:W67" si="79" ca="1">IFERROR(F57/F$51,"N/A")</f>
        <v>0</v>
      </c>
      <c r="G67" s="377">
        <f ca="1">IFERROR(G57/G$51,"N/A")</f>
      </c>
      <c r="H67" s="377">
        <f ca="1">IFERROR(H57/H$51,"N/A")</f>
      </c>
      <c r="I67" s="377">
        <f ca="1">IFERROR(I57/I$51,"N/A")</f>
      </c>
      <c r="J67" s="378">
        <f ca="1">IFERROR(J57/J$51,"N/A")</f>
      </c>
      <c r="K67" s="377">
        <f ca="1">IFERROR(K57/K$51,"N/A")</f>
      </c>
      <c r="L67" s="377">
        <f ca="1">IFERROR(L57/L$51,"N/A")</f>
      </c>
      <c r="M67" s="377">
        <f ca="1">IFERROR(M57/M$51,"N/A")</f>
      </c>
      <c r="N67" s="377">
        <f ca="1">IFERROR(N57/N$51,"N/A")</f>
      </c>
      <c r="O67" s="378">
        <f ca="1">IFERROR(O57/O$51,"N/A")</f>
      </c>
      <c r="P67" s="377">
        <f ca="1">IFERROR(P57/P$51,"N/A")</f>
      </c>
      <c r="Q67" s="377">
        <f ca="1">IFERROR(Q57/Q$51,"N/A")</f>
      </c>
      <c r="R67" s="377">
        <f ca="1">IFERROR(R57/R$51,"N/A")</f>
      </c>
      <c r="S67" s="377">
        <f ca="1">IFERROR(S57/S$51,"N/A")</f>
      </c>
      <c r="T67" s="378">
        <f ca="1">IFERROR(T57/T$51,"N/A")</f>
      </c>
      <c r="U67" s="377">
        <f ca="1">IFERROR(U57/U$51,"N/A")</f>
      </c>
      <c r="V67" s="377">
        <f ca="1">IFERROR(V57/V$51,"N/A")</f>
      </c>
      <c r="W67" s="377">
        <f ca="1">IFERROR(W57/W$51,"N/A")</f>
      </c>
      <c r="X67" s="380">
        <f ca="1">Drivers!X83</f>
        <v>0</v>
      </c>
      <c r="Y67" s="492">
        <f ca="1">Y57/Y$51</f>
        <v>1e-12</v>
      </c>
      <c r="Z67" s="380">
        <f ca="1">Drivers!Z83</f>
        <v>0</v>
      </c>
      <c r="AA67" s="380">
        <f ca="1">Drivers!AA83</f>
        <v>0</v>
      </c>
      <c r="AB67" s="380">
        <f ca="1">Drivers!AB83</f>
        <v>0</v>
      </c>
      <c r="AC67" s="380">
        <f ca="1">Drivers!AC83</f>
        <v>0</v>
      </c>
      <c r="AD67" s="492">
        <f ca="1">AD57/AD$51</f>
        <v>1e-12</v>
      </c>
      <c r="AE67" s="381">
        <f ca="1">Drivers!AE83</f>
        <v>0</v>
      </c>
      <c r="AF67" s="381">
        <f ca="1">Drivers!AF83</f>
        <v>0</v>
      </c>
      <c r="AG67" s="381">
        <f ca="1">Drivers!AG83</f>
        <v>0</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465</v>
      </c>
      <c r="D69" s="16"/>
      <c r="E69" s="16"/>
      <c r="F69" s="317">
        <f t="shared" ref="F69:AG69" si="80" ca="1">F51+F33</f>
        <v>1e-12</v>
      </c>
      <c r="G69" s="317">
        <f ca="1">G51+G33</f>
        <v>1e-12</v>
      </c>
      <c r="H69" s="317">
        <f ca="1">H51+H33</f>
        <v>1e-12</v>
      </c>
      <c r="I69" s="317">
        <f ca="1">I51+I33</f>
        <v>4018</v>
      </c>
      <c r="J69" s="287">
        <f ca="1">J51+J33</f>
        <v>4018</v>
      </c>
      <c r="K69" s="317">
        <f ca="1">K51+K33</f>
        <v>1e-12</v>
      </c>
      <c r="L69" s="317">
        <f ca="1">L51+L33</f>
        <v>1e-12</v>
      </c>
      <c r="M69" s="317">
        <f ca="1">M51+M33</f>
        <v>1e-12</v>
      </c>
      <c r="N69" s="317">
        <f ca="1">N51+N33</f>
        <v>1e-12</v>
      </c>
      <c r="O69" s="287">
        <f ca="1">O51+O33</f>
        <v>1e-12</v>
      </c>
      <c r="P69" s="317">
        <f ca="1">P51+P33</f>
        <v>4053</v>
      </c>
      <c r="Q69" s="317">
        <f ca="1">Q51+Q33</f>
        <v>1e-12</v>
      </c>
      <c r="R69" s="317">
        <f ca="1">R51+R33</f>
        <v>1e-12</v>
      </c>
      <c r="S69" s="317">
        <f ca="1">S51+S33</f>
        <v>1e-12</v>
      </c>
      <c r="T69" s="287">
        <f ca="1">T51+T33</f>
        <v>4053</v>
      </c>
      <c r="U69" s="317">
        <f ca="1">U51+U33</f>
        <v>4630</v>
      </c>
      <c r="V69" s="317">
        <f ca="1">V51+V33</f>
        <v>3386.56</v>
      </c>
      <c r="W69" s="317">
        <f ca="1">W51+W33</f>
        <v>3214</v>
      </c>
      <c r="X69" s="494">
        <f ca="1">X51+X33</f>
        <v>3161.5605</v>
      </c>
      <c r="Y69" s="287">
        <f ca="1">Y51+Y33</f>
        <v>12717.430499999999</v>
      </c>
      <c r="Z69" s="494">
        <f ca="1">Z51+Z33</f>
        <v>3928.6198385</v>
      </c>
      <c r="AA69" s="494">
        <f ca="1">AA51+AA33</f>
        <v>4583.5866585862495</v>
      </c>
      <c r="AB69" s="494">
        <f ca="1">AB51+AB33</f>
        <v>3435.0271126316907</v>
      </c>
      <c r="AC69" s="494">
        <f ca="1">AC51+AC33</f>
        <v>3649.335237575252</v>
      </c>
      <c r="AD69" s="287">
        <f ca="1">AD51+AD33</f>
        <v>15596.568847293192</v>
      </c>
      <c r="AE69" s="287">
        <f ca="1">AE51+AE33</f>
        <v>16340.631690771386</v>
      </c>
      <c r="AF69" s="287">
        <f ca="1">AF51+AF33</f>
        <v>16800.850281968527</v>
      </c>
      <c r="AG69" s="287">
        <f ca="1">AG51+AG33</f>
        <v>17382.419104547316</v>
      </c>
    </row>
    <row r="70" ht="14.25" customHeight="1" spans="1:33" x14ac:dyDescent="0.25">
      <c r="C70" s="139" t="str">
        <f t="shared" ref="C70:C75" si="81" ca="1">C16&amp;" EBITDA"</f>
        <v>Home Improvement Retail EBITDA</v>
      </c>
      <c r="D70" s="16"/>
      <c r="E70" s="16"/>
      <c r="F70" s="317">
        <f t="shared" ref="F70:AG70" si="82" ca="1">F52+F34</f>
        <v>1e-12</v>
      </c>
      <c r="G70" s="317">
        <f ca="1">G52+G34</f>
        <v>1e-12</v>
      </c>
      <c r="H70" s="317">
        <f ca="1">H52+H34</f>
        <v>1e-12</v>
      </c>
      <c r="I70" s="317">
        <f ca="1">I52+I34</f>
        <v>4018</v>
      </c>
      <c r="J70" s="495">
        <f ca="1">J52+J34</f>
        <v>4018</v>
      </c>
      <c r="K70" s="317">
        <f ca="1">K52+K34</f>
        <v>1e-12</v>
      </c>
      <c r="L70" s="317">
        <f ca="1">L52+L34</f>
        <v>1e-12</v>
      </c>
      <c r="M70" s="317">
        <f ca="1">M52+M34</f>
        <v>1e-12</v>
      </c>
      <c r="N70" s="317">
        <f ca="1">N52+N34</f>
        <v>1e-12</v>
      </c>
      <c r="O70" s="495">
        <f ca="1">O52+O34</f>
        <v>1e-12</v>
      </c>
      <c r="P70" s="317">
        <f ca="1">P52+P34</f>
        <v>4053</v>
      </c>
      <c r="Q70" s="317">
        <f ca="1">Q52+Q34</f>
        <v>1e-12</v>
      </c>
      <c r="R70" s="317">
        <f ca="1">R52+R34</f>
        <v>1e-12</v>
      </c>
      <c r="S70" s="317">
        <f ca="1">S52+S34</f>
        <v>1e-12</v>
      </c>
      <c r="T70" s="495">
        <f ca="1">T52+T34</f>
        <v>4053</v>
      </c>
      <c r="U70" s="317">
        <f ca="1">U52+U34</f>
        <v>4630</v>
      </c>
      <c r="V70" s="317">
        <f ca="1">V52+V34</f>
        <v>3386.56</v>
      </c>
      <c r="W70" s="317">
        <f ca="1">W52+W34</f>
        <v>3214</v>
      </c>
      <c r="X70" s="494">
        <f ca="1">X52+X34</f>
        <v>3161.5605</v>
      </c>
      <c r="Y70" s="495">
        <f ca="1">Y52+Y34</f>
        <v>12717.430499999999</v>
      </c>
      <c r="Z70" s="494">
        <f ca="1">Z52+Z34</f>
        <v>3928.6198385</v>
      </c>
      <c r="AA70" s="494">
        <f ca="1">AA52+AA34</f>
        <v>4583.5866585862495</v>
      </c>
      <c r="AB70" s="494">
        <f ca="1">AB52+AB34</f>
        <v>3435.0271126316907</v>
      </c>
      <c r="AC70" s="494">
        <f ca="1">AC52+AC34</f>
        <v>3649.335237575252</v>
      </c>
      <c r="AD70" s="495">
        <f ca="1">AD52+AD34</f>
        <v>15596.568847293192</v>
      </c>
      <c r="AE70" s="495">
        <f ca="1">AE52+AE34</f>
        <v>16340.631690771386</v>
      </c>
      <c r="AF70" s="495">
        <f ca="1">AF52+AF34</f>
        <v>16800.850281968527</v>
      </c>
      <c r="AG70" s="495">
        <f ca="1">AG52+AG34</f>
        <v>17382.419104547316</v>
      </c>
    </row>
    <row r="71" ht="14.25" customHeight="1" spans="1:33" x14ac:dyDescent="0.25">
      <c r="C71" s="139" t="str">
        <f ca="1">C17&amp;" EBITDA"</f>
        <v>Segment 2 EBITDA</v>
      </c>
      <c r="D71" s="16"/>
      <c r="E71" s="16"/>
      <c r="F71" s="317">
        <f t="shared" ref="F71:AG71" si="83" ca="1">F53+F35</f>
        <v>1e-12</v>
      </c>
      <c r="G71" s="317">
        <f ca="1">G53+G35</f>
        <v>1e-12</v>
      </c>
      <c r="H71" s="317">
        <f ca="1">H53+H35</f>
        <v>1e-12</v>
      </c>
      <c r="I71" s="317">
        <f ca="1">I53+I35</f>
        <v>1e-12</v>
      </c>
      <c r="J71" s="495">
        <f ca="1">J53+J35</f>
        <v>1e-12</v>
      </c>
      <c r="K71" s="317">
        <f ca="1">K53+K35</f>
        <v>1e-12</v>
      </c>
      <c r="L71" s="317">
        <f ca="1">L53+L35</f>
        <v>1e-12</v>
      </c>
      <c r="M71" s="317">
        <f ca="1">M53+M35</f>
        <v>1e-12</v>
      </c>
      <c r="N71" s="317">
        <f ca="1">N53+N35</f>
        <v>1e-12</v>
      </c>
      <c r="O71" s="495">
        <f ca="1">O53+O35</f>
        <v>1e-12</v>
      </c>
      <c r="P71" s="317">
        <f ca="1">P53+P35</f>
        <v>1e-12</v>
      </c>
      <c r="Q71" s="317">
        <f ca="1">Q53+Q35</f>
        <v>1e-12</v>
      </c>
      <c r="R71" s="317">
        <f ca="1">R53+R35</f>
        <v>1e-12</v>
      </c>
      <c r="S71" s="317">
        <f ca="1">S53+S35</f>
        <v>1e-12</v>
      </c>
      <c r="T71" s="495">
        <f ca="1">T53+T35</f>
        <v>1e-12</v>
      </c>
      <c r="U71" s="317">
        <f ca="1">U53+U35</f>
        <v>1e-12</v>
      </c>
      <c r="V71" s="317">
        <f ca="1">V53+V35</f>
        <v>1e-12</v>
      </c>
      <c r="W71" s="317">
        <f ca="1">W53+W35</f>
        <v>1e-12</v>
      </c>
      <c r="X71" s="494">
        <f ca="1">X53+X35</f>
        <v>1e-12</v>
      </c>
      <c r="Y71" s="495">
        <f ca="1">Y53+Y35</f>
        <v>1e-12</v>
      </c>
      <c r="Z71" s="494">
        <f ca="1">Z53+Z35</f>
        <v>1e-12</v>
      </c>
      <c r="AA71" s="494">
        <f ca="1">AA53+AA35</f>
        <v>1e-12</v>
      </c>
      <c r="AB71" s="494">
        <f ca="1">AB53+AB35</f>
        <v>1e-12</v>
      </c>
      <c r="AC71" s="494">
        <f ca="1">AC53+AC35</f>
        <v>1e-12</v>
      </c>
      <c r="AD71" s="495">
        <f ca="1">AD53+AD35</f>
        <v>1e-12</v>
      </c>
      <c r="AE71" s="495">
        <f ca="1">AE53+AE35</f>
        <v>1e-12</v>
      </c>
      <c r="AF71" s="495">
        <f ca="1">AF53+AF35</f>
        <v>1e-12</v>
      </c>
      <c r="AG71" s="495">
        <f ca="1">AG53+AG35</f>
        <v>1e-12</v>
      </c>
    </row>
    <row r="72" ht="14.25" customHeight="1" spans="1:33" x14ac:dyDescent="0.25">
      <c r="C72" s="139" t="str">
        <f ca="1">C18&amp;" EBITDA"</f>
        <v>Segment 3 EBITDA</v>
      </c>
      <c r="D72" s="16"/>
      <c r="E72" s="16"/>
      <c r="F72" s="317">
        <f t="shared" ref="F72:AG72" si="84" ca="1">F54+F36</f>
        <v>1e-12</v>
      </c>
      <c r="G72" s="317">
        <f ca="1">G54+G36</f>
        <v>1e-12</v>
      </c>
      <c r="H72" s="317">
        <f ca="1">H54+H36</f>
        <v>1e-12</v>
      </c>
      <c r="I72" s="317">
        <f ca="1">I54+I36</f>
        <v>1e-12</v>
      </c>
      <c r="J72" s="495">
        <f ca="1">J54+J36</f>
        <v>1e-12</v>
      </c>
      <c r="K72" s="317">
        <f ca="1">K54+K36</f>
        <v>1e-12</v>
      </c>
      <c r="L72" s="317">
        <f ca="1">L54+L36</f>
        <v>1e-12</v>
      </c>
      <c r="M72" s="317">
        <f ca="1">M54+M36</f>
        <v>1e-12</v>
      </c>
      <c r="N72" s="317">
        <f ca="1">N54+N36</f>
        <v>1e-12</v>
      </c>
      <c r="O72" s="495">
        <f ca="1">O54+O36</f>
        <v>1e-12</v>
      </c>
      <c r="P72" s="317">
        <f ca="1">P54+P36</f>
        <v>1e-12</v>
      </c>
      <c r="Q72" s="317">
        <f ca="1">Q54+Q36</f>
        <v>1e-12</v>
      </c>
      <c r="R72" s="317">
        <f ca="1">R54+R36</f>
        <v>1e-12</v>
      </c>
      <c r="S72" s="317">
        <f ca="1">S54+S36</f>
        <v>1e-12</v>
      </c>
      <c r="T72" s="495">
        <f ca="1">T54+T36</f>
        <v>1e-12</v>
      </c>
      <c r="U72" s="317">
        <f ca="1">U54+U36</f>
        <v>1e-12</v>
      </c>
      <c r="V72" s="317">
        <f ca="1">V54+V36</f>
        <v>1e-12</v>
      </c>
      <c r="W72" s="317">
        <f ca="1">W54+W36</f>
        <v>1e-12</v>
      </c>
      <c r="X72" s="494">
        <f ca="1">X54+X36</f>
        <v>1e-12</v>
      </c>
      <c r="Y72" s="495">
        <f ca="1">Y54+Y36</f>
        <v>1e-12</v>
      </c>
      <c r="Z72" s="494">
        <f ca="1">Z54+Z36</f>
        <v>1e-12</v>
      </c>
      <c r="AA72" s="494">
        <f ca="1">AA54+AA36</f>
        <v>1e-12</v>
      </c>
      <c r="AB72" s="494">
        <f ca="1">AB54+AB36</f>
        <v>1e-12</v>
      </c>
      <c r="AC72" s="494">
        <f ca="1">AC54+AC36</f>
        <v>1e-12</v>
      </c>
      <c r="AD72" s="495">
        <f ca="1">AD54+AD36</f>
        <v>1e-12</v>
      </c>
      <c r="AE72" s="495">
        <f ca="1">AE54+AE36</f>
        <v>1e-12</v>
      </c>
      <c r="AF72" s="495">
        <f ca="1">AF54+AF36</f>
        <v>1e-12</v>
      </c>
      <c r="AG72" s="495">
        <f ca="1">AG54+AG36</f>
        <v>1e-12</v>
      </c>
    </row>
    <row r="73" ht="14.25" customHeight="1" spans="1:33" x14ac:dyDescent="0.25">
      <c r="C73" s="139" t="str">
        <f ca="1">C19&amp;" EBITDA"</f>
        <v>Segment 4 EBITDA</v>
      </c>
      <c r="D73" s="16"/>
      <c r="E73" s="16"/>
      <c r="F73" s="317">
        <f t="shared" ref="F73:AG73" si="85" ca="1">F55+F37</f>
        <v>1e-12</v>
      </c>
      <c r="G73" s="317">
        <f ca="1">G55+G37</f>
        <v>1e-12</v>
      </c>
      <c r="H73" s="317">
        <f ca="1">H55+H37</f>
        <v>1e-12</v>
      </c>
      <c r="I73" s="317">
        <f ca="1">I55+I37</f>
        <v>1e-12</v>
      </c>
      <c r="J73" s="495">
        <f ca="1">J55+J37</f>
        <v>1e-12</v>
      </c>
      <c r="K73" s="317">
        <f ca="1">K55+K37</f>
        <v>1e-12</v>
      </c>
      <c r="L73" s="317">
        <f ca="1">L55+L37</f>
        <v>1e-12</v>
      </c>
      <c r="M73" s="317">
        <f ca="1">M55+M37</f>
        <v>1e-12</v>
      </c>
      <c r="N73" s="317">
        <f ca="1">N55+N37</f>
        <v>1e-12</v>
      </c>
      <c r="O73" s="495">
        <f ca="1">O55+O37</f>
        <v>1e-12</v>
      </c>
      <c r="P73" s="317">
        <f ca="1">P55+P37</f>
        <v>1e-12</v>
      </c>
      <c r="Q73" s="317">
        <f ca="1">Q55+Q37</f>
        <v>1e-12</v>
      </c>
      <c r="R73" s="317">
        <f ca="1">R55+R37</f>
        <v>1e-12</v>
      </c>
      <c r="S73" s="317">
        <f ca="1">S55+S37</f>
        <v>1e-12</v>
      </c>
      <c r="T73" s="495">
        <f ca="1">T55+T37</f>
        <v>1e-12</v>
      </c>
      <c r="U73" s="317">
        <f ca="1">U55+U37</f>
        <v>1e-12</v>
      </c>
      <c r="V73" s="317">
        <f ca="1">V55+V37</f>
        <v>1e-12</v>
      </c>
      <c r="W73" s="317">
        <f ca="1">W55+W37</f>
        <v>1e-12</v>
      </c>
      <c r="X73" s="494">
        <f ca="1">X55+X37</f>
        <v>1e-12</v>
      </c>
      <c r="Y73" s="495">
        <f ca="1">Y55+Y37</f>
        <v>1e-12</v>
      </c>
      <c r="Z73" s="494">
        <f ca="1">Z55+Z37</f>
        <v>1e-12</v>
      </c>
      <c r="AA73" s="494">
        <f ca="1">AA55+AA37</f>
        <v>1e-12</v>
      </c>
      <c r="AB73" s="494">
        <f ca="1">AB55+AB37</f>
        <v>1e-12</v>
      </c>
      <c r="AC73" s="494">
        <f ca="1">AC55+AC37</f>
        <v>1e-12</v>
      </c>
      <c r="AD73" s="495">
        <f ca="1">AD55+AD37</f>
        <v>1e-12</v>
      </c>
      <c r="AE73" s="495">
        <f ca="1">AE55+AE37</f>
        <v>1e-12</v>
      </c>
      <c r="AF73" s="495">
        <f ca="1">AF55+AF37</f>
        <v>1e-12</v>
      </c>
      <c r="AG73" s="495">
        <f ca="1">AG55+AG37</f>
        <v>1e-12</v>
      </c>
    </row>
    <row r="74" ht="14.25" customHeight="1" spans="1:33" x14ac:dyDescent="0.25" outlineLevel="1">
      <c r="C74" s="139" t="str">
        <f ca="1">C20&amp;" EBITDA"</f>
        <v>Segment 5 EBITDA</v>
      </c>
      <c r="D74" s="16"/>
      <c r="E74" s="16"/>
      <c r="F74" s="317">
        <f t="shared" ref="F74:AG74" si="86" ca="1">F56+F38</f>
        <v>1e-12</v>
      </c>
      <c r="G74" s="317">
        <f ca="1">G56+G38</f>
        <v>1e-12</v>
      </c>
      <c r="H74" s="317">
        <f ca="1">H56+H38</f>
        <v>1e-12</v>
      </c>
      <c r="I74" s="317">
        <f ca="1">I56+I38</f>
        <v>1e-12</v>
      </c>
      <c r="J74" s="495">
        <f ca="1">J56+J38</f>
        <v>1e-12</v>
      </c>
      <c r="K74" s="317">
        <f ca="1">K56+K38</f>
        <v>1e-12</v>
      </c>
      <c r="L74" s="317">
        <f ca="1">L56+L38</f>
        <v>1e-12</v>
      </c>
      <c r="M74" s="317">
        <f ca="1">M56+M38</f>
        <v>1e-12</v>
      </c>
      <c r="N74" s="317">
        <f ca="1">N56+N38</f>
        <v>1e-12</v>
      </c>
      <c r="O74" s="495">
        <f ca="1">O56+O38</f>
        <v>1e-12</v>
      </c>
      <c r="P74" s="317">
        <f ca="1">P56+P38</f>
        <v>1e-12</v>
      </c>
      <c r="Q74" s="317">
        <f ca="1">Q56+Q38</f>
        <v>1e-12</v>
      </c>
      <c r="R74" s="317">
        <f ca="1">R56+R38</f>
        <v>1e-12</v>
      </c>
      <c r="S74" s="317">
        <f ca="1">S56+S38</f>
        <v>1e-12</v>
      </c>
      <c r="T74" s="495">
        <f ca="1">T56+T38</f>
        <v>1e-12</v>
      </c>
      <c r="U74" s="317">
        <f ca="1">U56+U38</f>
        <v>1e-12</v>
      </c>
      <c r="V74" s="317">
        <f ca="1">V56+V38</f>
        <v>1e-12</v>
      </c>
      <c r="W74" s="317">
        <f ca="1">W56+W38</f>
        <v>1e-12</v>
      </c>
      <c r="X74" s="494">
        <f ca="1">X56+X38</f>
        <v>1e-12</v>
      </c>
      <c r="Y74" s="495">
        <f ca="1">Y56+Y38</f>
        <v>1e-12</v>
      </c>
      <c r="Z74" s="494">
        <f ca="1">Z56+Z38</f>
        <v>1e-12</v>
      </c>
      <c r="AA74" s="494">
        <f ca="1">AA56+AA38</f>
        <v>1e-12</v>
      </c>
      <c r="AB74" s="494">
        <f ca="1">AB56+AB38</f>
        <v>1e-12</v>
      </c>
      <c r="AC74" s="494">
        <f ca="1">AC56+AC38</f>
        <v>1e-12</v>
      </c>
      <c r="AD74" s="495">
        <f ca="1">AD56+AD38</f>
        <v>1e-12</v>
      </c>
      <c r="AE74" s="495">
        <f ca="1">AE56+AE38</f>
        <v>1e-12</v>
      </c>
      <c r="AF74" s="495">
        <f ca="1">AF56+AF38</f>
        <v>1e-12</v>
      </c>
      <c r="AG74" s="495">
        <f ca="1">AG56+AG38</f>
        <v>1e-12</v>
      </c>
    </row>
    <row r="75" ht="14.25" customHeight="1" spans="1:33" x14ac:dyDescent="0.25" outlineLevel="1">
      <c r="C75" s="139" t="str">
        <f ca="1">C21&amp;" EBITDA"</f>
        <v>Segment 6 EBITDA</v>
      </c>
      <c r="D75" s="16"/>
      <c r="E75" s="16"/>
      <c r="F75" s="317">
        <f t="shared" ref="F75:AG75" si="87" ca="1">F57+F39</f>
        <v>1e-12</v>
      </c>
      <c r="G75" s="317">
        <f ca="1">G57+G39</f>
        <v>1e-12</v>
      </c>
      <c r="H75" s="317">
        <f ca="1">H57+H39</f>
        <v>1e-12</v>
      </c>
      <c r="I75" s="317">
        <f ca="1">I57+I39</f>
        <v>1e-12</v>
      </c>
      <c r="J75" s="495">
        <f ca="1">J57+J39</f>
        <v>1e-12</v>
      </c>
      <c r="K75" s="317">
        <f ca="1">K57+K39</f>
        <v>1e-12</v>
      </c>
      <c r="L75" s="317">
        <f ca="1">L57+L39</f>
        <v>1e-12</v>
      </c>
      <c r="M75" s="317">
        <f ca="1">M57+M39</f>
        <v>1e-12</v>
      </c>
      <c r="N75" s="317">
        <f ca="1">N57+N39</f>
        <v>1e-12</v>
      </c>
      <c r="O75" s="495">
        <f ca="1">O57+O39</f>
        <v>1e-12</v>
      </c>
      <c r="P75" s="317">
        <f ca="1">P57+P39</f>
        <v>1e-12</v>
      </c>
      <c r="Q75" s="317">
        <f ca="1">Q57+Q39</f>
        <v>1e-12</v>
      </c>
      <c r="R75" s="317">
        <f ca="1">R57+R39</f>
        <v>1e-12</v>
      </c>
      <c r="S75" s="317">
        <f ca="1">S57+S39</f>
        <v>1e-12</v>
      </c>
      <c r="T75" s="495">
        <f ca="1">T57+T39</f>
        <v>1e-12</v>
      </c>
      <c r="U75" s="317">
        <f ca="1">U57+U39</f>
        <v>1e-12</v>
      </c>
      <c r="V75" s="317">
        <f ca="1">V57+V39</f>
        <v>1e-12</v>
      </c>
      <c r="W75" s="317">
        <f ca="1">W57+W39</f>
        <v>1e-12</v>
      </c>
      <c r="X75" s="494">
        <f ca="1">X57+X39</f>
        <v>1e-12</v>
      </c>
      <c r="Y75" s="495">
        <f ca="1">Y57+Y39</f>
        <v>1e-12</v>
      </c>
      <c r="Z75" s="494">
        <f ca="1">Z57+Z39</f>
        <v>1e-12</v>
      </c>
      <c r="AA75" s="494">
        <f ca="1">AA57+AA39</f>
        <v>1e-12</v>
      </c>
      <c r="AB75" s="494">
        <f ca="1">AB57+AB39</f>
        <v>1e-12</v>
      </c>
      <c r="AC75" s="494">
        <f ca="1">AC57+AC39</f>
        <v>1e-12</v>
      </c>
      <c r="AD75" s="495">
        <f ca="1">AD57+AD39</f>
        <v>1e-12</v>
      </c>
      <c r="AE75" s="495">
        <f ca="1">AE57+AE39</f>
        <v>1e-12</v>
      </c>
      <c r="AF75" s="495">
        <f ca="1">AF57+AF39</f>
        <v>1e-12</v>
      </c>
      <c r="AG75" s="495">
        <f ca="1">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466</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88" ca="1">C16</f>
        <v>Home Improvement Retail</v>
      </c>
      <c r="D78" s="16"/>
      <c r="E78" s="16"/>
      <c r="F78" s="377">
        <f t="shared" ref="F78:AG78" si="89" ca="1">IFERROR(F70/F$69,"N/A")</f>
        <v>1</v>
      </c>
      <c r="G78" s="377">
        <f ca="1">IFERROR(G70/G$69,"N/A")</f>
        <v>1</v>
      </c>
      <c r="H78" s="377">
        <f ca="1">IFERROR(H70/H$69,"N/A")</f>
        <v>1</v>
      </c>
      <c r="I78" s="377">
        <f ca="1">IFERROR(I70/I$69,"N/A")</f>
        <v>1</v>
      </c>
      <c r="J78" s="378">
        <f ca="1">IFERROR(J70/J$69,"N/A")</f>
        <v>1</v>
      </c>
      <c r="K78" s="377">
        <f ca="1">IFERROR(K70/K$69,"N/A")</f>
        <v>1</v>
      </c>
      <c r="L78" s="377">
        <f ca="1">IFERROR(L70/L$69,"N/A")</f>
        <v>1</v>
      </c>
      <c r="M78" s="377">
        <f ca="1">IFERROR(M70/M$69,"N/A")</f>
        <v>1</v>
      </c>
      <c r="N78" s="377">
        <f ca="1">IFERROR(N70/N$69,"N/A")</f>
        <v>1</v>
      </c>
      <c r="O78" s="378">
        <f ca="1">IFERROR(O70/O$69,"N/A")</f>
        <v>1</v>
      </c>
      <c r="P78" s="377">
        <f ca="1">IFERROR(P70/P$69,"N/A")</f>
        <v>1</v>
      </c>
      <c r="Q78" s="377">
        <f ca="1">IFERROR(Q70/Q$69,"N/A")</f>
        <v>1</v>
      </c>
      <c r="R78" s="377">
        <f ca="1">IFERROR(R70/R$69,"N/A")</f>
        <v>1</v>
      </c>
      <c r="S78" s="377">
        <f ca="1">IFERROR(S70/S$69,"N/A")</f>
        <v>1</v>
      </c>
      <c r="T78" s="378">
        <f ca="1">IFERROR(T70/T$69,"N/A")</f>
        <v>1</v>
      </c>
      <c r="U78" s="377">
        <f ca="1">IFERROR(U70/U$69,"N/A")</f>
        <v>1</v>
      </c>
      <c r="V78" s="377">
        <f ca="1">IFERROR(V70/V$69,"N/A")</f>
        <v>1</v>
      </c>
      <c r="W78" s="377">
        <f ca="1">IFERROR(W70/W$69,"N/A")</f>
        <v>1</v>
      </c>
      <c r="X78" s="379">
        <f ca="1">IFERROR(X70/X$69,"N/A")</f>
        <v>1</v>
      </c>
      <c r="Y78" s="378">
        <f ca="1">IFERROR(Y70/Y$69,"N/A")</f>
        <v>1</v>
      </c>
      <c r="Z78" s="379">
        <f ca="1">IFERROR(Z70/Z$69,"N/A")</f>
        <v>1</v>
      </c>
      <c r="AA78" s="379">
        <f ca="1">IFERROR(AA70/AA$69,"N/A")</f>
        <v>1</v>
      </c>
      <c r="AB78" s="379">
        <f ca="1">IFERROR(AB70/AB$69,"N/A")</f>
        <v>1</v>
      </c>
      <c r="AC78" s="379">
        <f ca="1">IFERROR(AC70/AC$69,"N/A")</f>
        <v>1</v>
      </c>
      <c r="AD78" s="378">
        <f ca="1">IFERROR(AD70/AD$69,"N/A")</f>
        <v>1</v>
      </c>
      <c r="AE78" s="378">
        <f ca="1">IFERROR(AE70/AE$69,"N/A")</f>
        <v>1</v>
      </c>
      <c r="AF78" s="378">
        <f ca="1">IFERROR(AF70/AF$69,"N/A")</f>
        <v>1</v>
      </c>
      <c r="AG78" s="378">
        <f ca="1">IFERROR(AG70/AG$69,"N/A")</f>
        <v>1</v>
      </c>
    </row>
    <row r="79" ht="14.25" customHeight="1" spans="1:33" x14ac:dyDescent="0.25">
      <c r="C79" s="139" t="str">
        <f ca="1">C17</f>
        <v>Segment 2</v>
      </c>
      <c r="D79" s="16"/>
      <c r="E79" s="16"/>
      <c r="F79" s="377">
        <f t="shared" ref="F79:AG79" si="90" ca="1">IFERROR(F71/F$69,"N/A")</f>
        <v>0</v>
      </c>
      <c r="G79" s="377">
        <f ca="1">IFERROR(G71/G$69,"N/A")</f>
      </c>
      <c r="H79" s="377">
        <f ca="1">IFERROR(H71/H$69,"N/A")</f>
      </c>
      <c r="I79" s="377">
        <f ca="1">IFERROR(I71/I$69,"N/A")</f>
      </c>
      <c r="J79" s="378">
        <f ca="1">IFERROR(J71/J$69,"N/A")</f>
      </c>
      <c r="K79" s="377">
        <f ca="1">IFERROR(K71/K$69,"N/A")</f>
      </c>
      <c r="L79" s="377">
        <f ca="1">IFERROR(L71/L$69,"N/A")</f>
      </c>
      <c r="M79" s="377">
        <f ca="1">IFERROR(M71/M$69,"N/A")</f>
      </c>
      <c r="N79" s="377">
        <f ca="1">IFERROR(N71/N$69,"N/A")</f>
      </c>
      <c r="O79" s="378">
        <f ca="1">IFERROR(O71/O$69,"N/A")</f>
      </c>
      <c r="P79" s="377">
        <f ca="1">IFERROR(P71/P$69,"N/A")</f>
      </c>
      <c r="Q79" s="377">
        <f ca="1">IFERROR(Q71/Q$69,"N/A")</f>
      </c>
      <c r="R79" s="377">
        <f ca="1">IFERROR(R71/R$69,"N/A")</f>
      </c>
      <c r="S79" s="377">
        <f ca="1">IFERROR(S71/S$69,"N/A")</f>
      </c>
      <c r="T79" s="378">
        <f ca="1">IFERROR(T71/T$69,"N/A")</f>
      </c>
      <c r="U79" s="377">
        <f ca="1">IFERROR(U71/U$69,"N/A")</f>
      </c>
      <c r="V79" s="377">
        <f ca="1">IFERROR(V71/V$69,"N/A")</f>
      </c>
      <c r="W79" s="377">
        <f ca="1">IFERROR(W71/W$69,"N/A")</f>
      </c>
      <c r="X79" s="379">
        <f ca="1">IFERROR(X71/X$69,"N/A")</f>
      </c>
      <c r="Y79" s="378">
        <f ca="1">IFERROR(Y71/Y$69,"N/A")</f>
      </c>
      <c r="Z79" s="379">
        <f ca="1">IFERROR(Z71/Z$69,"N/A")</f>
      </c>
      <c r="AA79" s="379">
        <f ca="1">IFERROR(AA71/AA$69,"N/A")</f>
      </c>
      <c r="AB79" s="379">
        <f ca="1">IFERROR(AB71/AB$69,"N/A")</f>
      </c>
      <c r="AC79" s="379">
        <f ca="1">IFERROR(AC71/AC$69,"N/A")</f>
      </c>
      <c r="AD79" s="378">
        <f ca="1">IFERROR(AD71/AD$69,"N/A")</f>
      </c>
      <c r="AE79" s="378">
        <f ca="1">IFERROR(AE71/AE$69,"N/A")</f>
      </c>
      <c r="AF79" s="378">
        <f ca="1">IFERROR(AF71/AF$69,"N/A")</f>
      </c>
      <c r="AG79" s="378">
        <f ca="1">IFERROR(AG71/AG$69,"N/A")</f>
      </c>
    </row>
    <row r="80" ht="14.25" customHeight="1" spans="1:33" x14ac:dyDescent="0.25">
      <c r="C80" s="139" t="str">
        <f ca="1">C18</f>
        <v>Segment 3</v>
      </c>
      <c r="D80" s="16"/>
      <c r="E80" s="16"/>
      <c r="F80" s="377">
        <f t="shared" ref="F80:AG80" si="91" ca="1">IFERROR(F72/F$69,"N/A")</f>
        <v>0</v>
      </c>
      <c r="G80" s="377">
        <f ca="1">IFERROR(G72/G$69,"N/A")</f>
      </c>
      <c r="H80" s="377">
        <f ca="1">IFERROR(H72/H$69,"N/A")</f>
      </c>
      <c r="I80" s="377">
        <f ca="1">IFERROR(I72/I$69,"N/A")</f>
      </c>
      <c r="J80" s="378">
        <f ca="1">IFERROR(J72/J$69,"N/A")</f>
      </c>
      <c r="K80" s="377">
        <f ca="1">IFERROR(K72/K$69,"N/A")</f>
      </c>
      <c r="L80" s="377">
        <f ca="1">IFERROR(L72/L$69,"N/A")</f>
      </c>
      <c r="M80" s="377">
        <f ca="1">IFERROR(M72/M$69,"N/A")</f>
      </c>
      <c r="N80" s="377">
        <f ca="1">IFERROR(N72/N$69,"N/A")</f>
      </c>
      <c r="O80" s="378">
        <f ca="1">IFERROR(O72/O$69,"N/A")</f>
      </c>
      <c r="P80" s="377">
        <f ca="1">IFERROR(P72/P$69,"N/A")</f>
      </c>
      <c r="Q80" s="377">
        <f ca="1">IFERROR(Q72/Q$69,"N/A")</f>
      </c>
      <c r="R80" s="377">
        <f ca="1">IFERROR(R72/R$69,"N/A")</f>
      </c>
      <c r="S80" s="377">
        <f ca="1">IFERROR(S72/S$69,"N/A")</f>
      </c>
      <c r="T80" s="378">
        <f ca="1">IFERROR(T72/T$69,"N/A")</f>
      </c>
      <c r="U80" s="377">
        <f ca="1">IFERROR(U72/U$69,"N/A")</f>
      </c>
      <c r="V80" s="377">
        <f ca="1">IFERROR(V72/V$69,"N/A")</f>
      </c>
      <c r="W80" s="377">
        <f ca="1">IFERROR(W72/W$69,"N/A")</f>
      </c>
      <c r="X80" s="379">
        <f ca="1">IFERROR(X72/X$69,"N/A")</f>
      </c>
      <c r="Y80" s="378">
        <f ca="1">IFERROR(Y72/Y$69,"N/A")</f>
      </c>
      <c r="Z80" s="379">
        <f ca="1">IFERROR(Z72/Z$69,"N/A")</f>
      </c>
      <c r="AA80" s="379">
        <f ca="1">IFERROR(AA72/AA$69,"N/A")</f>
      </c>
      <c r="AB80" s="379">
        <f ca="1">IFERROR(AB72/AB$69,"N/A")</f>
      </c>
      <c r="AC80" s="379">
        <f ca="1">IFERROR(AC72/AC$69,"N/A")</f>
      </c>
      <c r="AD80" s="378">
        <f ca="1">IFERROR(AD72/AD$69,"N/A")</f>
      </c>
      <c r="AE80" s="378">
        <f ca="1">IFERROR(AE72/AE$69,"N/A")</f>
      </c>
      <c r="AF80" s="378">
        <f ca="1">IFERROR(AF72/AF$69,"N/A")</f>
      </c>
      <c r="AG80" s="378">
        <f ca="1">IFERROR(AG72/AG$69,"N/A")</f>
      </c>
    </row>
    <row r="81" ht="14.25" customHeight="1" spans="1:33" x14ac:dyDescent="0.25">
      <c r="C81" s="139" t="str">
        <f ca="1">C19</f>
        <v>Segment 4</v>
      </c>
      <c r="D81" s="16"/>
      <c r="E81" s="16"/>
      <c r="F81" s="377">
        <f t="shared" ref="F81:AG81" si="92" ca="1">IFERROR(F73/F$69,"N/A")</f>
        <v>0</v>
      </c>
      <c r="G81" s="377">
        <f ca="1">IFERROR(G73/G$69,"N/A")</f>
      </c>
      <c r="H81" s="377">
        <f ca="1">IFERROR(H73/H$69,"N/A")</f>
      </c>
      <c r="I81" s="377">
        <f ca="1">IFERROR(I73/I$69,"N/A")</f>
      </c>
      <c r="J81" s="378">
        <f ca="1">IFERROR(J73/J$69,"N/A")</f>
      </c>
      <c r="K81" s="377">
        <f ca="1">IFERROR(K73/K$69,"N/A")</f>
      </c>
      <c r="L81" s="377">
        <f ca="1">IFERROR(L73/L$69,"N/A")</f>
      </c>
      <c r="M81" s="377">
        <f ca="1">IFERROR(M73/M$69,"N/A")</f>
      </c>
      <c r="N81" s="377">
        <f ca="1">IFERROR(N73/N$69,"N/A")</f>
      </c>
      <c r="O81" s="378">
        <f ca="1">IFERROR(O73/O$69,"N/A")</f>
      </c>
      <c r="P81" s="377">
        <f ca="1">IFERROR(P73/P$69,"N/A")</f>
      </c>
      <c r="Q81" s="377">
        <f ca="1">IFERROR(Q73/Q$69,"N/A")</f>
      </c>
      <c r="R81" s="377">
        <f ca="1">IFERROR(R73/R$69,"N/A")</f>
      </c>
      <c r="S81" s="377">
        <f ca="1">IFERROR(S73/S$69,"N/A")</f>
      </c>
      <c r="T81" s="378">
        <f ca="1">IFERROR(T73/T$69,"N/A")</f>
      </c>
      <c r="U81" s="377">
        <f ca="1">IFERROR(U73/U$69,"N/A")</f>
      </c>
      <c r="V81" s="377">
        <f ca="1">IFERROR(V73/V$69,"N/A")</f>
      </c>
      <c r="W81" s="377">
        <f ca="1">IFERROR(W73/W$69,"N/A")</f>
      </c>
      <c r="X81" s="379">
        <f ca="1">IFERROR(X73/X$69,"N/A")</f>
      </c>
      <c r="Y81" s="378">
        <f ca="1">IFERROR(Y73/Y$69,"N/A")</f>
      </c>
      <c r="Z81" s="379">
        <f ca="1">IFERROR(Z73/Z$69,"N/A")</f>
      </c>
      <c r="AA81" s="379">
        <f ca="1">IFERROR(AA73/AA$69,"N/A")</f>
      </c>
      <c r="AB81" s="379">
        <f ca="1">IFERROR(AB73/AB$69,"N/A")</f>
      </c>
      <c r="AC81" s="379">
        <f ca="1">IFERROR(AC73/AC$69,"N/A")</f>
      </c>
      <c r="AD81" s="378">
        <f ca="1">IFERROR(AD73/AD$69,"N/A")</f>
      </c>
      <c r="AE81" s="378">
        <f ca="1">IFERROR(AE73/AE$69,"N/A")</f>
      </c>
      <c r="AF81" s="378">
        <f ca="1">IFERROR(AF73/AF$69,"N/A")</f>
      </c>
      <c r="AG81" s="378">
        <f ca="1">IFERROR(AG73/AG$69,"N/A")</f>
      </c>
    </row>
    <row r="82" ht="14.25" customHeight="1" spans="1:33" x14ac:dyDescent="0.25" outlineLevel="1">
      <c r="C82" s="139" t="str">
        <f ca="1">C20</f>
        <v>Segment 5</v>
      </c>
      <c r="D82" s="16"/>
      <c r="E82" s="16"/>
      <c r="F82" s="377">
        <f t="shared" ref="F82:AG82" si="93" ca="1">IFERROR(F74/F$69,"N/A")</f>
        <v>0</v>
      </c>
      <c r="G82" s="377">
        <f ca="1">IFERROR(G74/G$69,"N/A")</f>
      </c>
      <c r="H82" s="377">
        <f ca="1">IFERROR(H74/H$69,"N/A")</f>
      </c>
      <c r="I82" s="377">
        <f ca="1">IFERROR(I74/I$69,"N/A")</f>
      </c>
      <c r="J82" s="378">
        <f ca="1">IFERROR(J74/J$69,"N/A")</f>
      </c>
      <c r="K82" s="377">
        <f ca="1">IFERROR(K74/K$69,"N/A")</f>
      </c>
      <c r="L82" s="377">
        <f ca="1">IFERROR(L74/L$69,"N/A")</f>
      </c>
      <c r="M82" s="377">
        <f ca="1">IFERROR(M74/M$69,"N/A")</f>
      </c>
      <c r="N82" s="377">
        <f ca="1">IFERROR(N74/N$69,"N/A")</f>
      </c>
      <c r="O82" s="378">
        <f ca="1">IFERROR(O74/O$69,"N/A")</f>
      </c>
      <c r="P82" s="377">
        <f ca="1">IFERROR(P74/P$69,"N/A")</f>
      </c>
      <c r="Q82" s="377">
        <f ca="1">IFERROR(Q74/Q$69,"N/A")</f>
      </c>
      <c r="R82" s="377">
        <f ca="1">IFERROR(R74/R$69,"N/A")</f>
      </c>
      <c r="S82" s="377">
        <f ca="1">IFERROR(S74/S$69,"N/A")</f>
      </c>
      <c r="T82" s="378">
        <f ca="1">IFERROR(T74/T$69,"N/A")</f>
      </c>
      <c r="U82" s="377">
        <f ca="1">IFERROR(U74/U$69,"N/A")</f>
      </c>
      <c r="V82" s="377">
        <f ca="1">IFERROR(V74/V$69,"N/A")</f>
      </c>
      <c r="W82" s="377">
        <f ca="1">IFERROR(W74/W$69,"N/A")</f>
      </c>
      <c r="X82" s="379">
        <f ca="1">IFERROR(X74/X$69,"N/A")</f>
      </c>
      <c r="Y82" s="378">
        <f ca="1">IFERROR(Y74/Y$69,"N/A")</f>
      </c>
      <c r="Z82" s="379">
        <f ca="1">IFERROR(Z74/Z$69,"N/A")</f>
      </c>
      <c r="AA82" s="379">
        <f ca="1">IFERROR(AA74/AA$69,"N/A")</f>
      </c>
      <c r="AB82" s="379">
        <f ca="1">IFERROR(AB74/AB$69,"N/A")</f>
      </c>
      <c r="AC82" s="379">
        <f ca="1">IFERROR(AC74/AC$69,"N/A")</f>
      </c>
      <c r="AD82" s="378">
        <f ca="1">IFERROR(AD74/AD$69,"N/A")</f>
      </c>
      <c r="AE82" s="378">
        <f ca="1">IFERROR(AE74/AE$69,"N/A")</f>
      </c>
      <c r="AF82" s="378">
        <f ca="1">IFERROR(AF74/AF$69,"N/A")</f>
      </c>
      <c r="AG82" s="378">
        <f ca="1">IFERROR(AG74/AG$69,"N/A")</f>
      </c>
    </row>
    <row r="83" ht="14.25" customHeight="1" spans="1:33" x14ac:dyDescent="0.25" outlineLevel="1">
      <c r="C83" s="139" t="str">
        <f ca="1">C21</f>
        <v>Segment 6</v>
      </c>
      <c r="D83" s="16"/>
      <c r="E83" s="16"/>
      <c r="F83" s="377">
        <f t="shared" ref="F83:AG83" si="94" ca="1">IFERROR(F75/F$69,"N/A")</f>
        <v>0</v>
      </c>
      <c r="G83" s="377">
        <f ca="1">IFERROR(G75/G$69,"N/A")</f>
      </c>
      <c r="H83" s="377">
        <f ca="1">IFERROR(H75/H$69,"N/A")</f>
      </c>
      <c r="I83" s="377">
        <f ca="1">IFERROR(I75/I$69,"N/A")</f>
      </c>
      <c r="J83" s="378">
        <f ca="1">IFERROR(J75/J$69,"N/A")</f>
      </c>
      <c r="K83" s="377">
        <f ca="1">IFERROR(K75/K$69,"N/A")</f>
      </c>
      <c r="L83" s="377">
        <f ca="1">IFERROR(L75/L$69,"N/A")</f>
      </c>
      <c r="M83" s="377">
        <f ca="1">IFERROR(M75/M$69,"N/A")</f>
      </c>
      <c r="N83" s="377">
        <f ca="1">IFERROR(N75/N$69,"N/A")</f>
      </c>
      <c r="O83" s="378">
        <f ca="1">IFERROR(O75/O$69,"N/A")</f>
      </c>
      <c r="P83" s="377">
        <f ca="1">IFERROR(P75/P$69,"N/A")</f>
      </c>
      <c r="Q83" s="377">
        <f ca="1">IFERROR(Q75/Q$69,"N/A")</f>
      </c>
      <c r="R83" s="377">
        <f ca="1">IFERROR(R75/R$69,"N/A")</f>
      </c>
      <c r="S83" s="377">
        <f ca="1">IFERROR(S75/S$69,"N/A")</f>
      </c>
      <c r="T83" s="378">
        <f ca="1">IFERROR(T75/T$69,"N/A")</f>
      </c>
      <c r="U83" s="377">
        <f ca="1">IFERROR(U75/U$69,"N/A")</f>
      </c>
      <c r="V83" s="377">
        <f ca="1">IFERROR(V75/V$69,"N/A")</f>
      </c>
      <c r="W83" s="377">
        <f ca="1">IFERROR(W75/W$69,"N/A")</f>
      </c>
      <c r="X83" s="379">
        <f ca="1">IFERROR(X75/X$69,"N/A")</f>
      </c>
      <c r="Y83" s="378">
        <f ca="1">IFERROR(Y75/Y$69,"N/A")</f>
      </c>
      <c r="Z83" s="379">
        <f ca="1">IFERROR(Z75/Z$69,"N/A")</f>
      </c>
      <c r="AA83" s="379">
        <f ca="1">IFERROR(AA75/AA$69,"N/A")</f>
      </c>
      <c r="AB83" s="379">
        <f ca="1">IFERROR(AB75/AB$69,"N/A")</f>
      </c>
      <c r="AC83" s="379">
        <f ca="1">IFERROR(AC75/AC$69,"N/A")</f>
      </c>
      <c r="AD83" s="378">
        <f ca="1">IFERROR(AD75/AD$69,"N/A")</f>
      </c>
      <c r="AE83" s="378">
        <f ca="1">IFERROR(AE75/AE$69,"N/A")</f>
      </c>
      <c r="AF83" s="378">
        <f ca="1">IFERROR(AF75/AF$69,"N/A")</f>
      </c>
      <c r="AG83" s="378">
        <f ca="1">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467</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5" ca="1">SUM(F89:F93)</f>
        <v>1e-12</v>
      </c>
      <c r="G88" s="498">
        <f ca="1">SUM(G89:G93)</f>
        <v>1e-12</v>
      </c>
      <c r="H88" s="498">
        <f ca="1">SUM(H89:H93)</f>
        <v>1e-12</v>
      </c>
      <c r="I88" s="498">
        <f ca="1">SUM(I89:I93)</f>
        <v>1e-12</v>
      </c>
      <c r="J88" s="287">
        <f t="shared" ref="J88:J93" si="96" ca="1">SUM(F88:I88)</f>
        <v>1e-12</v>
      </c>
      <c r="K88" s="498">
        <f t="shared" ref="K88:N88" si="97" ca="1">SUM(K89:K93)</f>
        <v>1e-12</v>
      </c>
      <c r="L88" s="498">
        <f ca="1">SUM(L89:L93)</f>
        <v>1e-12</v>
      </c>
      <c r="M88" s="498">
        <f ca="1">SUM(M89:M93)</f>
        <v>1e-12</v>
      </c>
      <c r="N88" s="498">
        <f ca="1">SUM(N89:N93)</f>
        <v>1e-12</v>
      </c>
      <c r="O88" s="287">
        <f t="shared" ref="O88:O93" si="98" ca="1">SUM(K88:N88)</f>
        <v>1e-12</v>
      </c>
      <c r="P88" s="498">
        <f t="shared" ref="P88:S88" si="99" ca="1">SUM(P89:P93)</f>
        <v>1e-12</v>
      </c>
      <c r="Q88" s="498">
        <f ca="1">SUM(Q89:Q93)</f>
        <v>1e-12</v>
      </c>
      <c r="R88" s="498">
        <f ca="1">SUM(R89:R93)</f>
        <v>1e-12</v>
      </c>
      <c r="S88" s="498">
        <f ca="1">SUM(S89:S93)</f>
        <v>1e-12</v>
      </c>
      <c r="T88" s="287">
        <f t="shared" ref="T88:T93" si="100" ca="1">SUM(P88:S88)</f>
        <v>1e-12</v>
      </c>
      <c r="U88" s="498">
        <f t="shared" ref="U88:X88" si="101" ca="1">SUM(U89:U93)</f>
        <v>1e-12</v>
      </c>
      <c r="V88" s="498">
        <f ca="1">SUM(V89:V93)</f>
        <v>1e-12</v>
      </c>
      <c r="W88" s="498">
        <f ca="1">SUM(W89:W93)</f>
        <v>1e-12</v>
      </c>
      <c r="X88" s="499">
        <f ca="1">SUM(X89:X93)</f>
        <v>1e-12</v>
      </c>
      <c r="Y88" s="287">
        <f t="shared" ref="Y88:Y93" si="102" ca="1">SUM(U88:X88)</f>
        <v>1e-12</v>
      </c>
      <c r="Z88" s="499">
        <f t="shared" ref="Z88:AC88" si="103" ca="1">SUM(Z89:Z93)</f>
        <v>1e-12</v>
      </c>
      <c r="AA88" s="499">
        <f ca="1">SUM(AA89:AA93)</f>
        <v>1e-12</v>
      </c>
      <c r="AB88" s="499">
        <f ca="1">SUM(AB89:AB93)</f>
        <v>1e-12</v>
      </c>
      <c r="AC88" s="499">
        <f ca="1">SUM(AC89:AC93)</f>
        <v>1e-12</v>
      </c>
      <c r="AD88" s="287">
        <f t="shared" ref="AD88:AD93" si="104" ca="1">SUM(Z88:AC88)</f>
        <v>1e-12</v>
      </c>
      <c r="AE88" s="500">
        <f t="shared" ref="AE88:AG88" si="105" ca="1">SUM(AE89:AE93)</f>
        <v>1e-12</v>
      </c>
      <c r="AF88" s="500">
        <f ca="1">SUM(AF89:AF93)</f>
        <v>1e-12</v>
      </c>
      <c r="AG88" s="500">
        <f ca="1">SUM(AG89:AG93)</f>
        <v>1e-12</v>
      </c>
    </row>
    <row r="89" ht="14.25" customHeight="1" hidden="1" spans="1:33" x14ac:dyDescent="0.25" outlineLevel="1">
      <c r="C89" s="476" t="s">
        <v>468</v>
      </c>
      <c r="D89" s="16"/>
      <c r="E89" s="16"/>
      <c r="F89" s="469">
        <v>0</v>
      </c>
      <c r="G89" s="469">
        <v>0</v>
      </c>
      <c r="H89" s="469">
        <v>0</v>
      </c>
      <c r="I89" s="469">
        <v>0</v>
      </c>
      <c r="J89" s="470">
        <f ca="1">SUM(F89:I89)</f>
        <v>1e-12</v>
      </c>
      <c r="K89" s="469">
        <v>0</v>
      </c>
      <c r="L89" s="469">
        <v>0</v>
      </c>
      <c r="M89" s="469">
        <v>0</v>
      </c>
      <c r="N89" s="469">
        <v>0</v>
      </c>
      <c r="O89" s="470">
        <f ca="1">SUM(K89:N89)</f>
        <v>1e-12</v>
      </c>
      <c r="P89" s="469">
        <v>0</v>
      </c>
      <c r="Q89" s="469">
        <v>0</v>
      </c>
      <c r="R89" s="469">
        <v>0</v>
      </c>
      <c r="S89" s="469">
        <v>0</v>
      </c>
      <c r="T89" s="470">
        <f ca="1">SUM(P89:S89)</f>
        <v>1e-12</v>
      </c>
      <c r="U89" s="469">
        <v>0</v>
      </c>
      <c r="V89" s="469">
        <v>0</v>
      </c>
      <c r="W89" s="469">
        <v>0</v>
      </c>
      <c r="X89" s="477">
        <v>0</v>
      </c>
      <c r="Y89" s="470">
        <f ca="1">SUM(U89:X89)</f>
        <v>1e-12</v>
      </c>
      <c r="Z89" s="477">
        <v>0</v>
      </c>
      <c r="AA89" s="477">
        <v>0</v>
      </c>
      <c r="AB89" s="477">
        <v>0</v>
      </c>
      <c r="AC89" s="477">
        <v>0</v>
      </c>
      <c r="AD89" s="470">
        <f ca="1">SUM(Z89:AC89)</f>
        <v>1e-12</v>
      </c>
      <c r="AE89" s="478">
        <v>0</v>
      </c>
      <c r="AF89" s="478">
        <v>0</v>
      </c>
      <c r="AG89" s="478">
        <v>0</v>
      </c>
    </row>
    <row r="90" ht="14.25" customHeight="1" hidden="1" spans="1:33" x14ac:dyDescent="0.25" outlineLevel="1">
      <c r="C90" s="476" t="s">
        <v>469</v>
      </c>
      <c r="D90" s="16"/>
      <c r="E90" s="16"/>
      <c r="F90" s="469">
        <v>0</v>
      </c>
      <c r="G90" s="469">
        <v>0</v>
      </c>
      <c r="H90" s="469">
        <v>0</v>
      </c>
      <c r="I90" s="469">
        <v>0</v>
      </c>
      <c r="J90" s="470">
        <f ca="1">SUM(F90:I90)</f>
        <v>1e-12</v>
      </c>
      <c r="K90" s="469">
        <v>0</v>
      </c>
      <c r="L90" s="469">
        <v>0</v>
      </c>
      <c r="M90" s="469">
        <v>0</v>
      </c>
      <c r="N90" s="469">
        <v>0</v>
      </c>
      <c r="O90" s="470">
        <f ca="1">SUM(K90:N90)</f>
        <v>1e-12</v>
      </c>
      <c r="P90" s="469">
        <v>0</v>
      </c>
      <c r="Q90" s="469">
        <v>0</v>
      </c>
      <c r="R90" s="469">
        <v>0</v>
      </c>
      <c r="S90" s="469">
        <v>0</v>
      </c>
      <c r="T90" s="470">
        <f ca="1">SUM(P90:S90)</f>
        <v>1e-12</v>
      </c>
      <c r="U90" s="469">
        <v>0</v>
      </c>
      <c r="V90" s="469">
        <v>0</v>
      </c>
      <c r="W90" s="469">
        <v>0</v>
      </c>
      <c r="X90" s="477">
        <v>0</v>
      </c>
      <c r="Y90" s="470">
        <f ca="1">SUM(U90:X90)</f>
        <v>1e-12</v>
      </c>
      <c r="Z90" s="477">
        <v>0</v>
      </c>
      <c r="AA90" s="477">
        <v>0</v>
      </c>
      <c r="AB90" s="477">
        <v>0</v>
      </c>
      <c r="AC90" s="477">
        <v>0</v>
      </c>
      <c r="AD90" s="470">
        <f ca="1">SUM(Z90:AC90)</f>
        <v>1e-12</v>
      </c>
      <c r="AE90" s="478">
        <v>0</v>
      </c>
      <c r="AF90" s="478">
        <v>0</v>
      </c>
      <c r="AG90" s="478">
        <v>0</v>
      </c>
    </row>
    <row r="91" ht="14.25" customHeight="1" hidden="1" spans="1:33" x14ac:dyDescent="0.25" outlineLevel="1">
      <c r="C91" s="476" t="s">
        <v>470</v>
      </c>
      <c r="D91" s="16"/>
      <c r="E91" s="16"/>
      <c r="F91" s="469">
        <v>0</v>
      </c>
      <c r="G91" s="469">
        <v>0</v>
      </c>
      <c r="H91" s="469">
        <v>0</v>
      </c>
      <c r="I91" s="469">
        <v>0</v>
      </c>
      <c r="J91" s="470">
        <f ca="1">SUM(F91:I91)</f>
        <v>1e-12</v>
      </c>
      <c r="K91" s="469">
        <v>0</v>
      </c>
      <c r="L91" s="469">
        <v>0</v>
      </c>
      <c r="M91" s="469">
        <v>0</v>
      </c>
      <c r="N91" s="469">
        <v>0</v>
      </c>
      <c r="O91" s="470">
        <f ca="1">SUM(K91:N91)</f>
        <v>1e-12</v>
      </c>
      <c r="P91" s="469">
        <v>0</v>
      </c>
      <c r="Q91" s="469">
        <v>0</v>
      </c>
      <c r="R91" s="469">
        <v>0</v>
      </c>
      <c r="S91" s="469">
        <v>0</v>
      </c>
      <c r="T91" s="470">
        <f ca="1">SUM(P91:S91)</f>
        <v>1e-12</v>
      </c>
      <c r="U91" s="469">
        <v>0</v>
      </c>
      <c r="V91" s="469">
        <v>0</v>
      </c>
      <c r="W91" s="469">
        <v>0</v>
      </c>
      <c r="X91" s="477">
        <v>0</v>
      </c>
      <c r="Y91" s="470">
        <f ca="1">SUM(U91:X91)</f>
        <v>1e-12</v>
      </c>
      <c r="Z91" s="477">
        <v>0</v>
      </c>
      <c r="AA91" s="477">
        <v>0</v>
      </c>
      <c r="AB91" s="477">
        <v>0</v>
      </c>
      <c r="AC91" s="477">
        <v>0</v>
      </c>
      <c r="AD91" s="470">
        <f ca="1">SUM(Z91:AC91)</f>
        <v>1e-12</v>
      </c>
      <c r="AE91" s="478">
        <v>0</v>
      </c>
      <c r="AF91" s="478">
        <v>0</v>
      </c>
      <c r="AG91" s="478">
        <v>0</v>
      </c>
    </row>
    <row r="92" ht="14.25" customHeight="1" hidden="1" spans="1:33" x14ac:dyDescent="0.25" outlineLevel="1">
      <c r="C92" s="476" t="s">
        <v>471</v>
      </c>
      <c r="D92" s="16"/>
      <c r="E92" s="16"/>
      <c r="F92" s="469">
        <v>0</v>
      </c>
      <c r="G92" s="469">
        <v>0</v>
      </c>
      <c r="H92" s="469">
        <v>0</v>
      </c>
      <c r="I92" s="469">
        <v>0</v>
      </c>
      <c r="J92" s="470">
        <f ca="1">SUM(F92:I92)</f>
        <v>1e-12</v>
      </c>
      <c r="K92" s="469">
        <v>0</v>
      </c>
      <c r="L92" s="469">
        <v>0</v>
      </c>
      <c r="M92" s="469">
        <v>0</v>
      </c>
      <c r="N92" s="469">
        <v>0</v>
      </c>
      <c r="O92" s="470">
        <f ca="1">SUM(K92:N92)</f>
        <v>1e-12</v>
      </c>
      <c r="P92" s="469">
        <v>0</v>
      </c>
      <c r="Q92" s="469">
        <v>0</v>
      </c>
      <c r="R92" s="469">
        <v>0</v>
      </c>
      <c r="S92" s="469">
        <v>0</v>
      </c>
      <c r="T92" s="470">
        <f ca="1">SUM(P92:S92)</f>
        <v>1e-12</v>
      </c>
      <c r="U92" s="469">
        <v>0</v>
      </c>
      <c r="V92" s="469">
        <v>0</v>
      </c>
      <c r="W92" s="469">
        <v>0</v>
      </c>
      <c r="X92" s="477">
        <v>0</v>
      </c>
      <c r="Y92" s="470">
        <f ca="1">SUM(U92:X92)</f>
        <v>1e-12</v>
      </c>
      <c r="Z92" s="477">
        <v>0</v>
      </c>
      <c r="AA92" s="477">
        <v>0</v>
      </c>
      <c r="AB92" s="477">
        <v>0</v>
      </c>
      <c r="AC92" s="477">
        <v>0</v>
      </c>
      <c r="AD92" s="470">
        <f ca="1">SUM(Z92:AC92)</f>
        <v>1e-12</v>
      </c>
      <c r="AE92" s="478">
        <v>0</v>
      </c>
      <c r="AF92" s="478">
        <v>0</v>
      </c>
      <c r="AG92" s="478">
        <v>0</v>
      </c>
    </row>
    <row r="93" ht="14.25" customHeight="1" hidden="1" spans="1:33" x14ac:dyDescent="0.25" outlineLevel="1">
      <c r="C93" s="476" t="s">
        <v>472</v>
      </c>
      <c r="D93" s="16"/>
      <c r="E93" s="16"/>
      <c r="F93" s="469">
        <v>0</v>
      </c>
      <c r="G93" s="469">
        <v>0</v>
      </c>
      <c r="H93" s="469">
        <v>0</v>
      </c>
      <c r="I93" s="469">
        <v>0</v>
      </c>
      <c r="J93" s="470">
        <f ca="1">SUM(F93:I93)</f>
        <v>1e-12</v>
      </c>
      <c r="K93" s="469">
        <v>0</v>
      </c>
      <c r="L93" s="469">
        <v>0</v>
      </c>
      <c r="M93" s="469">
        <v>0</v>
      </c>
      <c r="N93" s="469">
        <v>0</v>
      </c>
      <c r="O93" s="470">
        <f ca="1">SUM(K93:N93)</f>
        <v>1e-12</v>
      </c>
      <c r="P93" s="469">
        <v>0</v>
      </c>
      <c r="Q93" s="469">
        <v>0</v>
      </c>
      <c r="R93" s="469">
        <v>0</v>
      </c>
      <c r="S93" s="469">
        <v>0</v>
      </c>
      <c r="T93" s="470">
        <f ca="1">SUM(P93:S93)</f>
        <v>1e-12</v>
      </c>
      <c r="U93" s="469">
        <v>0</v>
      </c>
      <c r="V93" s="469">
        <v>0</v>
      </c>
      <c r="W93" s="469">
        <v>0</v>
      </c>
      <c r="X93" s="477">
        <v>0</v>
      </c>
      <c r="Y93" s="470">
        <f ca="1">SUM(U93:X93)</f>
        <v>1e-12</v>
      </c>
      <c r="Z93" s="477">
        <v>0</v>
      </c>
      <c r="AA93" s="477">
        <v>0</v>
      </c>
      <c r="AB93" s="477">
        <v>0</v>
      </c>
      <c r="AC93" s="477">
        <v>0</v>
      </c>
      <c r="AD93" s="470">
        <f ca="1">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447</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 ca="1">C$89</f>
        <v>North America</v>
      </c>
      <c r="D96" s="16"/>
      <c r="E96" s="16"/>
      <c r="F96" s="319" t="str">
        <f t="shared" ref="F96:AG96" si="106" ca="1">IFERROR(F89/F$88,"N/A")</f>
        <v>N/A</v>
      </c>
      <c r="G96" s="319" t="str">
        <f ca="1">IFERROR(G89/G$88,"N/A")</f>
        <v>N/A</v>
      </c>
      <c r="H96" s="319" t="str">
        <f ca="1">IFERROR(H89/H$88,"N/A")</f>
        <v>N/A</v>
      </c>
      <c r="I96" s="319" t="str">
        <f ca="1">IFERROR(I89/I$88,"N/A")</f>
        <v>N/A</v>
      </c>
      <c r="J96" s="168" t="str">
        <f ca="1">IFERROR(J89/J$88,"N/A")</f>
        <v>N/A</v>
      </c>
      <c r="K96" s="377" t="str">
        <f ca="1">IFERROR(K89/K$88,"N/A")</f>
        <v>N/A</v>
      </c>
      <c r="L96" s="377" t="str">
        <f ca="1">IFERROR(L89/L$88,"N/A")</f>
        <v>N/A</v>
      </c>
      <c r="M96" s="377" t="str">
        <f ca="1">IFERROR(M89/M$88,"N/A")</f>
        <v>N/A</v>
      </c>
      <c r="N96" s="377" t="str">
        <f ca="1">IFERROR(N89/N$88,"N/A")</f>
        <v>N/A</v>
      </c>
      <c r="O96" s="378" t="str">
        <f ca="1">IFERROR(O89/O$88,"N/A")</f>
        <v>N/A</v>
      </c>
      <c r="P96" s="377" t="str">
        <f ca="1">IFERROR(P89/P$88,"N/A")</f>
        <v>N/A</v>
      </c>
      <c r="Q96" s="377" t="str">
        <f ca="1">IFERROR(Q89/Q$88,"N/A")</f>
        <v>N/A</v>
      </c>
      <c r="R96" s="377" t="str">
        <f ca="1">IFERROR(R89/R$88,"N/A")</f>
        <v>N/A</v>
      </c>
      <c r="S96" s="377" t="str">
        <f ca="1">IFERROR(S89/S$88,"N/A")</f>
        <v>N/A</v>
      </c>
      <c r="T96" s="378" t="str">
        <f ca="1">IFERROR(T89/T$88,"N/A")</f>
        <v>N/A</v>
      </c>
      <c r="U96" s="377" t="str">
        <f ca="1">IFERROR(U89/U$88,"N/A")</f>
        <v>N/A</v>
      </c>
      <c r="V96" s="377" t="str">
        <f ca="1">IFERROR(V89/V$88,"N/A")</f>
        <v>N/A</v>
      </c>
      <c r="W96" s="377" t="str">
        <f ca="1">IFERROR(W89/W$88,"N/A")</f>
        <v>N/A</v>
      </c>
      <c r="X96" s="379" t="str">
        <f ca="1">IFERROR(X89/X$88,"N/A")</f>
        <v>N/A</v>
      </c>
      <c r="Y96" s="378" t="str">
        <f ca="1">IFERROR(Y89/Y$88,"N/A")</f>
        <v>N/A</v>
      </c>
      <c r="Z96" s="379" t="str">
        <f ca="1">IFERROR(Z89/Z$88,"N/A")</f>
        <v>N/A</v>
      </c>
      <c r="AA96" s="379" t="str">
        <f ca="1">IFERROR(AA89/AA$88,"N/A")</f>
        <v>N/A</v>
      </c>
      <c r="AB96" s="379" t="str">
        <f ca="1">IFERROR(AB89/AB$88,"N/A")</f>
        <v>N/A</v>
      </c>
      <c r="AC96" s="379" t="str">
        <f ca="1">IFERROR(AC89/AC$88,"N/A")</f>
        <v>N/A</v>
      </c>
      <c r="AD96" s="378" t="str">
        <f ca="1">IFERROR(AD89/AD$88,"N/A")</f>
        <v>N/A</v>
      </c>
      <c r="AE96" s="378" t="str">
        <f ca="1">IFERROR(AE89/AE$88,"N/A")</f>
        <v>N/A</v>
      </c>
      <c r="AF96" s="378" t="str">
        <f ca="1">IFERROR(AF89/AF$88,"N/A")</f>
        <v>N/A</v>
      </c>
      <c r="AG96" s="378" t="str">
        <f ca="1">IFERROR(AG89/AG$88,"N/A")</f>
        <v>N/A</v>
      </c>
    </row>
    <row r="97" ht="14.25" customHeight="1" hidden="1" spans="1:33" x14ac:dyDescent="0.25" outlineLevel="1">
      <c r="C97" s="139" t="str">
        <f ca="1">C$90</f>
        <v>Europe</v>
      </c>
      <c r="D97" s="16"/>
      <c r="E97" s="16"/>
      <c r="F97" s="319" t="str">
        <f t="shared" ref="F97:AG97" si="107" ca="1">IFERROR(F90/F$88,"N/A")</f>
        <v>N/A</v>
      </c>
      <c r="G97" s="319" t="str">
        <f ca="1">IFERROR(G90/G$88,"N/A")</f>
        <v>N/A</v>
      </c>
      <c r="H97" s="319" t="str">
        <f ca="1">IFERROR(H90/H$88,"N/A")</f>
        <v>N/A</v>
      </c>
      <c r="I97" s="319" t="str">
        <f ca="1">IFERROR(I90/I$88,"N/A")</f>
        <v>N/A</v>
      </c>
      <c r="J97" s="168" t="str">
        <f ca="1">IFERROR(J90/J$88,"N/A")</f>
        <v>N/A</v>
      </c>
      <c r="K97" s="377" t="str">
        <f ca="1">IFERROR(K90/K$88,"N/A")</f>
        <v>N/A</v>
      </c>
      <c r="L97" s="377" t="str">
        <f ca="1">IFERROR(L90/L$88,"N/A")</f>
        <v>N/A</v>
      </c>
      <c r="M97" s="377" t="str">
        <f ca="1">IFERROR(M90/M$88,"N/A")</f>
        <v>N/A</v>
      </c>
      <c r="N97" s="377" t="str">
        <f ca="1">IFERROR(N90/N$88,"N/A")</f>
        <v>N/A</v>
      </c>
      <c r="O97" s="378" t="str">
        <f ca="1">IFERROR(O90/O$88,"N/A")</f>
        <v>N/A</v>
      </c>
      <c r="P97" s="377" t="str">
        <f ca="1">IFERROR(P90/P$88,"N/A")</f>
        <v>N/A</v>
      </c>
      <c r="Q97" s="377" t="str">
        <f ca="1">IFERROR(Q90/Q$88,"N/A")</f>
        <v>N/A</v>
      </c>
      <c r="R97" s="377" t="str">
        <f ca="1">IFERROR(R90/R$88,"N/A")</f>
        <v>N/A</v>
      </c>
      <c r="S97" s="377" t="str">
        <f ca="1">IFERROR(S90/S$88,"N/A")</f>
        <v>N/A</v>
      </c>
      <c r="T97" s="378" t="str">
        <f ca="1">IFERROR(T90/T$88,"N/A")</f>
        <v>N/A</v>
      </c>
      <c r="U97" s="377" t="str">
        <f ca="1">IFERROR(U90/U$88,"N/A")</f>
        <v>N/A</v>
      </c>
      <c r="V97" s="377" t="str">
        <f ca="1">IFERROR(V90/V$88,"N/A")</f>
        <v>N/A</v>
      </c>
      <c r="W97" s="377" t="str">
        <f ca="1">IFERROR(W90/W$88,"N/A")</f>
        <v>N/A</v>
      </c>
      <c r="X97" s="379" t="str">
        <f ca="1">IFERROR(X90/X$88,"N/A")</f>
        <v>N/A</v>
      </c>
      <c r="Y97" s="378" t="str">
        <f ca="1">IFERROR(Y90/Y$88,"N/A")</f>
        <v>N/A</v>
      </c>
      <c r="Z97" s="379" t="str">
        <f ca="1">IFERROR(Z90/Z$88,"N/A")</f>
        <v>N/A</v>
      </c>
      <c r="AA97" s="379" t="str">
        <f ca="1">IFERROR(AA90/AA$88,"N/A")</f>
        <v>N/A</v>
      </c>
      <c r="AB97" s="379" t="str">
        <f ca="1">IFERROR(AB90/AB$88,"N/A")</f>
        <v>N/A</v>
      </c>
      <c r="AC97" s="379" t="str">
        <f ca="1">IFERROR(AC90/AC$88,"N/A")</f>
        <v>N/A</v>
      </c>
      <c r="AD97" s="378" t="str">
        <f ca="1">IFERROR(AD90/AD$88,"N/A")</f>
        <v>N/A</v>
      </c>
      <c r="AE97" s="378" t="str">
        <f ca="1">IFERROR(AE90/AE$88,"N/A")</f>
        <v>N/A</v>
      </c>
      <c r="AF97" s="378" t="str">
        <f ca="1">IFERROR(AF90/AF$88,"N/A")</f>
        <v>N/A</v>
      </c>
      <c r="AG97" s="378" t="str">
        <f ca="1">IFERROR(AG90/AG$88,"N/A")</f>
        <v>N/A</v>
      </c>
    </row>
    <row r="98" ht="14.25" customHeight="1" hidden="1" spans="1:33" x14ac:dyDescent="0.25" outlineLevel="1">
      <c r="C98" s="139" t="str">
        <f ca="1">C$91</f>
        <v>South America</v>
      </c>
      <c r="D98" s="16"/>
      <c r="E98" s="16"/>
      <c r="F98" s="319" t="str">
        <f t="shared" ref="F98:AG98" si="108" ca="1">IFERROR(F91/F$88,"N/A")</f>
        <v>N/A</v>
      </c>
      <c r="G98" s="319" t="str">
        <f ca="1">IFERROR(G91/G$88,"N/A")</f>
        <v>N/A</v>
      </c>
      <c r="H98" s="319" t="str">
        <f ca="1">IFERROR(H91/H$88,"N/A")</f>
        <v>N/A</v>
      </c>
      <c r="I98" s="319" t="str">
        <f ca="1">IFERROR(I91/I$88,"N/A")</f>
        <v>N/A</v>
      </c>
      <c r="J98" s="168" t="str">
        <f ca="1">IFERROR(J91/J$88,"N/A")</f>
        <v>N/A</v>
      </c>
      <c r="K98" s="377" t="str">
        <f ca="1">IFERROR(K91/K$88,"N/A")</f>
        <v>N/A</v>
      </c>
      <c r="L98" s="377" t="str">
        <f ca="1">IFERROR(L91/L$88,"N/A")</f>
        <v>N/A</v>
      </c>
      <c r="M98" s="377" t="str">
        <f ca="1">IFERROR(M91/M$88,"N/A")</f>
        <v>N/A</v>
      </c>
      <c r="N98" s="377" t="str">
        <f ca="1">IFERROR(N91/N$88,"N/A")</f>
        <v>N/A</v>
      </c>
      <c r="O98" s="378" t="str">
        <f ca="1">IFERROR(O91/O$88,"N/A")</f>
        <v>N/A</v>
      </c>
      <c r="P98" s="377" t="str">
        <f ca="1">IFERROR(P91/P$88,"N/A")</f>
        <v>N/A</v>
      </c>
      <c r="Q98" s="377" t="str">
        <f ca="1">IFERROR(Q91/Q$88,"N/A")</f>
        <v>N/A</v>
      </c>
      <c r="R98" s="377" t="str">
        <f ca="1">IFERROR(R91/R$88,"N/A")</f>
        <v>N/A</v>
      </c>
      <c r="S98" s="377" t="str">
        <f ca="1">IFERROR(S91/S$88,"N/A")</f>
        <v>N/A</v>
      </c>
      <c r="T98" s="378" t="str">
        <f ca="1">IFERROR(T91/T$88,"N/A")</f>
        <v>N/A</v>
      </c>
      <c r="U98" s="377" t="str">
        <f ca="1">IFERROR(U91/U$88,"N/A")</f>
        <v>N/A</v>
      </c>
      <c r="V98" s="377" t="str">
        <f ca="1">IFERROR(V91/V$88,"N/A")</f>
        <v>N/A</v>
      </c>
      <c r="W98" s="377" t="str">
        <f ca="1">IFERROR(W91/W$88,"N/A")</f>
        <v>N/A</v>
      </c>
      <c r="X98" s="379" t="str">
        <f ca="1">IFERROR(X91/X$88,"N/A")</f>
        <v>N/A</v>
      </c>
      <c r="Y98" s="378" t="str">
        <f ca="1">IFERROR(Y91/Y$88,"N/A")</f>
        <v>N/A</v>
      </c>
      <c r="Z98" s="379" t="str">
        <f ca="1">IFERROR(Z91/Z$88,"N/A")</f>
        <v>N/A</v>
      </c>
      <c r="AA98" s="379" t="str">
        <f ca="1">IFERROR(AA91/AA$88,"N/A")</f>
        <v>N/A</v>
      </c>
      <c r="AB98" s="379" t="str">
        <f ca="1">IFERROR(AB91/AB$88,"N/A")</f>
        <v>N/A</v>
      </c>
      <c r="AC98" s="379" t="str">
        <f ca="1">IFERROR(AC91/AC$88,"N/A")</f>
        <v>N/A</v>
      </c>
      <c r="AD98" s="378" t="str">
        <f ca="1">IFERROR(AD91/AD$88,"N/A")</f>
        <v>N/A</v>
      </c>
      <c r="AE98" s="378" t="str">
        <f ca="1">IFERROR(AE91/AE$88,"N/A")</f>
        <v>N/A</v>
      </c>
      <c r="AF98" s="378" t="str">
        <f ca="1">IFERROR(AF91/AF$88,"N/A")</f>
        <v>N/A</v>
      </c>
      <c r="AG98" s="378" t="str">
        <f ca="1">IFERROR(AG91/AG$88,"N/A")</f>
        <v>N/A</v>
      </c>
    </row>
    <row r="99" ht="14.25" customHeight="1" hidden="1" spans="1:33" x14ac:dyDescent="0.25" outlineLevel="1">
      <c r="C99" s="139" t="str">
        <f ca="1">C$92</f>
        <v>Middle East &amp; Africa</v>
      </c>
      <c r="D99" s="16"/>
      <c r="E99" s="16"/>
      <c r="F99" s="319" t="str">
        <f t="shared" ref="F99:AG99" si="109" ca="1">IFERROR(F92/F$88,"N/A")</f>
        <v>N/A</v>
      </c>
      <c r="G99" s="319" t="str">
        <f ca="1">IFERROR(G92/G$88,"N/A")</f>
        <v>N/A</v>
      </c>
      <c r="H99" s="319" t="str">
        <f ca="1">IFERROR(H92/H$88,"N/A")</f>
        <v>N/A</v>
      </c>
      <c r="I99" s="319" t="str">
        <f ca="1">IFERROR(I92/I$88,"N/A")</f>
        <v>N/A</v>
      </c>
      <c r="J99" s="168" t="str">
        <f ca="1">IFERROR(J92/J$88,"N/A")</f>
        <v>N/A</v>
      </c>
      <c r="K99" s="377" t="str">
        <f ca="1">IFERROR(K92/K$88,"N/A")</f>
        <v>N/A</v>
      </c>
      <c r="L99" s="377" t="str">
        <f ca="1">IFERROR(L92/L$88,"N/A")</f>
        <v>N/A</v>
      </c>
      <c r="M99" s="377" t="str">
        <f ca="1">IFERROR(M92/M$88,"N/A")</f>
        <v>N/A</v>
      </c>
      <c r="N99" s="377" t="str">
        <f ca="1">IFERROR(N92/N$88,"N/A")</f>
        <v>N/A</v>
      </c>
      <c r="O99" s="378" t="str">
        <f ca="1">IFERROR(O92/O$88,"N/A")</f>
        <v>N/A</v>
      </c>
      <c r="P99" s="377" t="str">
        <f ca="1">IFERROR(P92/P$88,"N/A")</f>
        <v>N/A</v>
      </c>
      <c r="Q99" s="377" t="str">
        <f ca="1">IFERROR(Q92/Q$88,"N/A")</f>
        <v>N/A</v>
      </c>
      <c r="R99" s="377" t="str">
        <f ca="1">IFERROR(R92/R$88,"N/A")</f>
        <v>N/A</v>
      </c>
      <c r="S99" s="377" t="str">
        <f ca="1">IFERROR(S92/S$88,"N/A")</f>
        <v>N/A</v>
      </c>
      <c r="T99" s="378" t="str">
        <f ca="1">IFERROR(T92/T$88,"N/A")</f>
        <v>N/A</v>
      </c>
      <c r="U99" s="377" t="str">
        <f ca="1">IFERROR(U92/U$88,"N/A")</f>
        <v>N/A</v>
      </c>
      <c r="V99" s="377" t="str">
        <f ca="1">IFERROR(V92/V$88,"N/A")</f>
        <v>N/A</v>
      </c>
      <c r="W99" s="377" t="str">
        <f ca="1">IFERROR(W92/W$88,"N/A")</f>
        <v>N/A</v>
      </c>
      <c r="X99" s="379" t="str">
        <f ca="1">IFERROR(X92/X$88,"N/A")</f>
        <v>N/A</v>
      </c>
      <c r="Y99" s="378" t="str">
        <f ca="1">IFERROR(Y92/Y$88,"N/A")</f>
        <v>N/A</v>
      </c>
      <c r="Z99" s="379" t="str">
        <f ca="1">IFERROR(Z92/Z$88,"N/A")</f>
        <v>N/A</v>
      </c>
      <c r="AA99" s="379" t="str">
        <f ca="1">IFERROR(AA92/AA$88,"N/A")</f>
        <v>N/A</v>
      </c>
      <c r="AB99" s="379" t="str">
        <f ca="1">IFERROR(AB92/AB$88,"N/A")</f>
        <v>N/A</v>
      </c>
      <c r="AC99" s="379" t="str">
        <f ca="1">IFERROR(AC92/AC$88,"N/A")</f>
        <v>N/A</v>
      </c>
      <c r="AD99" s="378" t="str">
        <f ca="1">IFERROR(AD92/AD$88,"N/A")</f>
        <v>N/A</v>
      </c>
      <c r="AE99" s="378" t="str">
        <f ca="1">IFERROR(AE92/AE$88,"N/A")</f>
        <v>N/A</v>
      </c>
      <c r="AF99" s="378" t="str">
        <f ca="1">IFERROR(AF92/AF$88,"N/A")</f>
        <v>N/A</v>
      </c>
      <c r="AG99" s="378" t="str">
        <f ca="1">IFERROR(AG92/AG$88,"N/A")</f>
        <v>N/A</v>
      </c>
    </row>
    <row r="100" ht="14.25" customHeight="1" hidden="1" spans="1:33" x14ac:dyDescent="0.25" outlineLevel="1">
      <c r="C100" s="139" t="str">
        <f ca="1">C$93</f>
        <v>Asia Pacific</v>
      </c>
      <c r="D100" s="16"/>
      <c r="E100" s="16"/>
      <c r="F100" s="319" t="str">
        <f t="shared" ref="F100:AG100" si="110" ca="1">IFERROR(F93/F$88,"N/A")</f>
        <v>N/A</v>
      </c>
      <c r="G100" s="319" t="str">
        <f ca="1">IFERROR(G93/G$88,"N/A")</f>
        <v>N/A</v>
      </c>
      <c r="H100" s="319" t="str">
        <f ca="1">IFERROR(H93/H$88,"N/A")</f>
        <v>N/A</v>
      </c>
      <c r="I100" s="319" t="str">
        <f ca="1">IFERROR(I93/I$88,"N/A")</f>
        <v>N/A</v>
      </c>
      <c r="J100" s="168" t="str">
        <f ca="1">IFERROR(J93/J$88,"N/A")</f>
        <v>N/A</v>
      </c>
      <c r="K100" s="377" t="str">
        <f ca="1">IFERROR(K93/K$88,"N/A")</f>
        <v>N/A</v>
      </c>
      <c r="L100" s="377" t="str">
        <f ca="1">IFERROR(L93/L$88,"N/A")</f>
        <v>N/A</v>
      </c>
      <c r="M100" s="377" t="str">
        <f ca="1">IFERROR(M93/M$88,"N/A")</f>
        <v>N/A</v>
      </c>
      <c r="N100" s="377" t="str">
        <f ca="1">IFERROR(N93/N$88,"N/A")</f>
        <v>N/A</v>
      </c>
      <c r="O100" s="378" t="str">
        <f ca="1">IFERROR(O93/O$88,"N/A")</f>
        <v>N/A</v>
      </c>
      <c r="P100" s="377" t="str">
        <f ca="1">IFERROR(P93/P$88,"N/A")</f>
        <v>N/A</v>
      </c>
      <c r="Q100" s="377" t="str">
        <f ca="1">IFERROR(Q93/Q$88,"N/A")</f>
        <v>N/A</v>
      </c>
      <c r="R100" s="377" t="str">
        <f ca="1">IFERROR(R93/R$88,"N/A")</f>
        <v>N/A</v>
      </c>
      <c r="S100" s="377" t="str">
        <f ca="1">IFERROR(S93/S$88,"N/A")</f>
        <v>N/A</v>
      </c>
      <c r="T100" s="378" t="str">
        <f ca="1">IFERROR(T93/T$88,"N/A")</f>
        <v>N/A</v>
      </c>
      <c r="U100" s="377" t="str">
        <f ca="1">IFERROR(U93/U$88,"N/A")</f>
        <v>N/A</v>
      </c>
      <c r="V100" s="377" t="str">
        <f ca="1">IFERROR(V93/V$88,"N/A")</f>
        <v>N/A</v>
      </c>
      <c r="W100" s="377" t="str">
        <f ca="1">IFERROR(W93/W$88,"N/A")</f>
        <v>N/A</v>
      </c>
      <c r="X100" s="379" t="str">
        <f ca="1">IFERROR(X93/X$88,"N/A")</f>
        <v>N/A</v>
      </c>
      <c r="Y100" s="378" t="str">
        <f ca="1">IFERROR(Y93/Y$88,"N/A")</f>
        <v>N/A</v>
      </c>
      <c r="Z100" s="379" t="str">
        <f ca="1">IFERROR(Z93/Z$88,"N/A")</f>
        <v>N/A</v>
      </c>
      <c r="AA100" s="379" t="str">
        <f ca="1">IFERROR(AA93/AA$88,"N/A")</f>
        <v>N/A</v>
      </c>
      <c r="AB100" s="379" t="str">
        <f ca="1">IFERROR(AB93/AB$88,"N/A")</f>
        <v>N/A</v>
      </c>
      <c r="AC100" s="379" t="str">
        <f ca="1">IFERROR(AC93/AC$88,"N/A")</f>
        <v>N/A</v>
      </c>
      <c r="AD100" s="378" t="str">
        <f ca="1">IFERROR(AD93/AD$88,"N/A")</f>
        <v>N/A</v>
      </c>
      <c r="AE100" s="378" t="str">
        <f ca="1">IFERROR(AE93/AE$88,"N/A")</f>
        <v>N/A</v>
      </c>
      <c r="AF100" s="378" t="str">
        <f ca="1">IFERROR(AF93/AF$88,"N/A")</f>
        <v>N/A</v>
      </c>
      <c r="AG100" s="378" t="str">
        <f ca="1">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 ca="1">'Segment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 ca="1">C$89</f>
        <v>North America</v>
      </c>
      <c r="D103" s="16"/>
      <c r="E103" s="16"/>
      <c r="F103" s="469">
        <v>0</v>
      </c>
      <c r="G103" s="469">
        <v>0</v>
      </c>
      <c r="H103" s="469">
        <v>0</v>
      </c>
      <c r="I103" s="469">
        <v>0</v>
      </c>
      <c r="J103" s="470">
        <f t="shared" ref="J103:J107" si="111" ca="1">SUM(F103:I103)</f>
        <v>1e-12</v>
      </c>
      <c r="K103" s="469">
        <v>0</v>
      </c>
      <c r="L103" s="469">
        <v>0</v>
      </c>
      <c r="M103" s="469">
        <v>0</v>
      </c>
      <c r="N103" s="469">
        <v>0</v>
      </c>
      <c r="O103" s="470">
        <f t="shared" ref="O103:O107" si="112" ca="1">SUM(K103:N103)</f>
        <v>1e-12</v>
      </c>
      <c r="P103" s="469">
        <v>0</v>
      </c>
      <c r="Q103" s="469">
        <v>0</v>
      </c>
      <c r="R103" s="469">
        <v>0</v>
      </c>
      <c r="S103" s="469">
        <v>0</v>
      </c>
      <c r="T103" s="470">
        <f t="shared" ref="T103:T107" si="113" ca="1">SUM(P103:S103)</f>
        <v>1e-12</v>
      </c>
      <c r="U103" s="469">
        <v>0</v>
      </c>
      <c r="V103" s="469">
        <v>0</v>
      </c>
      <c r="W103" s="469">
        <v>0</v>
      </c>
      <c r="X103" s="477">
        <v>0</v>
      </c>
      <c r="Y103" s="470">
        <f t="shared" ref="Y103:Y107" si="114" ca="1">SUM(U103:X103)</f>
        <v>1e-12</v>
      </c>
      <c r="Z103" s="477">
        <v>0</v>
      </c>
      <c r="AA103" s="477">
        <v>0</v>
      </c>
      <c r="AB103" s="477">
        <v>0</v>
      </c>
      <c r="AC103" s="477">
        <v>0</v>
      </c>
      <c r="AD103" s="470">
        <f t="shared" ref="AD103:AD107" si="115" ca="1">SUM(Z103:AC103)</f>
        <v>1e-12</v>
      </c>
      <c r="AE103" s="478">
        <v>0</v>
      </c>
      <c r="AF103" s="478">
        <v>0</v>
      </c>
      <c r="AG103" s="478">
        <v>0</v>
      </c>
    </row>
    <row r="104" ht="14.25" customHeight="1" hidden="1" spans="1:33" x14ac:dyDescent="0.25" outlineLevel="1">
      <c r="C104" s="139" t="str">
        <f ca="1">C$90</f>
        <v>Europe</v>
      </c>
      <c r="D104" s="16"/>
      <c r="E104" s="16"/>
      <c r="F104" s="469">
        <v>0</v>
      </c>
      <c r="G104" s="469">
        <v>0</v>
      </c>
      <c r="H104" s="469">
        <v>0</v>
      </c>
      <c r="I104" s="469">
        <v>0</v>
      </c>
      <c r="J104" s="470">
        <f ca="1">SUM(F104:I104)</f>
        <v>1e-12</v>
      </c>
      <c r="K104" s="469">
        <v>0</v>
      </c>
      <c r="L104" s="469">
        <v>0</v>
      </c>
      <c r="M104" s="469">
        <v>0</v>
      </c>
      <c r="N104" s="469">
        <v>0</v>
      </c>
      <c r="O104" s="470">
        <f ca="1">SUM(K104:N104)</f>
        <v>1e-12</v>
      </c>
      <c r="P104" s="469">
        <v>0</v>
      </c>
      <c r="Q104" s="469">
        <v>0</v>
      </c>
      <c r="R104" s="469">
        <v>0</v>
      </c>
      <c r="S104" s="469">
        <v>0</v>
      </c>
      <c r="T104" s="470">
        <f ca="1">SUM(P104:S104)</f>
        <v>1e-12</v>
      </c>
      <c r="U104" s="469">
        <v>0</v>
      </c>
      <c r="V104" s="469">
        <v>0</v>
      </c>
      <c r="W104" s="469">
        <v>0</v>
      </c>
      <c r="X104" s="477">
        <v>0</v>
      </c>
      <c r="Y104" s="470">
        <f ca="1">SUM(U104:X104)</f>
        <v>1e-12</v>
      </c>
      <c r="Z104" s="477">
        <v>0</v>
      </c>
      <c r="AA104" s="477">
        <v>0</v>
      </c>
      <c r="AB104" s="477">
        <v>0</v>
      </c>
      <c r="AC104" s="477">
        <v>0</v>
      </c>
      <c r="AD104" s="470">
        <f ca="1">SUM(Z104:AC104)</f>
        <v>1e-12</v>
      </c>
      <c r="AE104" s="478">
        <v>0</v>
      </c>
      <c r="AF104" s="478">
        <v>0</v>
      </c>
      <c r="AG104" s="478">
        <v>0</v>
      </c>
    </row>
    <row r="105" ht="14.25" customHeight="1" hidden="1" spans="1:33" x14ac:dyDescent="0.25" outlineLevel="1">
      <c r="C105" s="139" t="str">
        <f ca="1">C$91</f>
        <v>South America</v>
      </c>
      <c r="D105" s="16"/>
      <c r="E105" s="16"/>
      <c r="F105" s="469">
        <v>0</v>
      </c>
      <c r="G105" s="469">
        <v>0</v>
      </c>
      <c r="H105" s="469">
        <v>0</v>
      </c>
      <c r="I105" s="469">
        <v>0</v>
      </c>
      <c r="J105" s="470">
        <f ca="1">SUM(F105:I105)</f>
        <v>1e-12</v>
      </c>
      <c r="K105" s="469">
        <v>0</v>
      </c>
      <c r="L105" s="469">
        <v>0</v>
      </c>
      <c r="M105" s="469">
        <v>0</v>
      </c>
      <c r="N105" s="469">
        <v>0</v>
      </c>
      <c r="O105" s="470">
        <f ca="1">SUM(K105:N105)</f>
        <v>1e-12</v>
      </c>
      <c r="P105" s="469">
        <v>0</v>
      </c>
      <c r="Q105" s="469">
        <v>0</v>
      </c>
      <c r="R105" s="469">
        <v>0</v>
      </c>
      <c r="S105" s="469">
        <v>0</v>
      </c>
      <c r="T105" s="470">
        <f ca="1">SUM(P105:S105)</f>
        <v>1e-12</v>
      </c>
      <c r="U105" s="469">
        <v>0</v>
      </c>
      <c r="V105" s="469">
        <v>0</v>
      </c>
      <c r="W105" s="469">
        <v>0</v>
      </c>
      <c r="X105" s="477">
        <v>0</v>
      </c>
      <c r="Y105" s="470">
        <f ca="1">SUM(U105:X105)</f>
        <v>1e-12</v>
      </c>
      <c r="Z105" s="477">
        <v>0</v>
      </c>
      <c r="AA105" s="477">
        <v>0</v>
      </c>
      <c r="AB105" s="477">
        <v>0</v>
      </c>
      <c r="AC105" s="477">
        <v>0</v>
      </c>
      <c r="AD105" s="470">
        <f ca="1">SUM(Z105:AC105)</f>
        <v>1e-12</v>
      </c>
      <c r="AE105" s="478">
        <v>0</v>
      </c>
      <c r="AF105" s="478">
        <v>0</v>
      </c>
      <c r="AG105" s="478">
        <v>0</v>
      </c>
    </row>
    <row r="106" ht="14.25" customHeight="1" hidden="1" spans="1:33" x14ac:dyDescent="0.25" outlineLevel="1">
      <c r="C106" s="139" t="str">
        <f ca="1">C$92</f>
        <v>Middle East &amp; Africa</v>
      </c>
      <c r="D106" s="16"/>
      <c r="E106" s="16"/>
      <c r="F106" s="469">
        <v>0</v>
      </c>
      <c r="G106" s="469">
        <v>0</v>
      </c>
      <c r="H106" s="469">
        <v>0</v>
      </c>
      <c r="I106" s="469">
        <v>0</v>
      </c>
      <c r="J106" s="470">
        <f ca="1">SUM(F106:I106)</f>
        <v>1e-12</v>
      </c>
      <c r="K106" s="469">
        <v>0</v>
      </c>
      <c r="L106" s="469">
        <v>0</v>
      </c>
      <c r="M106" s="469">
        <v>0</v>
      </c>
      <c r="N106" s="469">
        <v>0</v>
      </c>
      <c r="O106" s="470">
        <f ca="1">SUM(K106:N106)</f>
        <v>1e-12</v>
      </c>
      <c r="P106" s="469">
        <v>0</v>
      </c>
      <c r="Q106" s="469">
        <v>0</v>
      </c>
      <c r="R106" s="469">
        <v>0</v>
      </c>
      <c r="S106" s="469">
        <v>0</v>
      </c>
      <c r="T106" s="470">
        <f ca="1">SUM(P106:S106)</f>
        <v>1e-12</v>
      </c>
      <c r="U106" s="469">
        <v>0</v>
      </c>
      <c r="V106" s="469">
        <v>0</v>
      </c>
      <c r="W106" s="469">
        <v>0</v>
      </c>
      <c r="X106" s="477">
        <v>0</v>
      </c>
      <c r="Y106" s="470">
        <f ca="1">SUM(U106:X106)</f>
        <v>1e-12</v>
      </c>
      <c r="Z106" s="477">
        <v>0</v>
      </c>
      <c r="AA106" s="477">
        <v>0</v>
      </c>
      <c r="AB106" s="477">
        <v>0</v>
      </c>
      <c r="AC106" s="477">
        <v>0</v>
      </c>
      <c r="AD106" s="470">
        <f ca="1">SUM(Z106:AC106)</f>
        <v>1e-12</v>
      </c>
      <c r="AE106" s="478">
        <v>0</v>
      </c>
      <c r="AF106" s="478">
        <v>0</v>
      </c>
      <c r="AG106" s="478">
        <v>0</v>
      </c>
    </row>
    <row r="107" ht="14.25" customHeight="1" hidden="1" spans="1:33" x14ac:dyDescent="0.25" outlineLevel="1">
      <c r="C107" s="139" t="str">
        <f ca="1">C$93</f>
        <v>Asia Pacific</v>
      </c>
      <c r="D107" s="16"/>
      <c r="E107" s="16"/>
      <c r="F107" s="469">
        <v>0</v>
      </c>
      <c r="G107" s="469">
        <v>0</v>
      </c>
      <c r="H107" s="469">
        <v>0</v>
      </c>
      <c r="I107" s="469">
        <v>0</v>
      </c>
      <c r="J107" s="470">
        <f ca="1">SUM(F107:I107)</f>
        <v>1e-12</v>
      </c>
      <c r="K107" s="469">
        <v>0</v>
      </c>
      <c r="L107" s="469">
        <v>0</v>
      </c>
      <c r="M107" s="469">
        <v>0</v>
      </c>
      <c r="N107" s="469">
        <v>0</v>
      </c>
      <c r="O107" s="470">
        <f ca="1">SUM(K107:N107)</f>
        <v>1e-12</v>
      </c>
      <c r="P107" s="469">
        <v>0</v>
      </c>
      <c r="Q107" s="469">
        <v>0</v>
      </c>
      <c r="R107" s="469">
        <v>0</v>
      </c>
      <c r="S107" s="469">
        <v>0</v>
      </c>
      <c r="T107" s="470">
        <f ca="1">SUM(P107:S107)</f>
        <v>1e-12</v>
      </c>
      <c r="U107" s="469">
        <v>0</v>
      </c>
      <c r="V107" s="469">
        <v>0</v>
      </c>
      <c r="W107" s="469">
        <v>0</v>
      </c>
      <c r="X107" s="477">
        <v>0</v>
      </c>
      <c r="Y107" s="470">
        <f ca="1">SUM(U107:X107)</f>
        <v>1e-12</v>
      </c>
      <c r="Z107" s="477">
        <v>0</v>
      </c>
      <c r="AA107" s="477">
        <v>0</v>
      </c>
      <c r="AB107" s="477">
        <v>0</v>
      </c>
      <c r="AC107" s="477">
        <v>0</v>
      </c>
      <c r="AD107" s="470">
        <f ca="1">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 ca="1">'Segment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 ca="1">C$89</f>
        <v>North America</v>
      </c>
      <c r="D110" s="16"/>
      <c r="E110" s="16"/>
      <c r="F110" s="469">
        <v>0</v>
      </c>
      <c r="G110" s="469">
        <v>0</v>
      </c>
      <c r="H110" s="469">
        <v>0</v>
      </c>
      <c r="I110" s="469">
        <v>0</v>
      </c>
      <c r="J110" s="470">
        <f t="shared" ref="J110:J114" si="116" ca="1">SUM(F110:I110)</f>
        <v>1e-12</v>
      </c>
      <c r="K110" s="469">
        <v>0</v>
      </c>
      <c r="L110" s="469">
        <v>0</v>
      </c>
      <c r="M110" s="469">
        <v>0</v>
      </c>
      <c r="N110" s="469">
        <v>0</v>
      </c>
      <c r="O110" s="470">
        <f t="shared" ref="O110:O114" si="117" ca="1">SUM(K110:N110)</f>
        <v>1e-12</v>
      </c>
      <c r="P110" s="469">
        <v>0</v>
      </c>
      <c r="Q110" s="469">
        <v>0</v>
      </c>
      <c r="R110" s="469">
        <v>0</v>
      </c>
      <c r="S110" s="469">
        <v>0</v>
      </c>
      <c r="T110" s="470">
        <f t="shared" ref="T110:T114" si="118" ca="1">SUM(P110:S110)</f>
        <v>1e-12</v>
      </c>
      <c r="U110" s="469">
        <v>0</v>
      </c>
      <c r="V110" s="469">
        <v>0</v>
      </c>
      <c r="W110" s="469">
        <v>0</v>
      </c>
      <c r="X110" s="477">
        <v>0</v>
      </c>
      <c r="Y110" s="470">
        <f t="shared" ref="Y110:Y114" si="119" ca="1">SUM(U110:X110)</f>
        <v>1e-12</v>
      </c>
      <c r="Z110" s="477">
        <v>0</v>
      </c>
      <c r="AA110" s="477">
        <v>0</v>
      </c>
      <c r="AB110" s="477">
        <v>0</v>
      </c>
      <c r="AC110" s="477">
        <v>0</v>
      </c>
      <c r="AD110" s="470">
        <f t="shared" ref="AD110:AD114" si="120" ca="1">SUM(Z110:AC110)</f>
        <v>1e-12</v>
      </c>
      <c r="AE110" s="478">
        <v>0</v>
      </c>
      <c r="AF110" s="478">
        <v>0</v>
      </c>
      <c r="AG110" s="478">
        <v>0</v>
      </c>
    </row>
    <row r="111" ht="14.25" customHeight="1" hidden="1" spans="1:33" x14ac:dyDescent="0.25" outlineLevel="1">
      <c r="C111" s="139" t="str">
        <f ca="1">C$90</f>
        <v>Europe</v>
      </c>
      <c r="D111" s="16"/>
      <c r="E111" s="16"/>
      <c r="F111" s="469">
        <v>0</v>
      </c>
      <c r="G111" s="469">
        <v>0</v>
      </c>
      <c r="H111" s="469">
        <v>0</v>
      </c>
      <c r="I111" s="469">
        <v>0</v>
      </c>
      <c r="J111" s="470">
        <f ca="1">SUM(F111:I111)</f>
        <v>1e-12</v>
      </c>
      <c r="K111" s="469">
        <v>0</v>
      </c>
      <c r="L111" s="469">
        <v>0</v>
      </c>
      <c r="M111" s="469">
        <v>0</v>
      </c>
      <c r="N111" s="469">
        <v>0</v>
      </c>
      <c r="O111" s="470">
        <f ca="1">SUM(K111:N111)</f>
        <v>1e-12</v>
      </c>
      <c r="P111" s="469">
        <v>0</v>
      </c>
      <c r="Q111" s="469">
        <v>0</v>
      </c>
      <c r="R111" s="469">
        <v>0</v>
      </c>
      <c r="S111" s="469">
        <v>0</v>
      </c>
      <c r="T111" s="470">
        <f ca="1">SUM(P111:S111)</f>
        <v>1e-12</v>
      </c>
      <c r="U111" s="469">
        <v>0</v>
      </c>
      <c r="V111" s="469">
        <v>0</v>
      </c>
      <c r="W111" s="469">
        <v>0</v>
      </c>
      <c r="X111" s="477">
        <v>0</v>
      </c>
      <c r="Y111" s="470">
        <f ca="1">SUM(U111:X111)</f>
        <v>1e-12</v>
      </c>
      <c r="Z111" s="477">
        <v>0</v>
      </c>
      <c r="AA111" s="477">
        <v>0</v>
      </c>
      <c r="AB111" s="477">
        <v>0</v>
      </c>
      <c r="AC111" s="477">
        <v>0</v>
      </c>
      <c r="AD111" s="470">
        <f ca="1">SUM(Z111:AC111)</f>
        <v>1e-12</v>
      </c>
      <c r="AE111" s="478">
        <v>0</v>
      </c>
      <c r="AF111" s="478">
        <v>0</v>
      </c>
      <c r="AG111" s="478">
        <v>0</v>
      </c>
    </row>
    <row r="112" ht="14.25" customHeight="1" hidden="1" spans="1:33" x14ac:dyDescent="0.25" outlineLevel="1">
      <c r="C112" s="139" t="str">
        <f ca="1">C$91</f>
        <v>South America</v>
      </c>
      <c r="D112" s="16"/>
      <c r="E112" s="16"/>
      <c r="F112" s="469">
        <v>0</v>
      </c>
      <c r="G112" s="469">
        <v>0</v>
      </c>
      <c r="H112" s="469">
        <v>0</v>
      </c>
      <c r="I112" s="469">
        <v>0</v>
      </c>
      <c r="J112" s="470">
        <f ca="1">SUM(F112:I112)</f>
        <v>1e-12</v>
      </c>
      <c r="K112" s="469">
        <v>0</v>
      </c>
      <c r="L112" s="469">
        <v>0</v>
      </c>
      <c r="M112" s="469">
        <v>0</v>
      </c>
      <c r="N112" s="469">
        <v>0</v>
      </c>
      <c r="O112" s="470">
        <f ca="1">SUM(K112:N112)</f>
        <v>1e-12</v>
      </c>
      <c r="P112" s="469">
        <v>0</v>
      </c>
      <c r="Q112" s="469">
        <v>0</v>
      </c>
      <c r="R112" s="469">
        <v>0</v>
      </c>
      <c r="S112" s="469">
        <v>0</v>
      </c>
      <c r="T112" s="470">
        <f ca="1">SUM(P112:S112)</f>
        <v>1e-12</v>
      </c>
      <c r="U112" s="469">
        <v>0</v>
      </c>
      <c r="V112" s="469">
        <v>0</v>
      </c>
      <c r="W112" s="469">
        <v>0</v>
      </c>
      <c r="X112" s="477">
        <v>0</v>
      </c>
      <c r="Y112" s="470">
        <f ca="1">SUM(U112:X112)</f>
        <v>1e-12</v>
      </c>
      <c r="Z112" s="477">
        <v>0</v>
      </c>
      <c r="AA112" s="477">
        <v>0</v>
      </c>
      <c r="AB112" s="477">
        <v>0</v>
      </c>
      <c r="AC112" s="477">
        <v>0</v>
      </c>
      <c r="AD112" s="470">
        <f ca="1">SUM(Z112:AC112)</f>
        <v>1e-12</v>
      </c>
      <c r="AE112" s="478">
        <v>0</v>
      </c>
      <c r="AF112" s="478">
        <v>0</v>
      </c>
      <c r="AG112" s="478">
        <v>0</v>
      </c>
    </row>
    <row r="113" ht="14.25" customHeight="1" hidden="1" spans="1:33" x14ac:dyDescent="0.25" outlineLevel="1">
      <c r="C113" s="139" t="str">
        <f ca="1">C$92</f>
        <v>Middle East &amp; Africa</v>
      </c>
      <c r="D113" s="16"/>
      <c r="E113" s="16"/>
      <c r="F113" s="469">
        <v>0</v>
      </c>
      <c r="G113" s="469">
        <v>0</v>
      </c>
      <c r="H113" s="469">
        <v>0</v>
      </c>
      <c r="I113" s="469">
        <v>0</v>
      </c>
      <c r="J113" s="470">
        <f ca="1">SUM(F113:I113)</f>
        <v>1e-12</v>
      </c>
      <c r="K113" s="469">
        <v>0</v>
      </c>
      <c r="L113" s="469">
        <v>0</v>
      </c>
      <c r="M113" s="469">
        <v>0</v>
      </c>
      <c r="N113" s="469">
        <v>0</v>
      </c>
      <c r="O113" s="470">
        <f ca="1">SUM(K113:N113)</f>
        <v>1e-12</v>
      </c>
      <c r="P113" s="469">
        <v>0</v>
      </c>
      <c r="Q113" s="469">
        <v>0</v>
      </c>
      <c r="R113" s="469">
        <v>0</v>
      </c>
      <c r="S113" s="469">
        <v>0</v>
      </c>
      <c r="T113" s="470">
        <f ca="1">SUM(P113:S113)</f>
        <v>1e-12</v>
      </c>
      <c r="U113" s="469">
        <v>0</v>
      </c>
      <c r="V113" s="469">
        <v>0</v>
      </c>
      <c r="W113" s="469">
        <v>0</v>
      </c>
      <c r="X113" s="477">
        <v>0</v>
      </c>
      <c r="Y113" s="470">
        <f ca="1">SUM(U113:X113)</f>
        <v>1e-12</v>
      </c>
      <c r="Z113" s="477">
        <v>0</v>
      </c>
      <c r="AA113" s="477">
        <v>0</v>
      </c>
      <c r="AB113" s="477">
        <v>0</v>
      </c>
      <c r="AC113" s="477">
        <v>0</v>
      </c>
      <c r="AD113" s="470">
        <f ca="1">SUM(Z113:AC113)</f>
        <v>1e-12</v>
      </c>
      <c r="AE113" s="478">
        <v>0</v>
      </c>
      <c r="AF113" s="478">
        <v>0</v>
      </c>
      <c r="AG113" s="478">
        <v>0</v>
      </c>
    </row>
    <row r="114" ht="14.25" customHeight="1" hidden="1" spans="1:33" x14ac:dyDescent="0.25" outlineLevel="1">
      <c r="C114" s="139" t="str">
        <f ca="1">C$93</f>
        <v>Asia Pacific</v>
      </c>
      <c r="D114" s="16"/>
      <c r="E114" s="16"/>
      <c r="F114" s="469">
        <v>0</v>
      </c>
      <c r="G114" s="469">
        <v>0</v>
      </c>
      <c r="H114" s="469">
        <v>0</v>
      </c>
      <c r="I114" s="469">
        <v>0</v>
      </c>
      <c r="J114" s="470">
        <f ca="1">SUM(F114:I114)</f>
        <v>1e-12</v>
      </c>
      <c r="K114" s="469">
        <v>0</v>
      </c>
      <c r="L114" s="469">
        <v>0</v>
      </c>
      <c r="M114" s="469">
        <v>0</v>
      </c>
      <c r="N114" s="469">
        <v>0</v>
      </c>
      <c r="O114" s="470">
        <f ca="1">SUM(K114:N114)</f>
        <v>1e-12</v>
      </c>
      <c r="P114" s="469">
        <v>0</v>
      </c>
      <c r="Q114" s="469">
        <v>0</v>
      </c>
      <c r="R114" s="469">
        <v>0</v>
      </c>
      <c r="S114" s="469">
        <v>0</v>
      </c>
      <c r="T114" s="470">
        <f ca="1">SUM(P114:S114)</f>
        <v>1e-12</v>
      </c>
      <c r="U114" s="469">
        <v>0</v>
      </c>
      <c r="V114" s="469">
        <v>0</v>
      </c>
      <c r="W114" s="469">
        <v>0</v>
      </c>
      <c r="X114" s="477">
        <v>0</v>
      </c>
      <c r="Y114" s="470">
        <f ca="1">SUM(U114:X114)</f>
        <v>1e-12</v>
      </c>
      <c r="Z114" s="477">
        <v>0</v>
      </c>
      <c r="AA114" s="477">
        <v>0</v>
      </c>
      <c r="AB114" s="477">
        <v>0</v>
      </c>
      <c r="AC114" s="477">
        <v>0</v>
      </c>
      <c r="AD114" s="470">
        <f ca="1">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 ca="1">'Segment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 ca="1">C$89</f>
        <v>North America</v>
      </c>
      <c r="D117" s="16"/>
      <c r="E117" s="16"/>
      <c r="F117" s="469">
        <v>0</v>
      </c>
      <c r="G117" s="469">
        <v>0</v>
      </c>
      <c r="H117" s="469">
        <v>0</v>
      </c>
      <c r="I117" s="469">
        <v>0</v>
      </c>
      <c r="J117" s="470">
        <f t="shared" ref="J117:J121" si="121" ca="1">SUM(F117:I117)</f>
        <v>1e-12</v>
      </c>
      <c r="K117" s="469">
        <v>0</v>
      </c>
      <c r="L117" s="469">
        <v>0</v>
      </c>
      <c r="M117" s="469">
        <v>0</v>
      </c>
      <c r="N117" s="469">
        <v>0</v>
      </c>
      <c r="O117" s="470">
        <f t="shared" ref="O117:O121" si="122" ca="1">SUM(K117:N117)</f>
        <v>1e-12</v>
      </c>
      <c r="P117" s="469">
        <v>0</v>
      </c>
      <c r="Q117" s="469">
        <v>0</v>
      </c>
      <c r="R117" s="469">
        <v>0</v>
      </c>
      <c r="S117" s="469">
        <v>0</v>
      </c>
      <c r="T117" s="470">
        <f t="shared" ref="T117:T121" si="123" ca="1">SUM(P117:S117)</f>
        <v>1e-12</v>
      </c>
      <c r="U117" s="469">
        <v>0</v>
      </c>
      <c r="V117" s="469">
        <v>0</v>
      </c>
      <c r="W117" s="469">
        <v>0</v>
      </c>
      <c r="X117" s="477">
        <v>0</v>
      </c>
      <c r="Y117" s="470">
        <f t="shared" ref="Y117:Y121" si="124" ca="1">SUM(U117:X117)</f>
        <v>1e-12</v>
      </c>
      <c r="Z117" s="477">
        <v>0</v>
      </c>
      <c r="AA117" s="477">
        <v>0</v>
      </c>
      <c r="AB117" s="477">
        <v>0</v>
      </c>
      <c r="AC117" s="477">
        <v>0</v>
      </c>
      <c r="AD117" s="470">
        <f t="shared" ref="AD117:AD121" si="125" ca="1">SUM(Z117:AC117)</f>
        <v>1e-12</v>
      </c>
      <c r="AE117" s="478">
        <v>0</v>
      </c>
      <c r="AF117" s="478">
        <v>0</v>
      </c>
      <c r="AG117" s="478">
        <v>0</v>
      </c>
    </row>
    <row r="118" ht="14.25" customHeight="1" hidden="1" spans="1:33" x14ac:dyDescent="0.25" outlineLevel="1">
      <c r="C118" s="139" t="str">
        <f ca="1">C$90</f>
        <v>Europe</v>
      </c>
      <c r="D118" s="16"/>
      <c r="E118" s="16"/>
      <c r="F118" s="469">
        <v>0</v>
      </c>
      <c r="G118" s="469">
        <v>0</v>
      </c>
      <c r="H118" s="469">
        <v>0</v>
      </c>
      <c r="I118" s="469">
        <v>0</v>
      </c>
      <c r="J118" s="470">
        <f ca="1">SUM(F118:I118)</f>
        <v>1e-12</v>
      </c>
      <c r="K118" s="469">
        <v>0</v>
      </c>
      <c r="L118" s="469">
        <v>0</v>
      </c>
      <c r="M118" s="469">
        <v>0</v>
      </c>
      <c r="N118" s="469">
        <v>0</v>
      </c>
      <c r="O118" s="470">
        <f ca="1">SUM(K118:N118)</f>
        <v>1e-12</v>
      </c>
      <c r="P118" s="469">
        <v>0</v>
      </c>
      <c r="Q118" s="469">
        <v>0</v>
      </c>
      <c r="R118" s="469">
        <v>0</v>
      </c>
      <c r="S118" s="469">
        <v>0</v>
      </c>
      <c r="T118" s="470">
        <f ca="1">SUM(P118:S118)</f>
        <v>1e-12</v>
      </c>
      <c r="U118" s="469">
        <v>0</v>
      </c>
      <c r="V118" s="469">
        <v>0</v>
      </c>
      <c r="W118" s="469">
        <v>0</v>
      </c>
      <c r="X118" s="477">
        <v>0</v>
      </c>
      <c r="Y118" s="470">
        <f ca="1">SUM(U118:X118)</f>
        <v>1e-12</v>
      </c>
      <c r="Z118" s="477">
        <v>0</v>
      </c>
      <c r="AA118" s="477">
        <v>0</v>
      </c>
      <c r="AB118" s="477">
        <v>0</v>
      </c>
      <c r="AC118" s="477">
        <v>0</v>
      </c>
      <c r="AD118" s="470">
        <f ca="1">SUM(Z118:AC118)</f>
        <v>1e-12</v>
      </c>
      <c r="AE118" s="478">
        <v>0</v>
      </c>
      <c r="AF118" s="478">
        <v>0</v>
      </c>
      <c r="AG118" s="478">
        <v>0</v>
      </c>
    </row>
    <row r="119" ht="14.25" customHeight="1" hidden="1" spans="1:33" x14ac:dyDescent="0.25" outlineLevel="1">
      <c r="C119" s="139" t="str">
        <f ca="1">C$91</f>
        <v>South America</v>
      </c>
      <c r="D119" s="16"/>
      <c r="E119" s="16"/>
      <c r="F119" s="469">
        <v>0</v>
      </c>
      <c r="G119" s="469">
        <v>0</v>
      </c>
      <c r="H119" s="469">
        <v>0</v>
      </c>
      <c r="I119" s="469">
        <v>0</v>
      </c>
      <c r="J119" s="470">
        <f ca="1">SUM(F119:I119)</f>
        <v>1e-12</v>
      </c>
      <c r="K119" s="469">
        <v>0</v>
      </c>
      <c r="L119" s="469">
        <v>0</v>
      </c>
      <c r="M119" s="469">
        <v>0</v>
      </c>
      <c r="N119" s="469">
        <v>0</v>
      </c>
      <c r="O119" s="470">
        <f ca="1">SUM(K119:N119)</f>
        <v>1e-12</v>
      </c>
      <c r="P119" s="469">
        <v>0</v>
      </c>
      <c r="Q119" s="469">
        <v>0</v>
      </c>
      <c r="R119" s="469">
        <v>0</v>
      </c>
      <c r="S119" s="469">
        <v>0</v>
      </c>
      <c r="T119" s="470">
        <f ca="1">SUM(P119:S119)</f>
        <v>1e-12</v>
      </c>
      <c r="U119" s="469">
        <v>0</v>
      </c>
      <c r="V119" s="469">
        <v>0</v>
      </c>
      <c r="W119" s="469">
        <v>0</v>
      </c>
      <c r="X119" s="477">
        <v>0</v>
      </c>
      <c r="Y119" s="470">
        <f ca="1">SUM(U119:X119)</f>
        <v>1e-12</v>
      </c>
      <c r="Z119" s="477">
        <v>0</v>
      </c>
      <c r="AA119" s="477">
        <v>0</v>
      </c>
      <c r="AB119" s="477">
        <v>0</v>
      </c>
      <c r="AC119" s="477">
        <v>0</v>
      </c>
      <c r="AD119" s="470">
        <f ca="1">SUM(Z119:AC119)</f>
        <v>1e-12</v>
      </c>
      <c r="AE119" s="478">
        <v>0</v>
      </c>
      <c r="AF119" s="478">
        <v>0</v>
      </c>
      <c r="AG119" s="478">
        <v>0</v>
      </c>
    </row>
    <row r="120" ht="14.25" customHeight="1" hidden="1" spans="1:33" x14ac:dyDescent="0.25" outlineLevel="1">
      <c r="C120" s="139" t="str">
        <f ca="1">C$92</f>
        <v>Middle East &amp; Africa</v>
      </c>
      <c r="D120" s="16"/>
      <c r="E120" s="16"/>
      <c r="F120" s="469">
        <v>0</v>
      </c>
      <c r="G120" s="469">
        <v>0</v>
      </c>
      <c r="H120" s="469">
        <v>0</v>
      </c>
      <c r="I120" s="469">
        <v>0</v>
      </c>
      <c r="J120" s="470">
        <f ca="1">SUM(F120:I120)</f>
        <v>1e-12</v>
      </c>
      <c r="K120" s="469">
        <v>0</v>
      </c>
      <c r="L120" s="469">
        <v>0</v>
      </c>
      <c r="M120" s="469">
        <v>0</v>
      </c>
      <c r="N120" s="469">
        <v>0</v>
      </c>
      <c r="O120" s="470">
        <f ca="1">SUM(K120:N120)</f>
        <v>1e-12</v>
      </c>
      <c r="P120" s="469">
        <v>0</v>
      </c>
      <c r="Q120" s="469">
        <v>0</v>
      </c>
      <c r="R120" s="469">
        <v>0</v>
      </c>
      <c r="S120" s="469">
        <v>0</v>
      </c>
      <c r="T120" s="470">
        <f ca="1">SUM(P120:S120)</f>
        <v>1e-12</v>
      </c>
      <c r="U120" s="469">
        <v>0</v>
      </c>
      <c r="V120" s="469">
        <v>0</v>
      </c>
      <c r="W120" s="469">
        <v>0</v>
      </c>
      <c r="X120" s="477">
        <v>0</v>
      </c>
      <c r="Y120" s="470">
        <f ca="1">SUM(U120:X120)</f>
        <v>1e-12</v>
      </c>
      <c r="Z120" s="477">
        <v>0</v>
      </c>
      <c r="AA120" s="477">
        <v>0</v>
      </c>
      <c r="AB120" s="477">
        <v>0</v>
      </c>
      <c r="AC120" s="477">
        <v>0</v>
      </c>
      <c r="AD120" s="470">
        <f ca="1">SUM(Z120:AC120)</f>
        <v>1e-12</v>
      </c>
      <c r="AE120" s="478">
        <v>0</v>
      </c>
      <c r="AF120" s="478">
        <v>0</v>
      </c>
      <c r="AG120" s="478">
        <v>0</v>
      </c>
    </row>
    <row r="121" ht="14.25" customHeight="1" hidden="1" spans="1:33" x14ac:dyDescent="0.25" outlineLevel="1">
      <c r="C121" s="139" t="str">
        <f ca="1">C$93</f>
        <v>Asia Pacific</v>
      </c>
      <c r="D121" s="16"/>
      <c r="E121" s="16"/>
      <c r="F121" s="469">
        <v>0</v>
      </c>
      <c r="G121" s="469">
        <v>0</v>
      </c>
      <c r="H121" s="469">
        <v>0</v>
      </c>
      <c r="I121" s="469">
        <v>0</v>
      </c>
      <c r="J121" s="470">
        <f ca="1">SUM(F121:I121)</f>
        <v>1e-12</v>
      </c>
      <c r="K121" s="469">
        <v>0</v>
      </c>
      <c r="L121" s="469">
        <v>0</v>
      </c>
      <c r="M121" s="469">
        <v>0</v>
      </c>
      <c r="N121" s="469">
        <v>0</v>
      </c>
      <c r="O121" s="470">
        <f ca="1">SUM(K121:N121)</f>
        <v>1e-12</v>
      </c>
      <c r="P121" s="469">
        <v>0</v>
      </c>
      <c r="Q121" s="469">
        <v>0</v>
      </c>
      <c r="R121" s="469">
        <v>0</v>
      </c>
      <c r="S121" s="469">
        <v>0</v>
      </c>
      <c r="T121" s="470">
        <f ca="1">SUM(P121:S121)</f>
        <v>1e-12</v>
      </c>
      <c r="U121" s="469">
        <v>0</v>
      </c>
      <c r="V121" s="469">
        <v>0</v>
      </c>
      <c r="W121" s="469">
        <v>0</v>
      </c>
      <c r="X121" s="477">
        <v>0</v>
      </c>
      <c r="Y121" s="470">
        <f ca="1">SUM(U121:X121)</f>
        <v>1e-12</v>
      </c>
      <c r="Z121" s="477">
        <v>0</v>
      </c>
      <c r="AA121" s="477">
        <v>0</v>
      </c>
      <c r="AB121" s="477">
        <v>0</v>
      </c>
      <c r="AC121" s="477">
        <v>0</v>
      </c>
      <c r="AD121" s="470">
        <f ca="1">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 ca="1">'Segment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 ca="1">C$89</f>
        <v>North America</v>
      </c>
      <c r="D124" s="16"/>
      <c r="E124" s="16"/>
      <c r="F124" s="469">
        <v>0</v>
      </c>
      <c r="G124" s="469">
        <v>0</v>
      </c>
      <c r="H124" s="469">
        <v>0</v>
      </c>
      <c r="I124" s="469">
        <v>0</v>
      </c>
      <c r="J124" s="470">
        <f t="shared" ref="J124:J128" si="126" ca="1">SUM(F124:I124)</f>
        <v>1e-12</v>
      </c>
      <c r="K124" s="469">
        <v>0</v>
      </c>
      <c r="L124" s="469">
        <v>0</v>
      </c>
      <c r="M124" s="469">
        <v>0</v>
      </c>
      <c r="N124" s="469">
        <v>0</v>
      </c>
      <c r="O124" s="470">
        <f t="shared" ref="O124:O128" si="127" ca="1">SUM(K124:N124)</f>
        <v>1e-12</v>
      </c>
      <c r="P124" s="469">
        <v>0</v>
      </c>
      <c r="Q124" s="469">
        <v>0</v>
      </c>
      <c r="R124" s="469">
        <v>0</v>
      </c>
      <c r="S124" s="469">
        <v>0</v>
      </c>
      <c r="T124" s="470">
        <f t="shared" ref="T124:T128" si="128" ca="1">SUM(P124:S124)</f>
        <v>1e-12</v>
      </c>
      <c r="U124" s="469">
        <v>0</v>
      </c>
      <c r="V124" s="469">
        <v>0</v>
      </c>
      <c r="W124" s="469">
        <v>0</v>
      </c>
      <c r="X124" s="477">
        <v>0</v>
      </c>
      <c r="Y124" s="470">
        <f t="shared" ref="Y124:Y128" si="129" ca="1">SUM(U124:X124)</f>
        <v>1e-12</v>
      </c>
      <c r="Z124" s="477">
        <v>0</v>
      </c>
      <c r="AA124" s="477">
        <v>0</v>
      </c>
      <c r="AB124" s="477">
        <v>0</v>
      </c>
      <c r="AC124" s="477">
        <v>0</v>
      </c>
      <c r="AD124" s="470">
        <f t="shared" ref="AD124:AD128" si="130" ca="1">SUM(Z124:AC124)</f>
        <v>1e-12</v>
      </c>
      <c r="AE124" s="478">
        <v>0</v>
      </c>
      <c r="AF124" s="478">
        <v>0</v>
      </c>
      <c r="AG124" s="478">
        <v>0</v>
      </c>
    </row>
    <row r="125" ht="14.25" customHeight="1" hidden="1" spans="1:33" x14ac:dyDescent="0.25" outlineLevel="1">
      <c r="C125" s="139" t="str">
        <f ca="1">C$90</f>
        <v>Europe</v>
      </c>
      <c r="D125" s="16"/>
      <c r="E125" s="16"/>
      <c r="F125" s="469">
        <v>0</v>
      </c>
      <c r="G125" s="469">
        <v>0</v>
      </c>
      <c r="H125" s="469">
        <v>0</v>
      </c>
      <c r="I125" s="469">
        <v>0</v>
      </c>
      <c r="J125" s="470">
        <f ca="1">SUM(F125:I125)</f>
        <v>1e-12</v>
      </c>
      <c r="K125" s="469">
        <v>0</v>
      </c>
      <c r="L125" s="469">
        <v>0</v>
      </c>
      <c r="M125" s="469">
        <v>0</v>
      </c>
      <c r="N125" s="469">
        <v>0</v>
      </c>
      <c r="O125" s="470">
        <f ca="1">SUM(K125:N125)</f>
        <v>1e-12</v>
      </c>
      <c r="P125" s="469">
        <v>0</v>
      </c>
      <c r="Q125" s="469">
        <v>0</v>
      </c>
      <c r="R125" s="469">
        <v>0</v>
      </c>
      <c r="S125" s="469">
        <v>0</v>
      </c>
      <c r="T125" s="470">
        <f ca="1">SUM(P125:S125)</f>
        <v>1e-12</v>
      </c>
      <c r="U125" s="469">
        <v>0</v>
      </c>
      <c r="V125" s="469">
        <v>0</v>
      </c>
      <c r="W125" s="469">
        <v>0</v>
      </c>
      <c r="X125" s="477">
        <v>0</v>
      </c>
      <c r="Y125" s="470">
        <f ca="1">SUM(U125:X125)</f>
        <v>1e-12</v>
      </c>
      <c r="Z125" s="477">
        <v>0</v>
      </c>
      <c r="AA125" s="477">
        <v>0</v>
      </c>
      <c r="AB125" s="477">
        <v>0</v>
      </c>
      <c r="AC125" s="477">
        <v>0</v>
      </c>
      <c r="AD125" s="470">
        <f ca="1">SUM(Z125:AC125)</f>
        <v>1e-12</v>
      </c>
      <c r="AE125" s="478">
        <v>0</v>
      </c>
      <c r="AF125" s="478">
        <v>0</v>
      </c>
      <c r="AG125" s="478">
        <v>0</v>
      </c>
    </row>
    <row r="126" ht="14.25" customHeight="1" hidden="1" spans="1:33" x14ac:dyDescent="0.25" outlineLevel="1">
      <c r="C126" s="139" t="str">
        <f ca="1">C$91</f>
        <v>South America</v>
      </c>
      <c r="D126" s="16"/>
      <c r="E126" s="16"/>
      <c r="F126" s="469">
        <v>0</v>
      </c>
      <c r="G126" s="469">
        <v>0</v>
      </c>
      <c r="H126" s="469">
        <v>0</v>
      </c>
      <c r="I126" s="469">
        <v>0</v>
      </c>
      <c r="J126" s="470">
        <f ca="1">SUM(F126:I126)</f>
        <v>1e-12</v>
      </c>
      <c r="K126" s="469">
        <v>0</v>
      </c>
      <c r="L126" s="469">
        <v>0</v>
      </c>
      <c r="M126" s="469">
        <v>0</v>
      </c>
      <c r="N126" s="469">
        <v>0</v>
      </c>
      <c r="O126" s="470">
        <f ca="1">SUM(K126:N126)</f>
        <v>1e-12</v>
      </c>
      <c r="P126" s="469">
        <v>0</v>
      </c>
      <c r="Q126" s="469">
        <v>0</v>
      </c>
      <c r="R126" s="469">
        <v>0</v>
      </c>
      <c r="S126" s="469">
        <v>0</v>
      </c>
      <c r="T126" s="470">
        <f ca="1">SUM(P126:S126)</f>
        <v>1e-12</v>
      </c>
      <c r="U126" s="469">
        <v>0</v>
      </c>
      <c r="V126" s="469">
        <v>0</v>
      </c>
      <c r="W126" s="469">
        <v>0</v>
      </c>
      <c r="X126" s="477">
        <v>0</v>
      </c>
      <c r="Y126" s="470">
        <f ca="1">SUM(U126:X126)</f>
        <v>1e-12</v>
      </c>
      <c r="Z126" s="477">
        <v>0</v>
      </c>
      <c r="AA126" s="477">
        <v>0</v>
      </c>
      <c r="AB126" s="477">
        <v>0</v>
      </c>
      <c r="AC126" s="477">
        <v>0</v>
      </c>
      <c r="AD126" s="470">
        <f ca="1">SUM(Z126:AC126)</f>
        <v>1e-12</v>
      </c>
      <c r="AE126" s="478">
        <v>0</v>
      </c>
      <c r="AF126" s="478">
        <v>0</v>
      </c>
      <c r="AG126" s="478">
        <v>0</v>
      </c>
    </row>
    <row r="127" ht="14.25" customHeight="1" hidden="1" spans="1:33" x14ac:dyDescent="0.25" outlineLevel="1">
      <c r="C127" s="139" t="str">
        <f ca="1">C$92</f>
        <v>Middle East &amp; Africa</v>
      </c>
      <c r="D127" s="16"/>
      <c r="E127" s="16"/>
      <c r="F127" s="469">
        <v>0</v>
      </c>
      <c r="G127" s="469">
        <v>0</v>
      </c>
      <c r="H127" s="469">
        <v>0</v>
      </c>
      <c r="I127" s="469">
        <v>0</v>
      </c>
      <c r="J127" s="470">
        <f ca="1">SUM(F127:I127)</f>
        <v>1e-12</v>
      </c>
      <c r="K127" s="469">
        <v>0</v>
      </c>
      <c r="L127" s="469">
        <v>0</v>
      </c>
      <c r="M127" s="469">
        <v>0</v>
      </c>
      <c r="N127" s="469">
        <v>0</v>
      </c>
      <c r="O127" s="470">
        <f ca="1">SUM(K127:N127)</f>
        <v>1e-12</v>
      </c>
      <c r="P127" s="469">
        <v>0</v>
      </c>
      <c r="Q127" s="469">
        <v>0</v>
      </c>
      <c r="R127" s="469">
        <v>0</v>
      </c>
      <c r="S127" s="469">
        <v>0</v>
      </c>
      <c r="T127" s="470">
        <f ca="1">SUM(P127:S127)</f>
        <v>1e-12</v>
      </c>
      <c r="U127" s="469">
        <v>0</v>
      </c>
      <c r="V127" s="469">
        <v>0</v>
      </c>
      <c r="W127" s="469">
        <v>0</v>
      </c>
      <c r="X127" s="477">
        <v>0</v>
      </c>
      <c r="Y127" s="470">
        <f ca="1">SUM(U127:X127)</f>
        <v>1e-12</v>
      </c>
      <c r="Z127" s="477">
        <v>0</v>
      </c>
      <c r="AA127" s="477">
        <v>0</v>
      </c>
      <c r="AB127" s="477">
        <v>0</v>
      </c>
      <c r="AC127" s="477">
        <v>0</v>
      </c>
      <c r="AD127" s="470">
        <f ca="1">SUM(Z127:AC127)</f>
        <v>1e-12</v>
      </c>
      <c r="AE127" s="478">
        <v>0</v>
      </c>
      <c r="AF127" s="478">
        <v>0</v>
      </c>
      <c r="AG127" s="478">
        <v>0</v>
      </c>
    </row>
    <row r="128" ht="14.25" customHeight="1" hidden="1" spans="1:33" x14ac:dyDescent="0.25" outlineLevel="1">
      <c r="C128" s="139" t="str">
        <f ca="1">C$93</f>
        <v>Asia Pacific</v>
      </c>
      <c r="D128" s="16"/>
      <c r="E128" s="16"/>
      <c r="F128" s="469">
        <v>0</v>
      </c>
      <c r="G128" s="469">
        <v>0</v>
      </c>
      <c r="H128" s="469">
        <v>0</v>
      </c>
      <c r="I128" s="469">
        <v>0</v>
      </c>
      <c r="J128" s="470">
        <f ca="1">SUM(F128:I128)</f>
        <v>1e-12</v>
      </c>
      <c r="K128" s="469">
        <v>0</v>
      </c>
      <c r="L128" s="469">
        <v>0</v>
      </c>
      <c r="M128" s="469">
        <v>0</v>
      </c>
      <c r="N128" s="469">
        <v>0</v>
      </c>
      <c r="O128" s="470">
        <f ca="1">SUM(K128:N128)</f>
        <v>1e-12</v>
      </c>
      <c r="P128" s="469">
        <v>0</v>
      </c>
      <c r="Q128" s="469">
        <v>0</v>
      </c>
      <c r="R128" s="469">
        <v>0</v>
      </c>
      <c r="S128" s="469">
        <v>0</v>
      </c>
      <c r="T128" s="470">
        <f ca="1">SUM(P128:S128)</f>
        <v>1e-12</v>
      </c>
      <c r="U128" s="469">
        <v>0</v>
      </c>
      <c r="V128" s="469">
        <v>0</v>
      </c>
      <c r="W128" s="469">
        <v>0</v>
      </c>
      <c r="X128" s="477">
        <v>0</v>
      </c>
      <c r="Y128" s="470">
        <f ca="1">SUM(U128:X128)</f>
        <v>1e-12</v>
      </c>
      <c r="Z128" s="477">
        <v>0</v>
      </c>
      <c r="AA128" s="477">
        <v>0</v>
      </c>
      <c r="AB128" s="477">
        <v>0</v>
      </c>
      <c r="AC128" s="477">
        <v>0</v>
      </c>
      <c r="AD128" s="470">
        <f ca="1">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 ca="1">'Segment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 ca="1">C$89</f>
        <v>North America</v>
      </c>
      <c r="D131" s="16"/>
      <c r="E131" s="16"/>
      <c r="F131" s="469">
        <v>0</v>
      </c>
      <c r="G131" s="469">
        <v>0</v>
      </c>
      <c r="H131" s="469">
        <v>0</v>
      </c>
      <c r="I131" s="469">
        <v>0</v>
      </c>
      <c r="J131" s="470">
        <f t="shared" ref="J131:J135" si="131" ca="1">SUM(F131:I131)</f>
        <v>1e-12</v>
      </c>
      <c r="K131" s="469">
        <v>0</v>
      </c>
      <c r="L131" s="469">
        <v>0</v>
      </c>
      <c r="M131" s="469">
        <v>0</v>
      </c>
      <c r="N131" s="469">
        <v>0</v>
      </c>
      <c r="O131" s="470">
        <f t="shared" ref="O131:O135" si="132" ca="1">SUM(K131:N131)</f>
        <v>1e-12</v>
      </c>
      <c r="P131" s="469">
        <v>0</v>
      </c>
      <c r="Q131" s="469">
        <v>0</v>
      </c>
      <c r="R131" s="469">
        <v>0</v>
      </c>
      <c r="S131" s="469">
        <v>0</v>
      </c>
      <c r="T131" s="470">
        <f t="shared" ref="T131:T135" si="133" ca="1">SUM(P131:S131)</f>
        <v>1e-12</v>
      </c>
      <c r="U131" s="469">
        <v>0</v>
      </c>
      <c r="V131" s="469">
        <v>0</v>
      </c>
      <c r="W131" s="469">
        <v>0</v>
      </c>
      <c r="X131" s="477">
        <v>0</v>
      </c>
      <c r="Y131" s="470">
        <f t="shared" ref="Y131:Y135" si="134" ca="1">SUM(U131:X131)</f>
        <v>1e-12</v>
      </c>
      <c r="Z131" s="477">
        <v>0</v>
      </c>
      <c r="AA131" s="477">
        <v>0</v>
      </c>
      <c r="AB131" s="477">
        <v>0</v>
      </c>
      <c r="AC131" s="477">
        <v>0</v>
      </c>
      <c r="AD131" s="470">
        <f t="shared" ref="AD131:AD135" si="135" ca="1">SUM(Z131:AC131)</f>
        <v>1e-12</v>
      </c>
      <c r="AE131" s="478">
        <v>0</v>
      </c>
      <c r="AF131" s="478">
        <v>0</v>
      </c>
      <c r="AG131" s="478">
        <v>0</v>
      </c>
    </row>
    <row r="132" ht="14.25" customHeight="1" hidden="1" spans="1:33" x14ac:dyDescent="0.25" outlineLevel="1">
      <c r="C132" s="139" t="str">
        <f ca="1">C$90</f>
        <v>Europe</v>
      </c>
      <c r="D132" s="16"/>
      <c r="E132" s="16"/>
      <c r="F132" s="469">
        <v>0</v>
      </c>
      <c r="G132" s="469">
        <v>0</v>
      </c>
      <c r="H132" s="469">
        <v>0</v>
      </c>
      <c r="I132" s="469">
        <v>0</v>
      </c>
      <c r="J132" s="470">
        <f ca="1">SUM(F132:I132)</f>
        <v>1e-12</v>
      </c>
      <c r="K132" s="469">
        <v>0</v>
      </c>
      <c r="L132" s="469">
        <v>0</v>
      </c>
      <c r="M132" s="469">
        <v>0</v>
      </c>
      <c r="N132" s="469">
        <v>0</v>
      </c>
      <c r="O132" s="470">
        <f ca="1">SUM(K132:N132)</f>
        <v>1e-12</v>
      </c>
      <c r="P132" s="469">
        <v>0</v>
      </c>
      <c r="Q132" s="469">
        <v>0</v>
      </c>
      <c r="R132" s="469">
        <v>0</v>
      </c>
      <c r="S132" s="469">
        <v>0</v>
      </c>
      <c r="T132" s="470">
        <f ca="1">SUM(P132:S132)</f>
        <v>1e-12</v>
      </c>
      <c r="U132" s="469">
        <v>0</v>
      </c>
      <c r="V132" s="469">
        <v>0</v>
      </c>
      <c r="W132" s="469">
        <v>0</v>
      </c>
      <c r="X132" s="477">
        <v>0</v>
      </c>
      <c r="Y132" s="470">
        <f ca="1">SUM(U132:X132)</f>
        <v>1e-12</v>
      </c>
      <c r="Z132" s="477">
        <v>0</v>
      </c>
      <c r="AA132" s="477">
        <v>0</v>
      </c>
      <c r="AB132" s="477">
        <v>0</v>
      </c>
      <c r="AC132" s="477">
        <v>0</v>
      </c>
      <c r="AD132" s="470">
        <f ca="1">SUM(Z132:AC132)</f>
        <v>1e-12</v>
      </c>
      <c r="AE132" s="478">
        <v>0</v>
      </c>
      <c r="AF132" s="478">
        <v>0</v>
      </c>
      <c r="AG132" s="478">
        <v>0</v>
      </c>
    </row>
    <row r="133" ht="14.25" customHeight="1" hidden="1" spans="1:33" x14ac:dyDescent="0.25" outlineLevel="1">
      <c r="C133" s="139" t="str">
        <f ca="1">C$91</f>
        <v>South America</v>
      </c>
      <c r="D133" s="16"/>
      <c r="E133" s="16"/>
      <c r="F133" s="469">
        <v>0</v>
      </c>
      <c r="G133" s="469">
        <v>0</v>
      </c>
      <c r="H133" s="469">
        <v>0</v>
      </c>
      <c r="I133" s="469">
        <v>0</v>
      </c>
      <c r="J133" s="470">
        <f ca="1">SUM(F133:I133)</f>
        <v>1e-12</v>
      </c>
      <c r="K133" s="469">
        <v>0</v>
      </c>
      <c r="L133" s="469">
        <v>0</v>
      </c>
      <c r="M133" s="469">
        <v>0</v>
      </c>
      <c r="N133" s="469">
        <v>0</v>
      </c>
      <c r="O133" s="470">
        <f ca="1">SUM(K133:N133)</f>
        <v>1e-12</v>
      </c>
      <c r="P133" s="469">
        <v>0</v>
      </c>
      <c r="Q133" s="469">
        <v>0</v>
      </c>
      <c r="R133" s="469">
        <v>0</v>
      </c>
      <c r="S133" s="469">
        <v>0</v>
      </c>
      <c r="T133" s="470">
        <f ca="1">SUM(P133:S133)</f>
        <v>1e-12</v>
      </c>
      <c r="U133" s="469">
        <v>0</v>
      </c>
      <c r="V133" s="469">
        <v>0</v>
      </c>
      <c r="W133" s="469">
        <v>0</v>
      </c>
      <c r="X133" s="477">
        <v>0</v>
      </c>
      <c r="Y133" s="470">
        <f ca="1">SUM(U133:X133)</f>
        <v>1e-12</v>
      </c>
      <c r="Z133" s="477">
        <v>0</v>
      </c>
      <c r="AA133" s="477">
        <v>0</v>
      </c>
      <c r="AB133" s="477">
        <v>0</v>
      </c>
      <c r="AC133" s="477">
        <v>0</v>
      </c>
      <c r="AD133" s="470">
        <f ca="1">SUM(Z133:AC133)</f>
        <v>1e-12</v>
      </c>
      <c r="AE133" s="478">
        <v>0</v>
      </c>
      <c r="AF133" s="478">
        <v>0</v>
      </c>
      <c r="AG133" s="478">
        <v>0</v>
      </c>
    </row>
    <row r="134" ht="14.25" customHeight="1" hidden="1" spans="1:33" x14ac:dyDescent="0.25" outlineLevel="1">
      <c r="C134" s="139" t="str">
        <f ca="1">C$92</f>
        <v>Middle East &amp; Africa</v>
      </c>
      <c r="D134" s="16"/>
      <c r="E134" s="16"/>
      <c r="F134" s="469">
        <v>0</v>
      </c>
      <c r="G134" s="469">
        <v>0</v>
      </c>
      <c r="H134" s="469">
        <v>0</v>
      </c>
      <c r="I134" s="469">
        <v>0</v>
      </c>
      <c r="J134" s="470">
        <f ca="1">SUM(F134:I134)</f>
        <v>1e-12</v>
      </c>
      <c r="K134" s="469">
        <v>0</v>
      </c>
      <c r="L134" s="469">
        <v>0</v>
      </c>
      <c r="M134" s="469">
        <v>0</v>
      </c>
      <c r="N134" s="469">
        <v>0</v>
      </c>
      <c r="O134" s="470">
        <f ca="1">SUM(K134:N134)</f>
        <v>1e-12</v>
      </c>
      <c r="P134" s="469">
        <v>0</v>
      </c>
      <c r="Q134" s="469">
        <v>0</v>
      </c>
      <c r="R134" s="469">
        <v>0</v>
      </c>
      <c r="S134" s="469">
        <v>0</v>
      </c>
      <c r="T134" s="470">
        <f ca="1">SUM(P134:S134)</f>
        <v>1e-12</v>
      </c>
      <c r="U134" s="469">
        <v>0</v>
      </c>
      <c r="V134" s="469">
        <v>0</v>
      </c>
      <c r="W134" s="469">
        <v>0</v>
      </c>
      <c r="X134" s="477">
        <v>0</v>
      </c>
      <c r="Y134" s="470">
        <f ca="1">SUM(U134:X134)</f>
        <v>1e-12</v>
      </c>
      <c r="Z134" s="477">
        <v>0</v>
      </c>
      <c r="AA134" s="477">
        <v>0</v>
      </c>
      <c r="AB134" s="477">
        <v>0</v>
      </c>
      <c r="AC134" s="477">
        <v>0</v>
      </c>
      <c r="AD134" s="470">
        <f ca="1">SUM(Z134:AC134)</f>
        <v>1e-12</v>
      </c>
      <c r="AE134" s="478">
        <v>0</v>
      </c>
      <c r="AF134" s="478">
        <v>0</v>
      </c>
      <c r="AG134" s="478">
        <v>0</v>
      </c>
    </row>
    <row r="135" ht="14.25" customHeight="1" hidden="1" spans="1:33" x14ac:dyDescent="0.25" outlineLevel="1">
      <c r="C135" s="139" t="str">
        <f ca="1">C$93</f>
        <v>Asia Pacific</v>
      </c>
      <c r="D135" s="16"/>
      <c r="E135" s="16"/>
      <c r="F135" s="469">
        <v>0</v>
      </c>
      <c r="G135" s="469">
        <v>0</v>
      </c>
      <c r="H135" s="469">
        <v>0</v>
      </c>
      <c r="I135" s="469">
        <v>0</v>
      </c>
      <c r="J135" s="470">
        <f ca="1">SUM(F135:I135)</f>
        <v>1e-12</v>
      </c>
      <c r="K135" s="469">
        <v>0</v>
      </c>
      <c r="L135" s="469">
        <v>0</v>
      </c>
      <c r="M135" s="469">
        <v>0</v>
      </c>
      <c r="N135" s="469">
        <v>0</v>
      </c>
      <c r="O135" s="470">
        <f ca="1">SUM(K135:N135)</f>
        <v>1e-12</v>
      </c>
      <c r="P135" s="469">
        <v>0</v>
      </c>
      <c r="Q135" s="469">
        <v>0</v>
      </c>
      <c r="R135" s="469">
        <v>0</v>
      </c>
      <c r="S135" s="469">
        <v>0</v>
      </c>
      <c r="T135" s="470">
        <f ca="1">SUM(P135:S135)</f>
        <v>1e-12</v>
      </c>
      <c r="U135" s="469">
        <v>0</v>
      </c>
      <c r="V135" s="469">
        <v>0</v>
      </c>
      <c r="W135" s="469">
        <v>0</v>
      </c>
      <c r="X135" s="477">
        <v>0</v>
      </c>
      <c r="Y135" s="470">
        <f ca="1">SUM(U135:X135)</f>
        <v>1e-12</v>
      </c>
      <c r="Z135" s="477">
        <v>0</v>
      </c>
      <c r="AA135" s="477">
        <v>0</v>
      </c>
      <c r="AB135" s="477">
        <v>0</v>
      </c>
      <c r="AC135" s="477">
        <v>0</v>
      </c>
      <c r="AD135" s="470">
        <f ca="1">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 ca="1">'Segment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 ca="1">C$89</f>
        <v>North America</v>
      </c>
      <c r="D138" s="16"/>
      <c r="E138" s="16"/>
      <c r="F138" s="469">
        <v>0</v>
      </c>
      <c r="G138" s="469">
        <v>0</v>
      </c>
      <c r="H138" s="469">
        <v>0</v>
      </c>
      <c r="I138" s="469">
        <v>0</v>
      </c>
      <c r="J138" s="470">
        <f t="shared" ref="J138:J142" si="136" ca="1">SUM(F138:I138)</f>
        <v>1e-12</v>
      </c>
      <c r="K138" s="469">
        <v>0</v>
      </c>
      <c r="L138" s="469">
        <v>0</v>
      </c>
      <c r="M138" s="469">
        <v>0</v>
      </c>
      <c r="N138" s="469">
        <v>0</v>
      </c>
      <c r="O138" s="470">
        <f t="shared" ref="O138:O142" si="137" ca="1">SUM(K138:N138)</f>
        <v>1e-12</v>
      </c>
      <c r="P138" s="469">
        <v>0</v>
      </c>
      <c r="Q138" s="469">
        <v>0</v>
      </c>
      <c r="R138" s="469">
        <v>0</v>
      </c>
      <c r="S138" s="469">
        <v>0</v>
      </c>
      <c r="T138" s="470">
        <f t="shared" ref="T138:T142" si="138" ca="1">SUM(P138:S138)</f>
        <v>1e-12</v>
      </c>
      <c r="U138" s="469">
        <v>0</v>
      </c>
      <c r="V138" s="469">
        <v>0</v>
      </c>
      <c r="W138" s="469">
        <v>0</v>
      </c>
      <c r="X138" s="477">
        <v>0</v>
      </c>
      <c r="Y138" s="470">
        <f t="shared" ref="Y138:Y142" si="139" ca="1">SUM(U138:X138)</f>
        <v>1e-12</v>
      </c>
      <c r="Z138" s="477">
        <v>0</v>
      </c>
      <c r="AA138" s="477">
        <v>0</v>
      </c>
      <c r="AB138" s="477">
        <v>0</v>
      </c>
      <c r="AC138" s="477">
        <v>0</v>
      </c>
      <c r="AD138" s="470">
        <f t="shared" ref="AD138:AD142" si="140" ca="1">SUM(Z138:AC138)</f>
        <v>1e-12</v>
      </c>
      <c r="AE138" s="478">
        <v>0</v>
      </c>
      <c r="AF138" s="478">
        <v>0</v>
      </c>
      <c r="AG138" s="478">
        <v>0</v>
      </c>
    </row>
    <row r="139" ht="14.25" customHeight="1" hidden="1" spans="1:33" x14ac:dyDescent="0.25" outlineLevel="1">
      <c r="C139" s="139" t="str">
        <f ca="1">C$90</f>
        <v>Europe</v>
      </c>
      <c r="D139" s="16"/>
      <c r="E139" s="16"/>
      <c r="F139" s="469">
        <v>0</v>
      </c>
      <c r="G139" s="469">
        <v>0</v>
      </c>
      <c r="H139" s="469">
        <v>0</v>
      </c>
      <c r="I139" s="469">
        <v>0</v>
      </c>
      <c r="J139" s="470">
        <f ca="1">SUM(F139:I139)</f>
        <v>1e-12</v>
      </c>
      <c r="K139" s="469">
        <v>0</v>
      </c>
      <c r="L139" s="469">
        <v>0</v>
      </c>
      <c r="M139" s="469">
        <v>0</v>
      </c>
      <c r="N139" s="469">
        <v>0</v>
      </c>
      <c r="O139" s="470">
        <f ca="1">SUM(K139:N139)</f>
        <v>1e-12</v>
      </c>
      <c r="P139" s="469">
        <v>0</v>
      </c>
      <c r="Q139" s="469">
        <v>0</v>
      </c>
      <c r="R139" s="469">
        <v>0</v>
      </c>
      <c r="S139" s="469">
        <v>0</v>
      </c>
      <c r="T139" s="470">
        <f ca="1">SUM(P139:S139)</f>
        <v>1e-12</v>
      </c>
      <c r="U139" s="469">
        <v>0</v>
      </c>
      <c r="V139" s="469">
        <v>0</v>
      </c>
      <c r="W139" s="469">
        <v>0</v>
      </c>
      <c r="X139" s="477">
        <v>0</v>
      </c>
      <c r="Y139" s="470">
        <f ca="1">SUM(U139:X139)</f>
        <v>1e-12</v>
      </c>
      <c r="Z139" s="477">
        <v>0</v>
      </c>
      <c r="AA139" s="477">
        <v>0</v>
      </c>
      <c r="AB139" s="477">
        <v>0</v>
      </c>
      <c r="AC139" s="477">
        <v>0</v>
      </c>
      <c r="AD139" s="470">
        <f ca="1">SUM(Z139:AC139)</f>
        <v>1e-12</v>
      </c>
      <c r="AE139" s="478">
        <v>0</v>
      </c>
      <c r="AF139" s="478">
        <v>0</v>
      </c>
      <c r="AG139" s="478">
        <v>0</v>
      </c>
    </row>
    <row r="140" ht="14.25" customHeight="1" hidden="1" spans="1:33" x14ac:dyDescent="0.25" outlineLevel="1">
      <c r="C140" s="139" t="str">
        <f ca="1">C$91</f>
        <v>South America</v>
      </c>
      <c r="D140" s="16"/>
      <c r="E140" s="16"/>
      <c r="F140" s="469">
        <v>0</v>
      </c>
      <c r="G140" s="469">
        <v>0</v>
      </c>
      <c r="H140" s="469">
        <v>0</v>
      </c>
      <c r="I140" s="469">
        <v>0</v>
      </c>
      <c r="J140" s="470">
        <f ca="1">SUM(F140:I140)</f>
        <v>1e-12</v>
      </c>
      <c r="K140" s="469">
        <v>0</v>
      </c>
      <c r="L140" s="469">
        <v>0</v>
      </c>
      <c r="M140" s="469">
        <v>0</v>
      </c>
      <c r="N140" s="469">
        <v>0</v>
      </c>
      <c r="O140" s="470">
        <f ca="1">SUM(K140:N140)</f>
        <v>1e-12</v>
      </c>
      <c r="P140" s="469">
        <v>0</v>
      </c>
      <c r="Q140" s="469">
        <v>0</v>
      </c>
      <c r="R140" s="469">
        <v>0</v>
      </c>
      <c r="S140" s="469">
        <v>0</v>
      </c>
      <c r="T140" s="470">
        <f ca="1">SUM(P140:S140)</f>
        <v>1e-12</v>
      </c>
      <c r="U140" s="469">
        <v>0</v>
      </c>
      <c r="V140" s="469">
        <v>0</v>
      </c>
      <c r="W140" s="469">
        <v>0</v>
      </c>
      <c r="X140" s="477">
        <v>0</v>
      </c>
      <c r="Y140" s="470">
        <f ca="1">SUM(U140:X140)</f>
        <v>1e-12</v>
      </c>
      <c r="Z140" s="477">
        <v>0</v>
      </c>
      <c r="AA140" s="477">
        <v>0</v>
      </c>
      <c r="AB140" s="477">
        <v>0</v>
      </c>
      <c r="AC140" s="477">
        <v>0</v>
      </c>
      <c r="AD140" s="470">
        <f ca="1">SUM(Z140:AC140)</f>
        <v>1e-12</v>
      </c>
      <c r="AE140" s="478">
        <v>0</v>
      </c>
      <c r="AF140" s="478">
        <v>0</v>
      </c>
      <c r="AG140" s="478">
        <v>0</v>
      </c>
    </row>
    <row r="141" ht="14.25" customHeight="1" hidden="1" spans="1:33" x14ac:dyDescent="0.25" outlineLevel="1">
      <c r="C141" s="139" t="str">
        <f ca="1">C$92</f>
        <v>Middle East &amp; Africa</v>
      </c>
      <c r="D141" s="16"/>
      <c r="E141" s="16"/>
      <c r="F141" s="469">
        <v>0</v>
      </c>
      <c r="G141" s="469">
        <v>0</v>
      </c>
      <c r="H141" s="469">
        <v>0</v>
      </c>
      <c r="I141" s="469">
        <v>0</v>
      </c>
      <c r="J141" s="470">
        <f ca="1">SUM(F141:I141)</f>
        <v>1e-12</v>
      </c>
      <c r="K141" s="469">
        <v>0</v>
      </c>
      <c r="L141" s="469">
        <v>0</v>
      </c>
      <c r="M141" s="469">
        <v>0</v>
      </c>
      <c r="N141" s="469">
        <v>0</v>
      </c>
      <c r="O141" s="470">
        <f ca="1">SUM(K141:N141)</f>
        <v>1e-12</v>
      </c>
      <c r="P141" s="469">
        <v>0</v>
      </c>
      <c r="Q141" s="469">
        <v>0</v>
      </c>
      <c r="R141" s="469">
        <v>0</v>
      </c>
      <c r="S141" s="469">
        <v>0</v>
      </c>
      <c r="T141" s="470">
        <f ca="1">SUM(P141:S141)</f>
        <v>1e-12</v>
      </c>
      <c r="U141" s="469">
        <v>0</v>
      </c>
      <c r="V141" s="469">
        <v>0</v>
      </c>
      <c r="W141" s="469">
        <v>0</v>
      </c>
      <c r="X141" s="477">
        <v>0</v>
      </c>
      <c r="Y141" s="470">
        <f ca="1">SUM(U141:X141)</f>
        <v>1e-12</v>
      </c>
      <c r="Z141" s="477">
        <v>0</v>
      </c>
      <c r="AA141" s="477">
        <v>0</v>
      </c>
      <c r="AB141" s="477">
        <v>0</v>
      </c>
      <c r="AC141" s="477">
        <v>0</v>
      </c>
      <c r="AD141" s="470">
        <f ca="1">SUM(Z141:AC141)</f>
        <v>1e-12</v>
      </c>
      <c r="AE141" s="478">
        <v>0</v>
      </c>
      <c r="AF141" s="478">
        <v>0</v>
      </c>
      <c r="AG141" s="478">
        <v>0</v>
      </c>
    </row>
    <row r="142" ht="14.25" customHeight="1" hidden="1" spans="1:33" x14ac:dyDescent="0.25" outlineLevel="1">
      <c r="C142" s="139" t="str">
        <f ca="1">C$93</f>
        <v>Asia Pacific</v>
      </c>
      <c r="D142" s="16"/>
      <c r="E142" s="16"/>
      <c r="F142" s="469">
        <v>0</v>
      </c>
      <c r="G142" s="469">
        <v>0</v>
      </c>
      <c r="H142" s="469">
        <v>0</v>
      </c>
      <c r="I142" s="469">
        <v>0</v>
      </c>
      <c r="J142" s="470">
        <f ca="1">SUM(F142:I142)</f>
        <v>1e-12</v>
      </c>
      <c r="K142" s="469">
        <v>0</v>
      </c>
      <c r="L142" s="469">
        <v>0</v>
      </c>
      <c r="M142" s="469">
        <v>0</v>
      </c>
      <c r="N142" s="469">
        <v>0</v>
      </c>
      <c r="O142" s="470">
        <f ca="1">SUM(K142:N142)</f>
        <v>1e-12</v>
      </c>
      <c r="P142" s="469">
        <v>0</v>
      </c>
      <c r="Q142" s="469">
        <v>0</v>
      </c>
      <c r="R142" s="469">
        <v>0</v>
      </c>
      <c r="S142" s="469">
        <v>0</v>
      </c>
      <c r="T142" s="470">
        <f ca="1">SUM(P142:S142)</f>
        <v>1e-12</v>
      </c>
      <c r="U142" s="469">
        <v>0</v>
      </c>
      <c r="V142" s="469">
        <v>0</v>
      </c>
      <c r="W142" s="469">
        <v>0</v>
      </c>
      <c r="X142" s="477">
        <v>0</v>
      </c>
      <c r="Y142" s="470">
        <f ca="1">SUM(U142:X142)</f>
        <v>1e-12</v>
      </c>
      <c r="Z142" s="477">
        <v>0</v>
      </c>
      <c r="AA142" s="477">
        <v>0</v>
      </c>
      <c r="AB142" s="477">
        <v>0</v>
      </c>
      <c r="AC142" s="477">
        <v>0</v>
      </c>
      <c r="AD142" s="470">
        <f ca="1">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473</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 ca="1">IFERROR(Model!F61/Model!F28,"N/A")</f>
        <v>0.10512672811059907</v>
      </c>
      <c r="G146" s="377">
        <f ca="1">IFERROR(Model!G61/Model!G28,"N/A")</f>
        <v>0.12825258521639218</v>
      </c>
      <c r="H146" s="377">
        <f ca="1">IFERROR(Model!H61/Model!H28,"N/A")</f>
        <v>0.09186448463967843</v>
      </c>
      <c r="I146" s="377">
        <f ca="1">IFERROR(Model!I61/Model!I28,"N/A")</f>
        <v>0.07911478972261282</v>
      </c>
      <c r="J146" s="378">
        <f ca="1">IFERROR(Model!J61/Model!J28,"N/A")</f>
        <v>0.10295460601046151</v>
      </c>
      <c r="K146" s="377">
        <f ca="1">IFERROR(Model!K61/Model!K28,"N/A")</f>
        <v>0.09285102305394284</v>
      </c>
      <c r="L146" s="377">
        <f ca="1">IFERROR(Model!L61/Model!L28,"N/A")</f>
        <v>0.1286113757621951</v>
      </c>
      <c r="M146" s="377">
        <f ca="1">IFERROR(Model!M61/Model!M28,"N/A")</f>
        <v>0.10964458247066942</v>
      </c>
      <c r="N146" s="377">
        <f ca="1">IFERROR(Model!N61/Model!N28,"N/A")</f>
        <v>0.09427341361452549</v>
      </c>
      <c r="O146" s="378">
        <f ca="1">IFERROR(Model!O61/Model!O28,"N/A")</f>
        <v>0.10761906081942674</v>
      </c>
      <c r="P146" s="377">
        <f ca="1">IFERROR(Model!P61/Model!P28,"N/A")</f>
        <v>0.11814790343074968</v>
      </c>
      <c r="Q146" s="377">
        <f ca="1">IFERROR(Model!Q61/Model!Q28,"N/A")</f>
        <v>0.15718738553952094</v>
      </c>
      <c r="R146" s="377">
        <f ca="1">IFERROR(Model!R61/Model!R28,"N/A")</f>
        <v>0.14957102514680176</v>
      </c>
      <c r="S146" s="377">
        <f ca="1">IFERROR(Model!S61/Model!S28,"N/A")</f>
        <v>0.1555314854019989</v>
      </c>
      <c r="T146" s="378">
        <f ca="1">IFERROR(Model!T61/Model!T28,"N/A")</f>
        <v>0.14634273468977757</v>
      </c>
      <c r="U146" s="377">
        <f ca="1">IFERROR(Model!U61/Model!U28,"N/A")</f>
        <v>0.14888215543362543</v>
      </c>
      <c r="V146" s="377">
        <f ca="1">IFERROR(Model!V61/Model!V28,"N/A")</f>
        <v>0.16753717809212912</v>
      </c>
      <c r="W146" s="377">
        <f ca="1">IFERROR(Model!W61/Model!W28,"N/A")</f>
        <v>0.13993367658608954</v>
      </c>
      <c r="X146" s="379" t="str">
        <f ca="1">IFERROR(Model!X61/Model!X28,"N/A")</f>
        <v>N/A</v>
      </c>
      <c r="Y146" s="378" t="str">
        <f ca="1">IFERROR(Model!Y61/Model!Y28,"N/A")</f>
        <v>N/A</v>
      </c>
      <c r="Z146" s="379" t="str">
        <f ca="1">IFERROR(Model!Z61/Model!Z28,"N/A")</f>
        <v>N/A</v>
      </c>
      <c r="AA146" s="379" t="str">
        <f ca="1">IFERROR(Model!AA61/Model!AA28,"N/A")</f>
        <v>N/A</v>
      </c>
      <c r="AB146" s="379" t="str">
        <f ca="1">IFERROR(Model!AB61/Model!AB28,"N/A")</f>
        <v>N/A</v>
      </c>
      <c r="AC146" s="379" t="str">
        <f ca="1">IFERROR(Model!AC61/Model!AC28,"N/A")</f>
        <v>N/A</v>
      </c>
      <c r="AD146" s="378" t="str">
        <f ca="1">IFERROR(Model!AD61/Model!AD28,"N/A")</f>
        <v>N/A</v>
      </c>
      <c r="AE146" s="378" t="str">
        <f ca="1">IFERROR(Model!AE61/Model!AE28,"N/A")</f>
        <v>N/A</v>
      </c>
      <c r="AF146" s="378" t="str">
        <f ca="1">IFERROR(Model!AF61/Model!AF28,"N/A")</f>
        <v>N/A</v>
      </c>
      <c r="AG146" s="378" t="str">
        <f ca="1">IFERROR(Model!AG61/Model!AG28,"N/A")</f>
        <v>N/A</v>
      </c>
    </row>
    <row r="147" ht="14.25" customHeight="1" hidden="1" spans="1:33" x14ac:dyDescent="0.25" outlineLevel="1">
      <c r="C147" s="16" t="str">
        <f t="shared" ref="C147:C152" si="141" ca="1">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 ca="1">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 ca="1">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 ca="1">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 ca="1">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 ca="1">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 ca="1">IFERROR(Model!F36/Model!F28,"N/A")</f>
        <v>0.08438940092165899</v>
      </c>
      <c r="G154" s="377">
        <f ca="1">IFERROR(Model!G36/Model!G28,"N/A")</f>
        <v>0.10355227882037533</v>
      </c>
      <c r="H154" s="377">
        <f ca="1">IFERROR(Model!H36/Model!H28,"N/A")</f>
        <v>0.0549526270456503</v>
      </c>
      <c r="I154" s="377">
        <f ca="1">IFERROR(Model!I36/Model!I28,"N/A")</f>
        <v>-0.036239294388342065</v>
      </c>
      <c r="J154" s="378">
        <f ca="1">IFERROR(Model!J36/Model!J28,"N/A")</f>
        <v>0.05634632374595072</v>
      </c>
      <c r="K154" s="377">
        <f ca="1">IFERROR(Model!K36/Model!K28,"N/A")</f>
        <v>0.07987148413279974</v>
      </c>
      <c r="L154" s="377">
        <f ca="1">IFERROR(Model!L36/Model!L28,"N/A")</f>
        <v>0.11342416158536585</v>
      </c>
      <c r="M154" s="377">
        <f ca="1">IFERROR(Model!M36/Model!M28,"N/A")</f>
        <v>0.08960202438463308</v>
      </c>
      <c r="N154" s="377">
        <f ca="1">IFERROR(Model!N36/Model!N28,"N/A")</f>
        <v>0.05977413115367817</v>
      </c>
      <c r="O154" s="378">
        <f ca="1">IFERROR(Model!O36/Model!O28,"N/A")</f>
        <v>0.08751455341797416</v>
      </c>
      <c r="P154" s="377">
        <f ca="1">IFERROR(Model!P36/Model!P28,"N/A")</f>
        <v>0.10119440914866581</v>
      </c>
      <c r="Q154" s="377">
        <f ca="1">IFERROR(Model!Q36/Model!Q28,"N/A")</f>
        <v>0.14493443703757966</v>
      </c>
      <c r="R154" s="377">
        <f ca="1">IFERROR(Model!R36/Model!R28,"N/A")</f>
        <v>0.09749428481778655</v>
      </c>
      <c r="S154" s="377">
        <f ca="1">IFERROR(Model!S36/Model!S28,"N/A")</f>
        <v>0.13633006745113485</v>
      </c>
      <c r="T154" s="378">
        <f ca="1">IFERROR(Model!T36/Model!T28,"N/A")</f>
        <v>0.12156657030927374</v>
      </c>
      <c r="U154" s="377">
        <f ca="1">IFERROR(Model!U36/Model!U28,"N/A")</f>
        <v>0.132872000655147</v>
      </c>
      <c r="V154" s="377">
        <f ca="1">IFERROR(Model!V36/Model!V28,"N/A")</f>
        <v>0.15270221254987304</v>
      </c>
      <c r="W154" s="377">
        <f ca="1">IFERROR(Model!W36/Model!W28,"N/A")</f>
        <v>0.1216947377607121</v>
      </c>
      <c r="X154" s="379">
        <f ca="1">IFERROR(Model!X36/Model!X28,"N/A")</f>
        <v>-0.10521155515545128</v>
      </c>
      <c r="Y154" s="378">
        <f ca="1">IFERROR(Model!Y36/Model!Y28,"N/A")</f>
        <v>0.08226262669098001</v>
      </c>
      <c r="Z154" s="379">
        <f ca="1">IFERROR(Model!Z36/Model!Z28,"N/A")</f>
        <v>-0.09791767198324655</v>
      </c>
      <c r="AA154" s="379">
        <f ca="1">IFERROR(Model!AA36/Model!AA28,"N/A")</f>
        <v>-0.09150141466977164</v>
      </c>
      <c r="AB154" s="379">
        <f ca="1">IFERROR(Model!AB36/Model!AB28,"N/A")</f>
        <v>-0.11327856808301211</v>
      </c>
      <c r="AC154" s="379">
        <f ca="1">IFERROR(Model!AC36/Model!AC28,"N/A")</f>
        <v>-0.09904599278058888</v>
      </c>
      <c r="AD154" s="378">
        <f ca="1">IFERROR(Model!AD36/Model!AD28,"N/A")</f>
        <v>-0.10015651845772622</v>
      </c>
      <c r="AE154" s="378">
        <f ca="1">IFERROR(Model!AE36/Model!AE28,"N/A")</f>
        <v>-0.08923024548635708</v>
      </c>
      <c r="AF154" s="378">
        <f ca="1">IFERROR(Model!AF36/Model!AF28,"N/A")</f>
        <v>-0.08444869393268568</v>
      </c>
      <c r="AG154" s="378">
        <f ca="1">IFERROR(Model!AG36/Model!AG28,"N/A")</f>
        <v>-0.07764743918581588</v>
      </c>
    </row>
    <row r="155" ht="14.25" customHeight="1" spans="1:33" x14ac:dyDescent="0.25" outlineLevel="1">
      <c r="C155" s="16" t="str">
        <f t="shared" ref="C155:C160" si="142" ca="1">C16</f>
        <v>Home Improvement Retail</v>
      </c>
      <c r="D155" s="16"/>
      <c r="E155" s="16"/>
      <c r="F155" s="377">
        <f t="shared" ref="F155:AG155" si="143" ca="1">IFERROR(F34/F8,"N/A")</f>
        <v>0.08438940092165899</v>
      </c>
      <c r="G155" s="377">
        <f ca="1">IFERROR(G34/G8,"N/A")</f>
        <v>0.10355227882037533</v>
      </c>
      <c r="H155" s="377">
        <f ca="1">IFERROR(H34/H8,"N/A")</f>
        <v>0.0549526270456503</v>
      </c>
      <c r="I155" s="377">
        <f ca="1">IFERROR(I34/I8,"N/A")</f>
        <v>-0.036239294388342065</v>
      </c>
      <c r="J155" s="378">
        <f ca="1">IFERROR(J34/J8,"N/A")</f>
        <v>0.05634632374595072</v>
      </c>
      <c r="K155" s="377">
        <f ca="1">IFERROR(K34/K8,"N/A")</f>
        <v>0.07987148413279974</v>
      </c>
      <c r="L155" s="377">
        <f ca="1">IFERROR(L34/L8,"N/A")</f>
        <v>0.11342416158536585</v>
      </c>
      <c r="M155" s="377">
        <f ca="1">IFERROR(M34/M8,"N/A")</f>
        <v>0.08960202438463308</v>
      </c>
      <c r="N155" s="377">
        <f ca="1">IFERROR(N34/N8,"N/A")</f>
        <v>0.05977413115367817</v>
      </c>
      <c r="O155" s="378">
        <f ca="1">IFERROR(O34/O8,"N/A")</f>
        <v>0.08751455341797416</v>
      </c>
      <c r="P155" s="377">
        <f ca="1">IFERROR(P34/P8,"N/A")</f>
        <v>0.10119440914866581</v>
      </c>
      <c r="Q155" s="377">
        <f ca="1">IFERROR(Q34/Q8,"N/A")</f>
        <v>0.14493443703757966</v>
      </c>
      <c r="R155" s="377">
        <f ca="1">IFERROR(R34/R8,"N/A")</f>
        <v>0.14493253843740195</v>
      </c>
      <c r="S155" s="377">
        <f ca="1">IFERROR(S34/S8,"N/A")</f>
        <v>0.13633006745113485</v>
      </c>
      <c r="T155" s="378">
        <f ca="1">IFERROR(T34/T8,"N/A")</f>
        <v>0.13337834972153084</v>
      </c>
      <c r="U155" s="377">
        <f ca="1">IFERROR(U34/U8,"N/A")</f>
        <v>0.105</v>
      </c>
      <c r="V155" s="377">
        <f ca="1">IFERROR(V34/V8,"N/A")</f>
        <v>0.108</v>
      </c>
      <c r="W155" s="377">
        <f ca="1">IFERROR(W34/W8,"N/A")</f>
        <v>0.1216947377607121</v>
      </c>
      <c r="X155" s="379">
        <f ca="1">IFERROR(X34/X8,"N/A")</f>
        <v>0.13</v>
      </c>
      <c r="Y155" s="378">
        <f ca="1">IFERROR(Y34/Y8,"N/A")</f>
        <v>0.11544270345803409</v>
      </c>
      <c r="Z155" s="379">
        <f ca="1">IFERROR(Z34/Z8,"N/A")</f>
        <v>0.14</v>
      </c>
      <c r="AA155" s="379">
        <f ca="1">IFERROR(AA34/AA8,"N/A")</f>
        <v>0.145</v>
      </c>
      <c r="AB155" s="379">
        <f ca="1">IFERROR(AB34/AB8,"N/A")</f>
        <v>0.12</v>
      </c>
      <c r="AC155" s="379">
        <f ca="1">IFERROR(AC34/AC8,"N/A")</f>
        <v>0.135</v>
      </c>
      <c r="AD155" s="378">
        <f ca="1">IFERROR(AD34/AD8,"N/A")</f>
        <v>0.13533005878561805</v>
      </c>
      <c r="AE155" s="378">
        <f ca="1">IFERROR(AE34/AE8,"N/A")</f>
        <v>0.139</v>
      </c>
      <c r="AF155" s="378">
        <f ca="1">IFERROR(AF34/AF8,"N/A")</f>
        <v>0.14</v>
      </c>
      <c r="AG155" s="378">
        <f ca="1">IFERROR(AG34/AG8,"N/A")</f>
        <v>0.142</v>
      </c>
    </row>
    <row r="156" ht="14.25" customHeight="1" spans="1:33" x14ac:dyDescent="0.25" outlineLevel="1">
      <c r="C156" s="16" t="str">
        <f ca="1">C17</f>
        <v>Segment 2</v>
      </c>
      <c r="D156" s="16"/>
      <c r="E156" s="16"/>
      <c r="F156" s="377" t="str">
        <f t="shared" ref="F156:AG156" si="144" ca="1">IFERROR(F35/F9,"N/A")</f>
        <v>N/A</v>
      </c>
      <c r="G156" s="377" t="str">
        <f ca="1">IFERROR(G35/G9,"N/A")</f>
        <v>N/A</v>
      </c>
      <c r="H156" s="377" t="str">
        <f ca="1">IFERROR(H35/H9,"N/A")</f>
        <v>N/A</v>
      </c>
      <c r="I156" s="377" t="str">
        <f ca="1">IFERROR(I35/I9,"N/A")</f>
        <v>N/A</v>
      </c>
      <c r="J156" s="378" t="str">
        <f ca="1">IFERROR(J35/J9,"N/A")</f>
        <v>N/A</v>
      </c>
      <c r="K156" s="377" t="str">
        <f ca="1">IFERROR(K35/K9,"N/A")</f>
        <v>N/A</v>
      </c>
      <c r="L156" s="377" t="str">
        <f ca="1">IFERROR(L35/L9,"N/A")</f>
        <v>N/A</v>
      </c>
      <c r="M156" s="377" t="str">
        <f ca="1">IFERROR(M35/M9,"N/A")</f>
        <v>N/A</v>
      </c>
      <c r="N156" s="377" t="str">
        <f ca="1">IFERROR(N35/N9,"N/A")</f>
        <v>N/A</v>
      </c>
      <c r="O156" s="378" t="str">
        <f ca="1">IFERROR(O35/O9,"N/A")</f>
        <v>N/A</v>
      </c>
      <c r="P156" s="377" t="str">
        <f ca="1">IFERROR(P35/P9,"N/A")</f>
        <v>N/A</v>
      </c>
      <c r="Q156" s="377" t="str">
        <f ca="1">IFERROR(Q35/Q9,"N/A")</f>
        <v>N/A</v>
      </c>
      <c r="R156" s="377" t="str">
        <f ca="1">IFERROR(R35/R9,"N/A")</f>
        <v>N/A</v>
      </c>
      <c r="S156" s="377" t="str">
        <f ca="1">IFERROR(S35/S9,"N/A")</f>
        <v>N/A</v>
      </c>
      <c r="T156" s="378" t="str">
        <f ca="1">IFERROR(T35/T9,"N/A")</f>
        <v>N/A</v>
      </c>
      <c r="U156" s="377" t="str">
        <f ca="1">IFERROR(U35/U9,"N/A")</f>
        <v>N/A</v>
      </c>
      <c r="V156" s="377" t="str">
        <f ca="1">IFERROR(V35/V9,"N/A")</f>
        <v>N/A</v>
      </c>
      <c r="W156" s="377" t="str">
        <f ca="1">IFERROR(W35/W9,"N/A")</f>
        <v>N/A</v>
      </c>
      <c r="X156" s="379" t="str">
        <f ca="1">IFERROR(X35/X9,"N/A")</f>
        <v>N/A</v>
      </c>
      <c r="Y156" s="378" t="str">
        <f ca="1">IFERROR(Y35/Y9,"N/A")</f>
        <v>N/A</v>
      </c>
      <c r="Z156" s="379" t="str">
        <f ca="1">IFERROR(Z35/Z9,"N/A")</f>
        <v>N/A</v>
      </c>
      <c r="AA156" s="379" t="str">
        <f ca="1">IFERROR(AA35/AA9,"N/A")</f>
        <v>N/A</v>
      </c>
      <c r="AB156" s="379" t="str">
        <f ca="1">IFERROR(AB35/AB9,"N/A")</f>
        <v>N/A</v>
      </c>
      <c r="AC156" s="379" t="str">
        <f ca="1">IFERROR(AC35/AC9,"N/A")</f>
        <v>N/A</v>
      </c>
      <c r="AD156" s="378" t="str">
        <f ca="1">IFERROR(AD35/AD9,"N/A")</f>
        <v>N/A</v>
      </c>
      <c r="AE156" s="378" t="str">
        <f ca="1">IFERROR(AE35/AE9,"N/A")</f>
        <v>N/A</v>
      </c>
      <c r="AF156" s="378" t="str">
        <f ca="1">IFERROR(AF35/AF9,"N/A")</f>
        <v>N/A</v>
      </c>
      <c r="AG156" s="378" t="str">
        <f ca="1">IFERROR(AG35/AG9,"N/A")</f>
        <v>N/A</v>
      </c>
    </row>
    <row r="157" ht="14.25" customHeight="1" spans="1:33" x14ac:dyDescent="0.25" outlineLevel="1">
      <c r="C157" s="16" t="str">
        <f ca="1">C18</f>
        <v>Segment 3</v>
      </c>
      <c r="D157" s="16"/>
      <c r="E157" s="16"/>
      <c r="F157" s="377" t="str">
        <f t="shared" ref="F157:AG157" si="145" ca="1">IFERROR(F36/F10,"N/A")</f>
        <v>N/A</v>
      </c>
      <c r="G157" s="377" t="str">
        <f ca="1">IFERROR(G36/G10,"N/A")</f>
        <v>N/A</v>
      </c>
      <c r="H157" s="377" t="str">
        <f ca="1">IFERROR(H36/H10,"N/A")</f>
        <v>N/A</v>
      </c>
      <c r="I157" s="377" t="str">
        <f ca="1">IFERROR(I36/I10,"N/A")</f>
        <v>N/A</v>
      </c>
      <c r="J157" s="378" t="str">
        <f ca="1">IFERROR(J36/J10,"N/A")</f>
        <v>N/A</v>
      </c>
      <c r="K157" s="377" t="str">
        <f ca="1">IFERROR(K36/K10,"N/A")</f>
        <v>N/A</v>
      </c>
      <c r="L157" s="377" t="str">
        <f ca="1">IFERROR(L36/L10,"N/A")</f>
        <v>N/A</v>
      </c>
      <c r="M157" s="377" t="str">
        <f ca="1">IFERROR(M36/M10,"N/A")</f>
        <v>N/A</v>
      </c>
      <c r="N157" s="377" t="str">
        <f ca="1">IFERROR(N36/N10,"N/A")</f>
        <v>N/A</v>
      </c>
      <c r="O157" s="378" t="str">
        <f ca="1">IFERROR(O36/O10,"N/A")</f>
        <v>N/A</v>
      </c>
      <c r="P157" s="377" t="str">
        <f ca="1">IFERROR(P36/P10,"N/A")</f>
        <v>N/A</v>
      </c>
      <c r="Q157" s="377" t="str">
        <f ca="1">IFERROR(Q36/Q10,"N/A")</f>
        <v>N/A</v>
      </c>
      <c r="R157" s="377" t="str">
        <f ca="1">IFERROR(R36/R10,"N/A")</f>
        <v>N/A</v>
      </c>
      <c r="S157" s="377" t="str">
        <f ca="1">IFERROR(S36/S10,"N/A")</f>
        <v>N/A</v>
      </c>
      <c r="T157" s="378" t="str">
        <f ca="1">IFERROR(T36/T10,"N/A")</f>
        <v>N/A</v>
      </c>
      <c r="U157" s="377" t="str">
        <f ca="1">IFERROR(U36/U10,"N/A")</f>
        <v>N/A</v>
      </c>
      <c r="V157" s="377" t="str">
        <f ca="1">IFERROR(V36/V10,"N/A")</f>
        <v>N/A</v>
      </c>
      <c r="W157" s="377" t="str">
        <f ca="1">IFERROR(W36/W10,"N/A")</f>
        <v>N/A</v>
      </c>
      <c r="X157" s="379" t="str">
        <f ca="1">IFERROR(X36/X10,"N/A")</f>
        <v>N/A</v>
      </c>
      <c r="Y157" s="378" t="str">
        <f ca="1">IFERROR(Y36/Y10,"N/A")</f>
        <v>N/A</v>
      </c>
      <c r="Z157" s="379" t="str">
        <f ca="1">IFERROR(Z36/Z10,"N/A")</f>
        <v>N/A</v>
      </c>
      <c r="AA157" s="379" t="str">
        <f ca="1">IFERROR(AA36/AA10,"N/A")</f>
        <v>N/A</v>
      </c>
      <c r="AB157" s="379" t="str">
        <f ca="1">IFERROR(AB36/AB10,"N/A")</f>
        <v>N/A</v>
      </c>
      <c r="AC157" s="379" t="str">
        <f ca="1">IFERROR(AC36/AC10,"N/A")</f>
        <v>N/A</v>
      </c>
      <c r="AD157" s="378" t="str">
        <f ca="1">IFERROR(AD36/AD10,"N/A")</f>
        <v>N/A</v>
      </c>
      <c r="AE157" s="378" t="str">
        <f ca="1">IFERROR(AE36/AE10,"N/A")</f>
        <v>N/A</v>
      </c>
      <c r="AF157" s="378" t="str">
        <f ca="1">IFERROR(AF36/AF10,"N/A")</f>
        <v>N/A</v>
      </c>
      <c r="AG157" s="378" t="str">
        <f ca="1">IFERROR(AG36/AG10,"N/A")</f>
        <v>N/A</v>
      </c>
    </row>
    <row r="158" ht="14.25" customHeight="1" spans="1:33" x14ac:dyDescent="0.25" outlineLevel="1">
      <c r="C158" s="16" t="str">
        <f ca="1">C19</f>
        <v>Segment 4</v>
      </c>
      <c r="D158" s="16"/>
      <c r="E158" s="16"/>
      <c r="F158" s="377" t="str">
        <f t="shared" ref="F158:AG158" si="146" ca="1">IFERROR(F37/F11,"N/A")</f>
        <v>N/A</v>
      </c>
      <c r="G158" s="377" t="str">
        <f ca="1">IFERROR(G37/G11,"N/A")</f>
        <v>N/A</v>
      </c>
      <c r="H158" s="377" t="str">
        <f ca="1">IFERROR(H37/H11,"N/A")</f>
        <v>N/A</v>
      </c>
      <c r="I158" s="377" t="str">
        <f ca="1">IFERROR(I37/I11,"N/A")</f>
        <v>N/A</v>
      </c>
      <c r="J158" s="378" t="str">
        <f ca="1">IFERROR(J37/J11,"N/A")</f>
        <v>N/A</v>
      </c>
      <c r="K158" s="377" t="str">
        <f ca="1">IFERROR(K37/K11,"N/A")</f>
        <v>N/A</v>
      </c>
      <c r="L158" s="377" t="str">
        <f ca="1">IFERROR(L37/L11,"N/A")</f>
        <v>N/A</v>
      </c>
      <c r="M158" s="377" t="str">
        <f ca="1">IFERROR(M37/M11,"N/A")</f>
        <v>N/A</v>
      </c>
      <c r="N158" s="377" t="str">
        <f ca="1">IFERROR(N37/N11,"N/A")</f>
        <v>N/A</v>
      </c>
      <c r="O158" s="378" t="str">
        <f ca="1">IFERROR(O37/O11,"N/A")</f>
        <v>N/A</v>
      </c>
      <c r="P158" s="377" t="str">
        <f ca="1">IFERROR(P37/P11,"N/A")</f>
        <v>N/A</v>
      </c>
      <c r="Q158" s="377" t="str">
        <f ca="1">IFERROR(Q37/Q11,"N/A")</f>
        <v>N/A</v>
      </c>
      <c r="R158" s="377" t="str">
        <f ca="1">IFERROR(R37/R11,"N/A")</f>
        <v>N/A</v>
      </c>
      <c r="S158" s="377" t="str">
        <f ca="1">IFERROR(S37/S11,"N/A")</f>
        <v>N/A</v>
      </c>
      <c r="T158" s="378" t="str">
        <f ca="1">IFERROR(T37/T11,"N/A")</f>
        <v>N/A</v>
      </c>
      <c r="U158" s="377" t="str">
        <f ca="1">IFERROR(U37/U11,"N/A")</f>
        <v>N/A</v>
      </c>
      <c r="V158" s="377" t="str">
        <f ca="1">IFERROR(V37/V11,"N/A")</f>
        <v>N/A</v>
      </c>
      <c r="W158" s="377" t="str">
        <f ca="1">IFERROR(W37/W11,"N/A")</f>
        <v>N/A</v>
      </c>
      <c r="X158" s="379" t="str">
        <f ca="1">IFERROR(X37/X11,"N/A")</f>
        <v>N/A</v>
      </c>
      <c r="Y158" s="378" t="str">
        <f ca="1">IFERROR(Y37/Y11,"N/A")</f>
        <v>N/A</v>
      </c>
      <c r="Z158" s="379" t="str">
        <f ca="1">IFERROR(Z37/Z11,"N/A")</f>
        <v>N/A</v>
      </c>
      <c r="AA158" s="379" t="str">
        <f ca="1">IFERROR(AA37/AA11,"N/A")</f>
        <v>N/A</v>
      </c>
      <c r="AB158" s="379" t="str">
        <f ca="1">IFERROR(AB37/AB11,"N/A")</f>
        <v>N/A</v>
      </c>
      <c r="AC158" s="379" t="str">
        <f ca="1">IFERROR(AC37/AC11,"N/A")</f>
        <v>N/A</v>
      </c>
      <c r="AD158" s="378" t="str">
        <f ca="1">IFERROR(AD37/AD11,"N/A")</f>
        <v>N/A</v>
      </c>
      <c r="AE158" s="378" t="str">
        <f ca="1">IFERROR(AE37/AE11,"N/A")</f>
        <v>N/A</v>
      </c>
      <c r="AF158" s="378" t="str">
        <f ca="1">IFERROR(AF37/AF11,"N/A")</f>
        <v>N/A</v>
      </c>
      <c r="AG158" s="378" t="str">
        <f ca="1">IFERROR(AG37/AG11,"N/A")</f>
        <v>N/A</v>
      </c>
    </row>
    <row r="159" ht="14.25" customHeight="1" spans="1:33" x14ac:dyDescent="0.25" outlineLevel="1">
      <c r="C159" s="16" t="str">
        <f ca="1">C20</f>
        <v>Segment 5</v>
      </c>
      <c r="D159" s="16"/>
      <c r="E159" s="16"/>
      <c r="F159" s="377" t="str">
        <f t="shared" ref="F159:AG159" si="147" ca="1">IFERROR(F38/F12,"N/A")</f>
        <v>N/A</v>
      </c>
      <c r="G159" s="377" t="str">
        <f ca="1">IFERROR(G38/G12,"N/A")</f>
        <v>N/A</v>
      </c>
      <c r="H159" s="377" t="str">
        <f ca="1">IFERROR(H38/H12,"N/A")</f>
        <v>N/A</v>
      </c>
      <c r="I159" s="377" t="str">
        <f ca="1">IFERROR(I38/I12,"N/A")</f>
        <v>N/A</v>
      </c>
      <c r="J159" s="378" t="str">
        <f ca="1">IFERROR(J38/J12,"N/A")</f>
        <v>N/A</v>
      </c>
      <c r="K159" s="377" t="str">
        <f ca="1">IFERROR(K38/K12,"N/A")</f>
        <v>N/A</v>
      </c>
      <c r="L159" s="377" t="str">
        <f ca="1">IFERROR(L38/L12,"N/A")</f>
        <v>N/A</v>
      </c>
      <c r="M159" s="377" t="str">
        <f ca="1">IFERROR(M38/M12,"N/A")</f>
        <v>N/A</v>
      </c>
      <c r="N159" s="377" t="str">
        <f ca="1">IFERROR(N38/N12,"N/A")</f>
        <v>N/A</v>
      </c>
      <c r="O159" s="378" t="str">
        <f ca="1">IFERROR(O38/O12,"N/A")</f>
        <v>N/A</v>
      </c>
      <c r="P159" s="377" t="str">
        <f ca="1">IFERROR(P38/P12,"N/A")</f>
        <v>N/A</v>
      </c>
      <c r="Q159" s="377" t="str">
        <f ca="1">IFERROR(Q38/Q12,"N/A")</f>
        <v>N/A</v>
      </c>
      <c r="R159" s="377" t="str">
        <f ca="1">IFERROR(R38/R12,"N/A")</f>
        <v>N/A</v>
      </c>
      <c r="S159" s="377" t="str">
        <f ca="1">IFERROR(S38/S12,"N/A")</f>
        <v>N/A</v>
      </c>
      <c r="T159" s="378" t="str">
        <f ca="1">IFERROR(T38/T12,"N/A")</f>
        <v>N/A</v>
      </c>
      <c r="U159" s="377" t="str">
        <f ca="1">IFERROR(U38/U12,"N/A")</f>
        <v>N/A</v>
      </c>
      <c r="V159" s="377" t="str">
        <f ca="1">IFERROR(V38/V12,"N/A")</f>
        <v>N/A</v>
      </c>
      <c r="W159" s="377" t="str">
        <f ca="1">IFERROR(W38/W12,"N/A")</f>
        <v>N/A</v>
      </c>
      <c r="X159" s="379" t="str">
        <f ca="1">IFERROR(X38/X12,"N/A")</f>
        <v>N/A</v>
      </c>
      <c r="Y159" s="378" t="str">
        <f ca="1">IFERROR(Y38/Y12,"N/A")</f>
        <v>N/A</v>
      </c>
      <c r="Z159" s="379" t="str">
        <f ca="1">IFERROR(Z38/Z12,"N/A")</f>
        <v>N/A</v>
      </c>
      <c r="AA159" s="379" t="str">
        <f ca="1">IFERROR(AA38/AA12,"N/A")</f>
        <v>N/A</v>
      </c>
      <c r="AB159" s="379" t="str">
        <f ca="1">IFERROR(AB38/AB12,"N/A")</f>
        <v>N/A</v>
      </c>
      <c r="AC159" s="379" t="str">
        <f ca="1">IFERROR(AC38/AC12,"N/A")</f>
        <v>N/A</v>
      </c>
      <c r="AD159" s="378" t="str">
        <f ca="1">IFERROR(AD38/AD12,"N/A")</f>
        <v>N/A</v>
      </c>
      <c r="AE159" s="378" t="str">
        <f ca="1">IFERROR(AE38/AE12,"N/A")</f>
        <v>N/A</v>
      </c>
      <c r="AF159" s="378" t="str">
        <f ca="1">IFERROR(AF38/AF12,"N/A")</f>
        <v>N/A</v>
      </c>
      <c r="AG159" s="378" t="str">
        <f ca="1">IFERROR(AG38/AG12,"N/A")</f>
        <v>N/A</v>
      </c>
    </row>
    <row r="160" ht="14.25" customHeight="1" spans="1:33" x14ac:dyDescent="0.25" outlineLevel="1">
      <c r="C160" s="16" t="str">
        <f ca="1">C21</f>
        <v>Segment 6</v>
      </c>
      <c r="D160" s="16"/>
      <c r="E160" s="16"/>
      <c r="F160" s="377" t="str">
        <f t="shared" ref="F160:AG160" si="148" ca="1">IFERROR(F39/F13,"N/A")</f>
        <v>N/A</v>
      </c>
      <c r="G160" s="377" t="str">
        <f ca="1">IFERROR(G39/G13,"N/A")</f>
        <v>N/A</v>
      </c>
      <c r="H160" s="377" t="str">
        <f ca="1">IFERROR(H39/H13,"N/A")</f>
        <v>N/A</v>
      </c>
      <c r="I160" s="377" t="str">
        <f ca="1">IFERROR(I39/I13,"N/A")</f>
        <v>N/A</v>
      </c>
      <c r="J160" s="378" t="str">
        <f ca="1">IFERROR(J39/J13,"N/A")</f>
        <v>N/A</v>
      </c>
      <c r="K160" s="377" t="str">
        <f ca="1">IFERROR(K39/K13,"N/A")</f>
        <v>N/A</v>
      </c>
      <c r="L160" s="377" t="str">
        <f ca="1">IFERROR(L39/L13,"N/A")</f>
        <v>N/A</v>
      </c>
      <c r="M160" s="377" t="str">
        <f ca="1">IFERROR(M39/M13,"N/A")</f>
        <v>N/A</v>
      </c>
      <c r="N160" s="377" t="str">
        <f ca="1">IFERROR(N39/N13,"N/A")</f>
        <v>N/A</v>
      </c>
      <c r="O160" s="378" t="str">
        <f ca="1">IFERROR(O39/O13,"N/A")</f>
        <v>N/A</v>
      </c>
      <c r="P160" s="377" t="str">
        <f ca="1">IFERROR(P39/P13,"N/A")</f>
        <v>N/A</v>
      </c>
      <c r="Q160" s="377" t="str">
        <f ca="1">IFERROR(Q39/Q13,"N/A")</f>
        <v>N/A</v>
      </c>
      <c r="R160" s="377" t="str">
        <f ca="1">IFERROR(R39/R13,"N/A")</f>
        <v>N/A</v>
      </c>
      <c r="S160" s="377" t="str">
        <f ca="1">IFERROR(S39/S13,"N/A")</f>
        <v>N/A</v>
      </c>
      <c r="T160" s="378" t="str">
        <f ca="1">IFERROR(T39/T13,"N/A")</f>
        <v>N/A</v>
      </c>
      <c r="U160" s="377" t="str">
        <f ca="1">IFERROR(U39/U13,"N/A")</f>
        <v>N/A</v>
      </c>
      <c r="V160" s="377" t="str">
        <f ca="1">IFERROR(V39/V13,"N/A")</f>
        <v>N/A</v>
      </c>
      <c r="W160" s="377" t="str">
        <f ca="1">IFERROR(W39/W13,"N/A")</f>
        <v>N/A</v>
      </c>
      <c r="X160" s="379" t="str">
        <f ca="1">IFERROR(X39/X13,"N/A")</f>
        <v>N/A</v>
      </c>
      <c r="Y160" s="378" t="str">
        <f ca="1">IFERROR(Y39/Y13,"N/A")</f>
        <v>N/A</v>
      </c>
      <c r="Z160" s="379" t="str">
        <f ca="1">IFERROR(Z39/Z13,"N/A")</f>
        <v>N/A</v>
      </c>
      <c r="AA160" s="379" t="str">
        <f ca="1">IFERROR(AA39/AA13,"N/A")</f>
        <v>N/A</v>
      </c>
      <c r="AB160" s="379" t="str">
        <f ca="1">IFERROR(AB39/AB13,"N/A")</f>
        <v>N/A</v>
      </c>
      <c r="AC160" s="379" t="str">
        <f ca="1">IFERROR(AC39/AC13,"N/A")</f>
        <v>N/A</v>
      </c>
      <c r="AD160" s="378" t="str">
        <f ca="1">IFERROR(AD39/AD13,"N/A")</f>
        <v>N/A</v>
      </c>
      <c r="AE160" s="378" t="str">
        <f ca="1">IFERROR(AE39/AE13,"N/A")</f>
        <v>N/A</v>
      </c>
      <c r="AF160" s="378" t="str">
        <f ca="1">IFERROR(AF39/AF13,"N/A")</f>
        <v>N/A</v>
      </c>
      <c r="AG160" s="378" t="str">
        <f ca="1">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474</v>
      </c>
      <c r="D162" s="16"/>
      <c r="E162" s="16"/>
      <c r="F162" s="319"/>
      <c r="G162" s="377">
        <f ca="1">IFERROR((Model!G36-Model!F36)/('Segment Analysis'!G7-'Segment Analysis'!F7),"N/A")</f>
        <v>0.19784580498866214</v>
      </c>
      <c r="H162" s="377">
        <f ca="1">IFERROR((Model!H36-Model!G36)/('Segment Analysis'!H7-'Segment Analysis'!G7),"N/A")</f>
        <v>0.34725021595162686</v>
      </c>
      <c r="I162" s="377">
        <f ca="1">IFERROR((Model!I36-Model!H36)/('Segment Analysis'!I7-'Segment Analysis'!H7),"N/A")</f>
        <v>0.861503674392312</v>
      </c>
      <c r="J162" s="378"/>
      <c r="K162" s="377">
        <f ca="1">IFERROR((Model!K36-Model!I36)/('Segment Analysis'!K7-'Segment Analysis'!I7),"N/A")</f>
        <v>0.9470167064439141</v>
      </c>
      <c r="L162" s="377">
        <f ca="1">IFERROR((Model!L36-Model!K36)/('Segment Analysis'!L7-'Segment Analysis'!K7),"N/A")</f>
        <v>0.2965241464164872</v>
      </c>
      <c r="M162" s="377">
        <f ca="1">IFERROR((Model!M36-Model!L36)/('Segment Analysis'!M7-'Segment Analysis'!L7),"N/A")</f>
        <v>0.2283573806881243</v>
      </c>
      <c r="N162" s="377">
        <f ca="1">IFERROR((Model!N36-Model!M36)/('Segment Analysis'!N7-'Segment Analysis'!M7),"N/A")</f>
        <v>0.440852314474651</v>
      </c>
      <c r="O162" s="378"/>
      <c r="P162" s="377">
        <f ca="1">IFERROR((Model!P36-Model!N36)/('Segment Analysis'!P7-'Segment Analysis'!N7),"N/A")</f>
        <v>0.2831688596491228</v>
      </c>
      <c r="Q162" s="377">
        <f ca="1">IFERROR((Model!Q36-Model!P36)/('Segment Analysis'!Q7-'Segment Analysis'!P7),"N/A")</f>
        <v>0.25776845417595384</v>
      </c>
      <c r="R162" s="377">
        <f ca="1">IFERROR((Model!R36-Model!Q36)/('Segment Analysis'!R7-'Segment Analysis'!Q7),"N/A")</f>
        <v>0.3568996595233327</v>
      </c>
      <c r="S162" s="377">
        <f ca="1">IFERROR((Model!S36-Model!R36)/('Segment Analysis'!S7-'Segment Analysis'!R7),"N/A")</f>
        <v>-0.2972972972972973</v>
      </c>
      <c r="T162" s="378"/>
      <c r="U162" s="377">
        <f ca="1">IFERROR((Model!U36-Model!S36)/('Segment Analysis'!U7-'Segment Analysis'!S7),"N/A")</f>
        <v>0.11578691315981512</v>
      </c>
      <c r="V162" s="377">
        <f ca="1">IFERROR((Model!V36-Model!U36)/('Segment Analysis'!V7-'Segment Analysis'!U7),"N/A")</f>
        <v>0.3065438373570521</v>
      </c>
      <c r="W162" s="377">
        <f ca="1">IFERROR((Model!W36-Model!V36)/('Segment Analysis'!W7-'Segment Analysis'!V7),"N/A")</f>
        <v>0.3054600171969046</v>
      </c>
      <c r="X162" s="379">
        <f ca="1">IFERROR((Model!X36-Model!W36)/('Segment Analysis'!X7-'Segment Analysis'!W7),"N/A")</f>
        <v>4.43291430316781</v>
      </c>
      <c r="Y162" s="378"/>
      <c r="Z162" s="379">
        <f ca="1">IFERROR((Model!Z36-Model!X36)/('Segment Analysis'!Z7-'Segment Analysis'!X7),"N/A")</f>
        <v>-0.057396098804331434</v>
      </c>
      <c r="AA162" s="379">
        <f ca="1">IFERROR((Model!AA36-Model!Z36)/('Segment Analysis'!AA7-'Segment Analysis'!Z7),"N/A")</f>
        <v>-0.04567100528780799</v>
      </c>
      <c r="AB162" s="379">
        <f ca="1">IFERROR((Model!AB36-Model!AA36)/('Segment Analysis'!AB7-'Segment Analysis'!AA7),"N/A")</f>
        <v>0.06819771036065847</v>
      </c>
      <c r="AC162" s="379">
        <f ca="1">IFERROR((Model!AC36-Model!AB36)/('Segment Analysis'!AC7-'Segment Analysis'!AB7),"N/A")</f>
        <v>-0.3836974988290526</v>
      </c>
      <c r="AD162" s="378"/>
      <c r="AE162" s="378">
        <f ca="1">IFERROR((Model!AE36-Model!AD36)/('Segment Analysis'!AE7-'Segment Analysis'!AD7),"N/A")</f>
        <v>0.4570834030821003</v>
      </c>
      <c r="AF162" s="378">
        <f ca="1">IFERROR((Model!AF36-Model!AE36)/('Segment Analysis'!AF7-'Segment Analysis'!AE7),"N/A")</f>
        <v>0.154628883750884</v>
      </c>
      <c r="AG162" s="378">
        <f ca="1">IFERROR((Model!AG36-Model!AF36)/('Segment Analysis'!AG7-'Segment Analysis'!AF7),"N/A")</f>
        <v>0.26241529815767434</v>
      </c>
    </row>
    <row r="163" ht="14.25" customHeight="1" hidden="1" spans="1:33" x14ac:dyDescent="0.25" outlineLevel="1">
      <c r="C163" s="16" t="str">
        <f t="shared" ref="C163:C168" si="149" ca="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 ca="1">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 ca="1">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 ca="1">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 ca="1">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 ca="1">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475</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476</v>
      </c>
      <c r="D172" s="16"/>
      <c r="E172" s="16"/>
      <c r="F172" s="474"/>
      <c r="G172" s="377"/>
      <c r="H172" s="377"/>
      <c r="I172" s="377"/>
      <c r="J172" s="378"/>
      <c r="K172" s="377">
        <f ca="1">IFERROR('Segment Analysis'!K7/'Segment Analysis'!F7-1,"N/A")</f>
        <v>0.021947004608295018</v>
      </c>
      <c r="L172" s="377">
        <f ca="1">IFERROR('Segment Analysis'!L7/'Segment Analysis'!G7-1,"N/A")</f>
        <v>0.004978935273841412</v>
      </c>
      <c r="M172" s="377">
        <f ca="1">IFERROR('Segment Analysis'!M7/'Segment Analysis'!H7-1,"N/A")</f>
        <v>-0.0015503875968991832</v>
      </c>
      <c r="N172" s="377">
        <f ca="1">IFERROR('Segment Analysis'!N7/'Segment Analysis'!I7-1,"N/A")</f>
        <v>0.02435127189057895</v>
      </c>
      <c r="O172" s="378">
        <f ca="1">IFERROR('Segment Analysis'!O7/'Segment Analysis'!J7-1,"N/A")</f>
        <v>0.01176569577472697</v>
      </c>
      <c r="P172" s="377">
        <f ca="1">IFERROR('Segment Analysis'!P7/'Segment Analysis'!K7-1,"N/A")</f>
        <v>0.10901302068654539</v>
      </c>
      <c r="Q172" s="377">
        <f ca="1">IFERROR('Segment Analysis'!Q7/'Segment Analysis'!L7-1,"N/A")</f>
        <v>0.30059070121951215</v>
      </c>
      <c r="R172" s="377">
        <f ca="1">IFERROR('Segment Analysis'!R7/'Segment Analysis'!M7-1,"N/A")</f>
        <v>0.28301127214170685</v>
      </c>
      <c r="S172" s="377">
        <f ca="1">IFERROR('Segment Analysis'!S7/'Segment Analysis'!N7-1,"N/A")</f>
        <v>0.26729893305047736</v>
      </c>
      <c r="T172" s="378">
        <f ca="1">IFERROR('Segment Analysis'!T7/'Segment Analysis'!O7-1,"N/A")</f>
        <v>0.2418500859344681</v>
      </c>
      <c r="U172" s="377">
        <f ca="1">IFERROR('Segment Analysis'!U7/'Segment Analysis'!P7-1,"N/A")</f>
        <v>0.24127064803049558</v>
      </c>
      <c r="V172" s="377">
        <f ca="1">IFERROR('Segment Analysis'!V7/'Segment Analysis'!Q7-1,"N/A")</f>
        <v>0.00981613068639664</v>
      </c>
      <c r="W172" s="377">
        <f ca="1">IFERROR('Segment Analysis'!W7/'Segment Analysis'!R7-1,"N/A")</f>
        <v>0.027298399748980184</v>
      </c>
      <c r="X172" s="379">
        <f ca="1">IFERROR('Segment Analysis'!X7/'Segment Analysis'!S7-1,"N/A")</f>
        <v>0.07193638914873701</v>
      </c>
      <c r="Y172" s="378">
        <f ca="1">IFERROR('Segment Analysis'!Y7/'Segment Analysis'!T7-1,"N/A")</f>
        <v>0.07907742446733712</v>
      </c>
      <c r="Z172" s="379">
        <f ca="1">IFERROR('Segment Analysis'!Z7/'Segment Analysis'!U7-1,"N/A")</f>
        <v>0.051964540168700335</v>
      </c>
      <c r="AA172" s="379">
        <f ca="1">IFERROR('Segment Analysis'!AA7/'Segment Analysis'!V7-1,"N/A")</f>
        <v>0.062307904243743106</v>
      </c>
      <c r="AB172" s="379">
        <f ca="1">IFERROR('Segment Analysis'!AB7/'Segment Analysis'!W7-1,"N/A")</f>
        <v>0.12458720000000012</v>
      </c>
      <c r="AC172" s="379">
        <f ca="1">IFERROR('Segment Analysis'!AC7/'Segment Analysis'!X7-1,"N/A")</f>
        <v>0.1245871999999999</v>
      </c>
      <c r="AD172" s="378">
        <f ca="1">IFERROR('Segment Analysis'!AD7/'Segment Analysis'!Y7-1,"N/A")</f>
        <v>0.08848299061273979</v>
      </c>
      <c r="AE172" s="378">
        <f ca="1">IFERROR('Segment Analysis'!AE7/'Segment Analysis'!Z7-1,"N/A")</f>
        <v>3.1781647999999993</v>
      </c>
      <c r="AF172" s="378">
        <f ca="1">IFERROR('Segment Analysis'!AF7/'Segment Analysis'!AA7-1,"N/A")</f>
        <v>2.7383579789473678</v>
      </c>
      <c r="AG172" s="378">
        <f ca="1">IFERROR('Segment Analysis'!AG7/'Segment Analysis'!AB7-1,"N/A")</f>
        <v>3.3330967483253584</v>
      </c>
    </row>
    <row r="173" ht="14.25" customHeight="1" spans="1:33" x14ac:dyDescent="0.25">
      <c r="C173" s="139" t="str">
        <f ca="1">'Segment Analysis'!C16</f>
        <v>Home Improvement Retail</v>
      </c>
      <c r="D173" s="16"/>
      <c r="E173" s="16"/>
      <c r="F173" s="474"/>
      <c r="G173" s="377"/>
      <c r="H173" s="377"/>
      <c r="I173" s="377"/>
      <c r="J173" s="378"/>
      <c r="K173" s="377">
        <f ca="1">IFERROR('Segment Analysis'!K8/'Segment Analysis'!F8-1,"N/A")</f>
        <v>0.021947004608295018</v>
      </c>
      <c r="L173" s="377">
        <f ca="1">IFERROR('Segment Analysis'!L8/'Segment Analysis'!G8-1,"N/A")</f>
        <v>0.004978935273841412</v>
      </c>
      <c r="M173" s="377">
        <f ca="1">IFERROR('Segment Analysis'!M8/'Segment Analysis'!H8-1,"N/A")</f>
        <v>-0.0015503875968991832</v>
      </c>
      <c r="N173" s="377">
        <f ca="1">IFERROR('Segment Analysis'!N8/'Segment Analysis'!I8-1,"N/A")</f>
        <v>0.02435127189057895</v>
      </c>
      <c r="O173" s="378">
        <f ca="1">IFERROR('Segment Analysis'!O8/'Segment Analysis'!J8-1,"N/A")</f>
        <v>0.01176569577472697</v>
      </c>
      <c r="P173" s="377">
        <f ca="1">IFERROR('Segment Analysis'!P8/'Segment Analysis'!K8-1,"N/A")</f>
        <v>0.10901302068654539</v>
      </c>
      <c r="Q173" s="377">
        <f ca="1">IFERROR('Segment Analysis'!Q8/'Segment Analysis'!L8-1,"N/A")</f>
        <v>0.30059070121951215</v>
      </c>
      <c r="R173" s="377">
        <f ca="1">IFERROR('Segment Analysis'!R8/'Segment Analysis'!M8-1,"N/A")</f>
        <v>0.28301127214170685</v>
      </c>
      <c r="S173" s="377">
        <f ca="1">IFERROR('Segment Analysis'!S8/'Segment Analysis'!N8-1,"N/A")</f>
        <v>0.26729893305047736</v>
      </c>
      <c r="T173" s="378">
        <f ca="1">IFERROR('Segment Analysis'!T8/'Segment Analysis'!O8-1,"N/A")</f>
        <v>0.2418500859344681</v>
      </c>
      <c r="U173" s="377">
        <f ca="1">IFERROR('Segment Analysis'!U8/'Segment Analysis'!P8-1,"N/A")</f>
        <v>0.24127064803049558</v>
      </c>
      <c r="V173" s="377">
        <f ca="1">IFERROR('Segment Analysis'!V8/'Segment Analysis'!Q8-1,"N/A")</f>
        <v>0.00981613068639664</v>
      </c>
      <c r="W173" s="377">
        <f ca="1">IFERROR('Segment Analysis'!W8/'Segment Analysis'!R8-1,"N/A")</f>
        <v>0.027298399748980184</v>
      </c>
      <c r="X173" s="379">
        <f ca="1">IFERROR('Segment Analysis'!X8/'Segment Analysis'!S8-1,"N/A")</f>
        <v>0.07193638914873701</v>
      </c>
      <c r="Y173" s="378">
        <f ca="1">IFERROR('Segment Analysis'!Y8/'Segment Analysis'!T8-1,"N/A")</f>
        <v>0.07907742446733712</v>
      </c>
      <c r="Z173" s="379">
        <f ca="1">IFERROR('Segment Analysis'!Z8/'Segment Analysis'!U8-1,"N/A")</f>
        <v>0.051964540168700335</v>
      </c>
      <c r="AA173" s="379">
        <f ca="1">IFERROR('Segment Analysis'!AA8/'Segment Analysis'!V8-1,"N/A")</f>
        <v>0.062307904243743106</v>
      </c>
      <c r="AB173" s="379">
        <f ca="1">IFERROR('Segment Analysis'!AB8/'Segment Analysis'!W8-1,"N/A")</f>
        <v>0.12458720000000012</v>
      </c>
      <c r="AC173" s="379">
        <f ca="1">IFERROR('Segment Analysis'!AC8/'Segment Analysis'!X8-1,"N/A")</f>
        <v>0.1245871999999999</v>
      </c>
      <c r="AD173" s="378">
        <f ca="1">IFERROR('Segment Analysis'!AD8/'Segment Analysis'!Y8-1,"N/A")</f>
        <v>0.08848299061273979</v>
      </c>
      <c r="AE173" s="378">
        <f ca="1">IFERROR('Segment Analysis'!AE8/'Segment Analysis'!Z8-1,"N/A")</f>
        <v>3.1781647999999993</v>
      </c>
      <c r="AF173" s="378">
        <f ca="1">IFERROR('Segment Analysis'!AF8/'Segment Analysis'!AA8-1,"N/A")</f>
        <v>2.7383579789473678</v>
      </c>
      <c r="AG173" s="378">
        <f ca="1">IFERROR('Segment Analysis'!AG8/'Segment Analysis'!AB8-1,"N/A")</f>
        <v>3.3330967483253584</v>
      </c>
    </row>
    <row r="174" ht="14.25" customHeight="1" spans="1:33" x14ac:dyDescent="0.25">
      <c r="C174" s="139" t="str">
        <f ca="1">'Segment Analysis'!C17</f>
        <v>Segment 2</v>
      </c>
      <c r="D174" s="16"/>
      <c r="E174" s="16"/>
      <c r="F174" s="474"/>
      <c r="G174" s="377"/>
      <c r="H174" s="377"/>
      <c r="I174" s="377"/>
      <c r="J174" s="378"/>
      <c r="K174" s="377" t="str">
        <f ca="1">IFERROR('Segment Analysis'!K9/'Segment Analysis'!F9-1,"N/A")</f>
        <v>N/A</v>
      </c>
      <c r="L174" s="377" t="str">
        <f ca="1">IFERROR('Segment Analysis'!L9/'Segment Analysis'!G9-1,"N/A")</f>
        <v>N/A</v>
      </c>
      <c r="M174" s="377" t="str">
        <f ca="1">IFERROR('Segment Analysis'!M9/'Segment Analysis'!H9-1,"N/A")</f>
        <v>N/A</v>
      </c>
      <c r="N174" s="377" t="str">
        <f ca="1">IFERROR('Segment Analysis'!N9/'Segment Analysis'!I9-1,"N/A")</f>
        <v>N/A</v>
      </c>
      <c r="O174" s="378" t="str">
        <f ca="1">IFERROR('Segment Analysis'!O9/'Segment Analysis'!J9-1,"N/A")</f>
        <v>N/A</v>
      </c>
      <c r="P174" s="377" t="str">
        <f ca="1">IFERROR('Segment Analysis'!P9/'Segment Analysis'!K9-1,"N/A")</f>
        <v>N/A</v>
      </c>
      <c r="Q174" s="377" t="str">
        <f ca="1">IFERROR('Segment Analysis'!Q9/'Segment Analysis'!L9-1,"N/A")</f>
        <v>N/A</v>
      </c>
      <c r="R174" s="377" t="str">
        <f ca="1">IFERROR('Segment Analysis'!R9/'Segment Analysis'!M9-1,"N/A")</f>
        <v>N/A</v>
      </c>
      <c r="S174" s="377" t="str">
        <f ca="1">IFERROR('Segment Analysis'!S9/'Segment Analysis'!N9-1,"N/A")</f>
        <v>N/A</v>
      </c>
      <c r="T174" s="378" t="str">
        <f ca="1">IFERROR('Segment Analysis'!T9/'Segment Analysis'!O9-1,"N/A")</f>
        <v>N/A</v>
      </c>
      <c r="U174" s="377" t="str">
        <f ca="1">IFERROR('Segment Analysis'!U9/'Segment Analysis'!P9-1,"N/A")</f>
        <v>N/A</v>
      </c>
      <c r="V174" s="377" t="str">
        <f ca="1">IFERROR('Segment Analysis'!V9/'Segment Analysis'!Q9-1,"N/A")</f>
        <v>N/A</v>
      </c>
      <c r="W174" s="377" t="str">
        <f ca="1">IFERROR('Segment Analysis'!W9/'Segment Analysis'!R9-1,"N/A")</f>
        <v>N/A</v>
      </c>
      <c r="X174" s="379" t="str">
        <f ca="1">IFERROR('Segment Analysis'!X9/'Segment Analysis'!S9-1,"N/A")</f>
        <v>N/A</v>
      </c>
      <c r="Y174" s="378" t="str">
        <f ca="1">IFERROR('Segment Analysis'!Y9/'Segment Analysis'!T9-1,"N/A")</f>
        <v>N/A</v>
      </c>
      <c r="Z174" s="379" t="str">
        <f ca="1">IFERROR('Segment Analysis'!Z9/'Segment Analysis'!U9-1,"N/A")</f>
        <v>N/A</v>
      </c>
      <c r="AA174" s="379" t="str">
        <f ca="1">IFERROR('Segment Analysis'!AA9/'Segment Analysis'!V9-1,"N/A")</f>
        <v>N/A</v>
      </c>
      <c r="AB174" s="379" t="str">
        <f ca="1">IFERROR('Segment Analysis'!AB9/'Segment Analysis'!W9-1,"N/A")</f>
        <v>N/A</v>
      </c>
      <c r="AC174" s="379" t="str">
        <f ca="1">IFERROR('Segment Analysis'!AC9/'Segment Analysis'!X9-1,"N/A")</f>
        <v>N/A</v>
      </c>
      <c r="AD174" s="378" t="str">
        <f ca="1">IFERROR('Segment Analysis'!AD9/'Segment Analysis'!Y9-1,"N/A")</f>
        <v>N/A</v>
      </c>
      <c r="AE174" s="378" t="str">
        <f ca="1">IFERROR('Segment Analysis'!AE9/'Segment Analysis'!Z9-1,"N/A")</f>
        <v>N/A</v>
      </c>
      <c r="AF174" s="378" t="str">
        <f ca="1">IFERROR('Segment Analysis'!AF9/'Segment Analysis'!AA9-1,"N/A")</f>
        <v>N/A</v>
      </c>
      <c r="AG174" s="378" t="str">
        <f ca="1">IFERROR('Segment Analysis'!AG9/'Segment Analysis'!AB9-1,"N/A")</f>
        <v>N/A</v>
      </c>
    </row>
    <row r="175" ht="14.25" customHeight="1" spans="1:33" x14ac:dyDescent="0.25">
      <c r="C175" s="139" t="str">
        <f ca="1">'Segment Analysis'!C18</f>
        <v>Segment 3</v>
      </c>
      <c r="D175" s="16"/>
      <c r="E175" s="16"/>
      <c r="F175" s="474"/>
      <c r="G175" s="377"/>
      <c r="H175" s="377"/>
      <c r="I175" s="377"/>
      <c r="J175" s="378"/>
      <c r="K175" s="377" t="str">
        <f ca="1">IFERROR('Segment Analysis'!K10/'Segment Analysis'!F10-1,"N/A")</f>
        <v>N/A</v>
      </c>
      <c r="L175" s="377" t="str">
        <f ca="1">IFERROR('Segment Analysis'!L10/'Segment Analysis'!G10-1,"N/A")</f>
        <v>N/A</v>
      </c>
      <c r="M175" s="377" t="str">
        <f ca="1">IFERROR('Segment Analysis'!M10/'Segment Analysis'!H10-1,"N/A")</f>
        <v>N/A</v>
      </c>
      <c r="N175" s="377" t="str">
        <f ca="1">IFERROR('Segment Analysis'!N10/'Segment Analysis'!I10-1,"N/A")</f>
        <v>N/A</v>
      </c>
      <c r="O175" s="378" t="str">
        <f ca="1">IFERROR('Segment Analysis'!O10/'Segment Analysis'!J10-1,"N/A")</f>
        <v>N/A</v>
      </c>
      <c r="P175" s="377" t="str">
        <f ca="1">IFERROR('Segment Analysis'!P10/'Segment Analysis'!K10-1,"N/A")</f>
        <v>N/A</v>
      </c>
      <c r="Q175" s="377" t="str">
        <f ca="1">IFERROR('Segment Analysis'!Q10/'Segment Analysis'!L10-1,"N/A")</f>
        <v>N/A</v>
      </c>
      <c r="R175" s="377" t="str">
        <f ca="1">IFERROR('Segment Analysis'!R10/'Segment Analysis'!M10-1,"N/A")</f>
        <v>N/A</v>
      </c>
      <c r="S175" s="377" t="str">
        <f ca="1">IFERROR('Segment Analysis'!S10/'Segment Analysis'!N10-1,"N/A")</f>
        <v>N/A</v>
      </c>
      <c r="T175" s="378" t="str">
        <f ca="1">IFERROR('Segment Analysis'!T10/'Segment Analysis'!O10-1,"N/A")</f>
        <v>N/A</v>
      </c>
      <c r="U175" s="377" t="str">
        <f ca="1">IFERROR('Segment Analysis'!U10/'Segment Analysis'!P10-1,"N/A")</f>
        <v>N/A</v>
      </c>
      <c r="V175" s="377" t="str">
        <f ca="1">IFERROR('Segment Analysis'!V10/'Segment Analysis'!Q10-1,"N/A")</f>
        <v>N/A</v>
      </c>
      <c r="W175" s="377" t="str">
        <f ca="1">IFERROR('Segment Analysis'!W10/'Segment Analysis'!R10-1,"N/A")</f>
        <v>N/A</v>
      </c>
      <c r="X175" s="379" t="str">
        <f ca="1">IFERROR('Segment Analysis'!X10/'Segment Analysis'!S10-1,"N/A")</f>
        <v>N/A</v>
      </c>
      <c r="Y175" s="378" t="str">
        <f ca="1">IFERROR('Segment Analysis'!Y10/'Segment Analysis'!T10-1,"N/A")</f>
        <v>N/A</v>
      </c>
      <c r="Z175" s="379" t="str">
        <f ca="1">IFERROR('Segment Analysis'!Z10/'Segment Analysis'!U10-1,"N/A")</f>
        <v>N/A</v>
      </c>
      <c r="AA175" s="379" t="str">
        <f ca="1">IFERROR('Segment Analysis'!AA10/'Segment Analysis'!V10-1,"N/A")</f>
        <v>N/A</v>
      </c>
      <c r="AB175" s="379" t="str">
        <f ca="1">IFERROR('Segment Analysis'!AB10/'Segment Analysis'!W10-1,"N/A")</f>
        <v>N/A</v>
      </c>
      <c r="AC175" s="379" t="str">
        <f ca="1">IFERROR('Segment Analysis'!AC10/'Segment Analysis'!X10-1,"N/A")</f>
        <v>N/A</v>
      </c>
      <c r="AD175" s="378" t="str">
        <f ca="1">IFERROR('Segment Analysis'!AD10/'Segment Analysis'!Y10-1,"N/A")</f>
        <v>N/A</v>
      </c>
      <c r="AE175" s="378" t="str">
        <f ca="1">IFERROR('Segment Analysis'!AE10/'Segment Analysis'!Z10-1,"N/A")</f>
        <v>N/A</v>
      </c>
      <c r="AF175" s="378" t="str">
        <f ca="1">IFERROR('Segment Analysis'!AF10/'Segment Analysis'!AA10-1,"N/A")</f>
        <v>N/A</v>
      </c>
      <c r="AG175" s="378" t="str">
        <f ca="1">IFERROR('Segment Analysis'!AG10/'Segment Analysis'!AB10-1,"N/A")</f>
        <v>N/A</v>
      </c>
    </row>
    <row r="176" ht="14.25" customHeight="1" spans="1:33" x14ac:dyDescent="0.25">
      <c r="C176" s="139" t="str">
        <f ca="1">'Segment Analysis'!C19</f>
        <v>Segment 4</v>
      </c>
      <c r="D176" s="16"/>
      <c r="E176" s="16"/>
      <c r="F176" s="474"/>
      <c r="G176" s="377"/>
      <c r="H176" s="377"/>
      <c r="I176" s="377"/>
      <c r="J176" s="378"/>
      <c r="K176" s="377" t="str">
        <f ca="1">IFERROR('Segment Analysis'!K11/'Segment Analysis'!F11-1,"N/A")</f>
        <v>N/A</v>
      </c>
      <c r="L176" s="377" t="str">
        <f ca="1">IFERROR('Segment Analysis'!L11/'Segment Analysis'!G11-1,"N/A")</f>
        <v>N/A</v>
      </c>
      <c r="M176" s="377" t="str">
        <f ca="1">IFERROR('Segment Analysis'!M11/'Segment Analysis'!H11-1,"N/A")</f>
        <v>N/A</v>
      </c>
      <c r="N176" s="377" t="str">
        <f ca="1">IFERROR('Segment Analysis'!N11/'Segment Analysis'!I11-1,"N/A")</f>
        <v>N/A</v>
      </c>
      <c r="O176" s="378" t="str">
        <f ca="1">IFERROR('Segment Analysis'!O11/'Segment Analysis'!J11-1,"N/A")</f>
        <v>N/A</v>
      </c>
      <c r="P176" s="377" t="str">
        <f ca="1">IFERROR('Segment Analysis'!P11/'Segment Analysis'!K11-1,"N/A")</f>
        <v>N/A</v>
      </c>
      <c r="Q176" s="377" t="str">
        <f ca="1">IFERROR('Segment Analysis'!Q11/'Segment Analysis'!L11-1,"N/A")</f>
        <v>N/A</v>
      </c>
      <c r="R176" s="377" t="str">
        <f ca="1">IFERROR('Segment Analysis'!R11/'Segment Analysis'!M11-1,"N/A")</f>
        <v>N/A</v>
      </c>
      <c r="S176" s="377" t="str">
        <f ca="1">IFERROR('Segment Analysis'!S11/'Segment Analysis'!N11-1,"N/A")</f>
        <v>N/A</v>
      </c>
      <c r="T176" s="378" t="str">
        <f ca="1">IFERROR('Segment Analysis'!T11/'Segment Analysis'!O11-1,"N/A")</f>
        <v>N/A</v>
      </c>
      <c r="U176" s="377" t="str">
        <f ca="1">IFERROR('Segment Analysis'!U11/'Segment Analysis'!P11-1,"N/A")</f>
        <v>N/A</v>
      </c>
      <c r="V176" s="377" t="str">
        <f ca="1">IFERROR('Segment Analysis'!V11/'Segment Analysis'!Q11-1,"N/A")</f>
        <v>N/A</v>
      </c>
      <c r="W176" s="377" t="str">
        <f ca="1">IFERROR('Segment Analysis'!W11/'Segment Analysis'!R11-1,"N/A")</f>
        <v>N/A</v>
      </c>
      <c r="X176" s="379" t="str">
        <f ca="1">IFERROR('Segment Analysis'!X11/'Segment Analysis'!S11-1,"N/A")</f>
        <v>N/A</v>
      </c>
      <c r="Y176" s="378" t="str">
        <f ca="1">IFERROR('Segment Analysis'!Y11/'Segment Analysis'!T11-1,"N/A")</f>
        <v>N/A</v>
      </c>
      <c r="Z176" s="379" t="str">
        <f ca="1">IFERROR('Segment Analysis'!Z11/'Segment Analysis'!U11-1,"N/A")</f>
        <v>N/A</v>
      </c>
      <c r="AA176" s="379" t="str">
        <f ca="1">IFERROR('Segment Analysis'!AA11/'Segment Analysis'!V11-1,"N/A")</f>
        <v>N/A</v>
      </c>
      <c r="AB176" s="379" t="str">
        <f ca="1">IFERROR('Segment Analysis'!AB11/'Segment Analysis'!W11-1,"N/A")</f>
        <v>N/A</v>
      </c>
      <c r="AC176" s="379" t="str">
        <f ca="1">IFERROR('Segment Analysis'!AC11/'Segment Analysis'!X11-1,"N/A")</f>
        <v>N/A</v>
      </c>
      <c r="AD176" s="378" t="str">
        <f ca="1">IFERROR('Segment Analysis'!AD11/'Segment Analysis'!Y11-1,"N/A")</f>
        <v>N/A</v>
      </c>
      <c r="AE176" s="378" t="str">
        <f ca="1">IFERROR('Segment Analysis'!AE11/'Segment Analysis'!Z11-1,"N/A")</f>
        <v>N/A</v>
      </c>
      <c r="AF176" s="378" t="str">
        <f ca="1">IFERROR('Segment Analysis'!AF11/'Segment Analysis'!AA11-1,"N/A")</f>
        <v>N/A</v>
      </c>
      <c r="AG176" s="378" t="str">
        <f ca="1">IFERROR('Segment Analysis'!AG11/'Segment Analysis'!AB11-1,"N/A")</f>
        <v>N/A</v>
      </c>
    </row>
    <row r="177" ht="14.25" customHeight="1" spans="1:33" x14ac:dyDescent="0.25">
      <c r="C177" s="139" t="str">
        <f ca="1">'Segment Analysis'!C20</f>
        <v>Segment 5</v>
      </c>
      <c r="D177" s="16"/>
      <c r="E177" s="16"/>
      <c r="F177" s="474"/>
      <c r="G177" s="377"/>
      <c r="H177" s="377"/>
      <c r="I177" s="377"/>
      <c r="J177" s="378"/>
      <c r="K177" s="377" t="str">
        <f ca="1">IFERROR('Segment Analysis'!K12/'Segment Analysis'!F12-1,"N/A")</f>
        <v>N/A</v>
      </c>
      <c r="L177" s="377" t="str">
        <f ca="1">IFERROR('Segment Analysis'!L12/'Segment Analysis'!G12-1,"N/A")</f>
        <v>N/A</v>
      </c>
      <c r="M177" s="377" t="str">
        <f ca="1">IFERROR('Segment Analysis'!M12/'Segment Analysis'!H12-1,"N/A")</f>
        <v>N/A</v>
      </c>
      <c r="N177" s="377" t="str">
        <f ca="1">IFERROR('Segment Analysis'!N12/'Segment Analysis'!I12-1,"N/A")</f>
        <v>N/A</v>
      </c>
      <c r="O177" s="378" t="str">
        <f ca="1">IFERROR('Segment Analysis'!O12/'Segment Analysis'!J12-1,"N/A")</f>
        <v>N/A</v>
      </c>
      <c r="P177" s="377" t="str">
        <f ca="1">IFERROR('Segment Analysis'!P12/'Segment Analysis'!K12-1,"N/A")</f>
        <v>N/A</v>
      </c>
      <c r="Q177" s="377" t="str">
        <f ca="1">IFERROR('Segment Analysis'!Q12/'Segment Analysis'!L12-1,"N/A")</f>
        <v>N/A</v>
      </c>
      <c r="R177" s="377" t="str">
        <f ca="1">IFERROR('Segment Analysis'!R12/'Segment Analysis'!M12-1,"N/A")</f>
        <v>N/A</v>
      </c>
      <c r="S177" s="377" t="str">
        <f ca="1">IFERROR('Segment Analysis'!S12/'Segment Analysis'!N12-1,"N/A")</f>
        <v>N/A</v>
      </c>
      <c r="T177" s="378" t="str">
        <f ca="1">IFERROR('Segment Analysis'!T12/'Segment Analysis'!O12-1,"N/A")</f>
        <v>N/A</v>
      </c>
      <c r="U177" s="377" t="str">
        <f ca="1">IFERROR('Segment Analysis'!U12/'Segment Analysis'!P12-1,"N/A")</f>
        <v>N/A</v>
      </c>
      <c r="V177" s="377" t="str">
        <f ca="1">IFERROR('Segment Analysis'!V12/'Segment Analysis'!Q12-1,"N/A")</f>
        <v>N/A</v>
      </c>
      <c r="W177" s="377" t="str">
        <f ca="1">IFERROR('Segment Analysis'!W12/'Segment Analysis'!R12-1,"N/A")</f>
        <v>N/A</v>
      </c>
      <c r="X177" s="379" t="str">
        <f ca="1">IFERROR('Segment Analysis'!X12/'Segment Analysis'!S12-1,"N/A")</f>
        <v>N/A</v>
      </c>
      <c r="Y177" s="378" t="str">
        <f ca="1">IFERROR('Segment Analysis'!Y12/'Segment Analysis'!T12-1,"N/A")</f>
        <v>N/A</v>
      </c>
      <c r="Z177" s="379" t="str">
        <f ca="1">IFERROR('Segment Analysis'!Z12/'Segment Analysis'!U12-1,"N/A")</f>
        <v>N/A</v>
      </c>
      <c r="AA177" s="379" t="str">
        <f ca="1">IFERROR('Segment Analysis'!AA12/'Segment Analysis'!V12-1,"N/A")</f>
        <v>N/A</v>
      </c>
      <c r="AB177" s="379" t="str">
        <f ca="1">IFERROR('Segment Analysis'!AB12/'Segment Analysis'!W12-1,"N/A")</f>
        <v>N/A</v>
      </c>
      <c r="AC177" s="379" t="str">
        <f ca="1">IFERROR('Segment Analysis'!AC12/'Segment Analysis'!X12-1,"N/A")</f>
        <v>N/A</v>
      </c>
      <c r="AD177" s="378" t="str">
        <f ca="1">IFERROR('Segment Analysis'!AD12/'Segment Analysis'!Y12-1,"N/A")</f>
        <v>N/A</v>
      </c>
      <c r="AE177" s="378" t="str">
        <f ca="1">IFERROR('Segment Analysis'!AE12/'Segment Analysis'!Z12-1,"N/A")</f>
        <v>N/A</v>
      </c>
      <c r="AF177" s="378" t="str">
        <f ca="1">IFERROR('Segment Analysis'!AF12/'Segment Analysis'!AA12-1,"N/A")</f>
        <v>N/A</v>
      </c>
      <c r="AG177" s="378" t="str">
        <f ca="1">IFERROR('Segment Analysis'!AG12/'Segment Analysis'!AB12-1,"N/A")</f>
        <v>N/A</v>
      </c>
    </row>
    <row r="178" ht="14.25" customHeight="1" spans="1:33" x14ac:dyDescent="0.25">
      <c r="C178" s="139" t="str">
        <f ca="1">'Segment Analysis'!C21</f>
        <v>Segment 6</v>
      </c>
      <c r="D178" s="16"/>
      <c r="E178" s="16"/>
      <c r="F178" s="474"/>
      <c r="G178" s="377"/>
      <c r="H178" s="377"/>
      <c r="I178" s="377"/>
      <c r="J178" s="378"/>
      <c r="K178" s="377" t="str">
        <f ca="1">IFERROR('Segment Analysis'!K13/'Segment Analysis'!F13-1,"N/A")</f>
        <v>N/A</v>
      </c>
      <c r="L178" s="377" t="str">
        <f ca="1">IFERROR('Segment Analysis'!L13/'Segment Analysis'!G13-1,"N/A")</f>
        <v>N/A</v>
      </c>
      <c r="M178" s="377" t="str">
        <f ca="1">IFERROR('Segment Analysis'!M13/'Segment Analysis'!H13-1,"N/A")</f>
        <v>N/A</v>
      </c>
      <c r="N178" s="377" t="str">
        <f ca="1">IFERROR('Segment Analysis'!N13/'Segment Analysis'!I13-1,"N/A")</f>
        <v>N/A</v>
      </c>
      <c r="O178" s="378" t="str">
        <f ca="1">IFERROR('Segment Analysis'!O13/'Segment Analysis'!J13-1,"N/A")</f>
        <v>N/A</v>
      </c>
      <c r="P178" s="377" t="str">
        <f ca="1">IFERROR('Segment Analysis'!P13/'Segment Analysis'!K13-1,"N/A")</f>
        <v>N/A</v>
      </c>
      <c r="Q178" s="377" t="str">
        <f ca="1">IFERROR('Segment Analysis'!Q13/'Segment Analysis'!L13-1,"N/A")</f>
        <v>N/A</v>
      </c>
      <c r="R178" s="377" t="str">
        <f ca="1">IFERROR('Segment Analysis'!R13/'Segment Analysis'!M13-1,"N/A")</f>
        <v>N/A</v>
      </c>
      <c r="S178" s="377" t="str">
        <f ca="1">IFERROR('Segment Analysis'!S13/'Segment Analysis'!N13-1,"N/A")</f>
        <v>N/A</v>
      </c>
      <c r="T178" s="378" t="str">
        <f ca="1">IFERROR('Segment Analysis'!T13/'Segment Analysis'!O13-1,"N/A")</f>
        <v>N/A</v>
      </c>
      <c r="U178" s="377" t="str">
        <f ca="1">IFERROR('Segment Analysis'!U13/'Segment Analysis'!P13-1,"N/A")</f>
        <v>N/A</v>
      </c>
      <c r="V178" s="377" t="str">
        <f ca="1">IFERROR('Segment Analysis'!V13/'Segment Analysis'!Q13-1,"N/A")</f>
        <v>N/A</v>
      </c>
      <c r="W178" s="377" t="str">
        <f ca="1">IFERROR('Segment Analysis'!W13/'Segment Analysis'!R13-1,"N/A")</f>
        <v>N/A</v>
      </c>
      <c r="X178" s="379" t="str">
        <f ca="1">IFERROR('Segment Analysis'!X13/'Segment Analysis'!S13-1,"N/A")</f>
        <v>N/A</v>
      </c>
      <c r="Y178" s="378" t="str">
        <f ca="1">IFERROR('Segment Analysis'!Y13/'Segment Analysis'!T13-1,"N/A")</f>
        <v>N/A</v>
      </c>
      <c r="Z178" s="379" t="str">
        <f ca="1">IFERROR('Segment Analysis'!Z13/'Segment Analysis'!U13-1,"N/A")</f>
        <v>N/A</v>
      </c>
      <c r="AA178" s="379" t="str">
        <f ca="1">IFERROR('Segment Analysis'!AA13/'Segment Analysis'!V13-1,"N/A")</f>
        <v>N/A</v>
      </c>
      <c r="AB178" s="379" t="str">
        <f ca="1">IFERROR('Segment Analysis'!AB13/'Segment Analysis'!W13-1,"N/A")</f>
        <v>N/A</v>
      </c>
      <c r="AC178" s="379" t="str">
        <f ca="1">IFERROR('Segment Analysis'!AC13/'Segment Analysis'!X13-1,"N/A")</f>
        <v>N/A</v>
      </c>
      <c r="AD178" s="378" t="str">
        <f ca="1">IFERROR('Segment Analysis'!AD13/'Segment Analysis'!Y13-1,"N/A")</f>
        <v>N/A</v>
      </c>
      <c r="AE178" s="378" t="str">
        <f ca="1">IFERROR('Segment Analysis'!AE13/'Segment Analysis'!Z13-1,"N/A")</f>
        <v>N/A</v>
      </c>
      <c r="AF178" s="378" t="str">
        <f ca="1">IFERROR('Segment Analysis'!AF13/'Segment Analysis'!AA13-1,"N/A")</f>
        <v>N/A</v>
      </c>
      <c r="AG178" s="378" t="str">
        <f ca="1">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0" ca="1">C89</f>
        <v>North America</v>
      </c>
      <c r="D180" s="16"/>
      <c r="E180" s="16"/>
      <c r="F180" s="474"/>
      <c r="G180" s="474"/>
      <c r="H180" s="474"/>
      <c r="I180" s="474"/>
      <c r="J180" s="168"/>
      <c r="K180" s="377" t="str">
        <f t="shared" ref="K180:AG180" si="151" ca="1">IFERROR(K89/F89-1,"N/A")</f>
        <v>N/A</v>
      </c>
      <c r="L180" s="377" t="str">
        <f ca="1">IFERROR(L89/G89-1,"N/A")</f>
        <v>N/A</v>
      </c>
      <c r="M180" s="377" t="str">
        <f ca="1">IFERROR(M89/H89-1,"N/A")</f>
        <v>N/A</v>
      </c>
      <c r="N180" s="377" t="str">
        <f ca="1">IFERROR(N89/I89-1,"N/A")</f>
        <v>N/A</v>
      </c>
      <c r="O180" s="378" t="str">
        <f ca="1">IFERROR(O89/J89-1,"N/A")</f>
        <v>N/A</v>
      </c>
      <c r="P180" s="377" t="str">
        <f ca="1">IFERROR(P89/K89-1,"N/A")</f>
        <v>N/A</v>
      </c>
      <c r="Q180" s="377" t="str">
        <f ca="1">IFERROR(Q89/L89-1,"N/A")</f>
        <v>N/A</v>
      </c>
      <c r="R180" s="377" t="str">
        <f ca="1">IFERROR(R89/M89-1,"N/A")</f>
        <v>N/A</v>
      </c>
      <c r="S180" s="377" t="str">
        <f ca="1">IFERROR(S89/N89-1,"N/A")</f>
        <v>N/A</v>
      </c>
      <c r="T180" s="378" t="str">
        <f ca="1">IFERROR(T89/O89-1,"N/A")</f>
        <v>N/A</v>
      </c>
      <c r="U180" s="377" t="str">
        <f ca="1">IFERROR(U89/P89-1,"N/A")</f>
        <v>N/A</v>
      </c>
      <c r="V180" s="377" t="str">
        <f ca="1">IFERROR(V89/Q89-1,"N/A")</f>
        <v>N/A</v>
      </c>
      <c r="W180" s="377" t="str">
        <f ca="1">IFERROR(W89/R89-1,"N/A")</f>
        <v>N/A</v>
      </c>
      <c r="X180" s="379" t="str">
        <f ca="1">IFERROR(X89/S89-1,"N/A")</f>
        <v>N/A</v>
      </c>
      <c r="Y180" s="378" t="str">
        <f ca="1">IFERROR(Y89/T89-1,"N/A")</f>
        <v>N/A</v>
      </c>
      <c r="Z180" s="379" t="str">
        <f ca="1">IFERROR(Z89/U89-1,"N/A")</f>
        <v>N/A</v>
      </c>
      <c r="AA180" s="379" t="str">
        <f ca="1">IFERROR(AA89/V89-1,"N/A")</f>
        <v>N/A</v>
      </c>
      <c r="AB180" s="379" t="str">
        <f ca="1">IFERROR(AB89/W89-1,"N/A")</f>
        <v>N/A</v>
      </c>
      <c r="AC180" s="379" t="str">
        <f ca="1">IFERROR(AC89/X89-1,"N/A")</f>
        <v>N/A</v>
      </c>
      <c r="AD180" s="378" t="str">
        <f ca="1">IFERROR(AD89/Y89-1,"N/A")</f>
        <v>N/A</v>
      </c>
      <c r="AE180" s="378" t="str">
        <f ca="1">IFERROR(AE89/Z89-1,"N/A")</f>
        <v>N/A</v>
      </c>
      <c r="AF180" s="378" t="str">
        <f ca="1">IFERROR(AF89/AA89-1,"N/A")</f>
        <v>N/A</v>
      </c>
      <c r="AG180" s="378" t="str">
        <f ca="1">IFERROR(AG89/AB89-1,"N/A")</f>
        <v>N/A</v>
      </c>
    </row>
    <row r="181" ht="14.25" customHeight="1" spans="1:33" x14ac:dyDescent="0.25">
      <c r="C181" s="139" t="str">
        <f ca="1">C90</f>
        <v>Europe</v>
      </c>
      <c r="D181" s="16"/>
      <c r="E181" s="16"/>
      <c r="F181" s="474"/>
      <c r="G181" s="474"/>
      <c r="H181" s="474"/>
      <c r="I181" s="474"/>
      <c r="J181" s="168"/>
      <c r="K181" s="377" t="str">
        <f t="shared" ref="K181:AG181" si="152" ca="1">IFERROR(K90/F90-1,"N/A")</f>
        <v>N/A</v>
      </c>
      <c r="L181" s="377" t="str">
        <f ca="1">IFERROR(L90/G90-1,"N/A")</f>
        <v>N/A</v>
      </c>
      <c r="M181" s="377" t="str">
        <f ca="1">IFERROR(M90/H90-1,"N/A")</f>
        <v>N/A</v>
      </c>
      <c r="N181" s="377" t="str">
        <f ca="1">IFERROR(N90/I90-1,"N/A")</f>
        <v>N/A</v>
      </c>
      <c r="O181" s="378" t="str">
        <f ca="1">IFERROR(O90/J90-1,"N/A")</f>
        <v>N/A</v>
      </c>
      <c r="P181" s="377" t="str">
        <f ca="1">IFERROR(P90/K90-1,"N/A")</f>
        <v>N/A</v>
      </c>
      <c r="Q181" s="377" t="str">
        <f ca="1">IFERROR(Q90/L90-1,"N/A")</f>
        <v>N/A</v>
      </c>
      <c r="R181" s="377" t="str">
        <f ca="1">IFERROR(R90/M90-1,"N/A")</f>
        <v>N/A</v>
      </c>
      <c r="S181" s="377" t="str">
        <f ca="1">IFERROR(S90/N90-1,"N/A")</f>
        <v>N/A</v>
      </c>
      <c r="T181" s="378" t="str">
        <f ca="1">IFERROR(T90/O90-1,"N/A")</f>
        <v>N/A</v>
      </c>
      <c r="U181" s="377" t="str">
        <f ca="1">IFERROR(U90/P90-1,"N/A")</f>
        <v>N/A</v>
      </c>
      <c r="V181" s="377" t="str">
        <f ca="1">IFERROR(V90/Q90-1,"N/A")</f>
        <v>N/A</v>
      </c>
      <c r="W181" s="377" t="str">
        <f ca="1">IFERROR(W90/R90-1,"N/A")</f>
        <v>N/A</v>
      </c>
      <c r="X181" s="379" t="str">
        <f ca="1">IFERROR(X90/S90-1,"N/A")</f>
        <v>N/A</v>
      </c>
      <c r="Y181" s="378" t="str">
        <f ca="1">IFERROR(Y90/T90-1,"N/A")</f>
        <v>N/A</v>
      </c>
      <c r="Z181" s="379" t="str">
        <f ca="1">IFERROR(Z90/U90-1,"N/A")</f>
        <v>N/A</v>
      </c>
      <c r="AA181" s="379" t="str">
        <f ca="1">IFERROR(AA90/V90-1,"N/A")</f>
        <v>N/A</v>
      </c>
      <c r="AB181" s="379" t="str">
        <f ca="1">IFERROR(AB90/W90-1,"N/A")</f>
        <v>N/A</v>
      </c>
      <c r="AC181" s="379" t="str">
        <f ca="1">IFERROR(AC90/X90-1,"N/A")</f>
        <v>N/A</v>
      </c>
      <c r="AD181" s="378" t="str">
        <f ca="1">IFERROR(AD90/Y90-1,"N/A")</f>
        <v>N/A</v>
      </c>
      <c r="AE181" s="378" t="str">
        <f ca="1">IFERROR(AE90/Z90-1,"N/A")</f>
        <v>N/A</v>
      </c>
      <c r="AF181" s="378" t="str">
        <f ca="1">IFERROR(AF90/AA90-1,"N/A")</f>
        <v>N/A</v>
      </c>
      <c r="AG181" s="378" t="str">
        <f ca="1">IFERROR(AG90/AB90-1,"N/A")</f>
        <v>N/A</v>
      </c>
    </row>
    <row r="182" ht="14.25" customHeight="1" hidden="1" spans="1:33" x14ac:dyDescent="0.25" outlineLevel="1">
      <c r="C182" s="139" t="str">
        <f ca="1">C91</f>
        <v>South America</v>
      </c>
      <c r="D182" s="16"/>
      <c r="E182" s="16"/>
      <c r="F182" s="474"/>
      <c r="G182" s="474"/>
      <c r="H182" s="474"/>
      <c r="I182" s="474"/>
      <c r="J182" s="168"/>
      <c r="K182" s="377" t="str">
        <f t="shared" ref="K182:AG182" si="153" ca="1">IFERROR(K91/F91-1,"N/A")</f>
        <v>N/A</v>
      </c>
      <c r="L182" s="377" t="str">
        <f ca="1">IFERROR(L91/G91-1,"N/A")</f>
        <v>N/A</v>
      </c>
      <c r="M182" s="377" t="str">
        <f ca="1">IFERROR(M91/H91-1,"N/A")</f>
        <v>N/A</v>
      </c>
      <c r="N182" s="377" t="str">
        <f ca="1">IFERROR(N91/I91-1,"N/A")</f>
        <v>N/A</v>
      </c>
      <c r="O182" s="378" t="str">
        <f ca="1">IFERROR(O91/J91-1,"N/A")</f>
        <v>N/A</v>
      </c>
      <c r="P182" s="377" t="str">
        <f ca="1">IFERROR(P91/K91-1,"N/A")</f>
        <v>N/A</v>
      </c>
      <c r="Q182" s="377" t="str">
        <f ca="1">IFERROR(Q91/L91-1,"N/A")</f>
        <v>N/A</v>
      </c>
      <c r="R182" s="377" t="str">
        <f ca="1">IFERROR(R91/M91-1,"N/A")</f>
        <v>N/A</v>
      </c>
      <c r="S182" s="377" t="str">
        <f ca="1">IFERROR(S91/N91-1,"N/A")</f>
        <v>N/A</v>
      </c>
      <c r="T182" s="378" t="str">
        <f ca="1">IFERROR(T91/O91-1,"N/A")</f>
        <v>N/A</v>
      </c>
      <c r="U182" s="377" t="str">
        <f ca="1">IFERROR(U91/P91-1,"N/A")</f>
        <v>N/A</v>
      </c>
      <c r="V182" s="377" t="str">
        <f ca="1">IFERROR(V91/Q91-1,"N/A")</f>
        <v>N/A</v>
      </c>
      <c r="W182" s="377" t="str">
        <f ca="1">IFERROR(W91/R91-1,"N/A")</f>
        <v>N/A</v>
      </c>
      <c r="X182" s="379" t="str">
        <f ca="1">IFERROR(X91/S91-1,"N/A")</f>
        <v>N/A</v>
      </c>
      <c r="Y182" s="378" t="str">
        <f ca="1">IFERROR(Y91/T91-1,"N/A")</f>
        <v>N/A</v>
      </c>
      <c r="Z182" s="379" t="str">
        <f ca="1">IFERROR(Z91/U91-1,"N/A")</f>
        <v>N/A</v>
      </c>
      <c r="AA182" s="379" t="str">
        <f ca="1">IFERROR(AA91/V91-1,"N/A")</f>
        <v>N/A</v>
      </c>
      <c r="AB182" s="379" t="str">
        <f ca="1">IFERROR(AB91/W91-1,"N/A")</f>
        <v>N/A</v>
      </c>
      <c r="AC182" s="379" t="str">
        <f ca="1">IFERROR(AC91/X91-1,"N/A")</f>
        <v>N/A</v>
      </c>
      <c r="AD182" s="378" t="str">
        <f ca="1">IFERROR(AD91/Y91-1,"N/A")</f>
        <v>N/A</v>
      </c>
      <c r="AE182" s="378" t="str">
        <f ca="1">IFERROR(AE91/Z91-1,"N/A")</f>
        <v>N/A</v>
      </c>
      <c r="AF182" s="378" t="str">
        <f ca="1">IFERROR(AF91/AA91-1,"N/A")</f>
        <v>N/A</v>
      </c>
      <c r="AG182" s="378" t="str">
        <f ca="1">IFERROR(AG91/AB91-1,"N/A")</f>
        <v>N/A</v>
      </c>
    </row>
    <row r="183" ht="14.25" customHeight="1" hidden="1" spans="1:33" x14ac:dyDescent="0.25" outlineLevel="1">
      <c r="C183" s="139" t="str">
        <f ca="1">C92</f>
        <v>Middle East &amp; Africa</v>
      </c>
      <c r="D183" s="16"/>
      <c r="E183" s="16"/>
      <c r="F183" s="474"/>
      <c r="G183" s="474"/>
      <c r="H183" s="474"/>
      <c r="I183" s="474"/>
      <c r="J183" s="168"/>
      <c r="K183" s="377" t="str">
        <f t="shared" ref="K183:AG183" si="154" ca="1">IFERROR(K92/F92-1,"N/A")</f>
        <v>N/A</v>
      </c>
      <c r="L183" s="377" t="str">
        <f ca="1">IFERROR(L92/G92-1,"N/A")</f>
        <v>N/A</v>
      </c>
      <c r="M183" s="377" t="str">
        <f ca="1">IFERROR(M92/H92-1,"N/A")</f>
        <v>N/A</v>
      </c>
      <c r="N183" s="377" t="str">
        <f ca="1">IFERROR(N92/I92-1,"N/A")</f>
        <v>N/A</v>
      </c>
      <c r="O183" s="378" t="str">
        <f ca="1">IFERROR(O92/J92-1,"N/A")</f>
        <v>N/A</v>
      </c>
      <c r="P183" s="377" t="str">
        <f ca="1">IFERROR(P92/K92-1,"N/A")</f>
        <v>N/A</v>
      </c>
      <c r="Q183" s="377" t="str">
        <f ca="1">IFERROR(Q92/L92-1,"N/A")</f>
        <v>N/A</v>
      </c>
      <c r="R183" s="377" t="str">
        <f ca="1">IFERROR(R92/M92-1,"N/A")</f>
        <v>N/A</v>
      </c>
      <c r="S183" s="377" t="str">
        <f ca="1">IFERROR(S92/N92-1,"N/A")</f>
        <v>N/A</v>
      </c>
      <c r="T183" s="378" t="str">
        <f ca="1">IFERROR(T92/O92-1,"N/A")</f>
        <v>N/A</v>
      </c>
      <c r="U183" s="377" t="str">
        <f ca="1">IFERROR(U92/P92-1,"N/A")</f>
        <v>N/A</v>
      </c>
      <c r="V183" s="377" t="str">
        <f ca="1">IFERROR(V92/Q92-1,"N/A")</f>
        <v>N/A</v>
      </c>
      <c r="W183" s="377" t="str">
        <f ca="1">IFERROR(W92/R92-1,"N/A")</f>
        <v>N/A</v>
      </c>
      <c r="X183" s="379" t="str">
        <f ca="1">IFERROR(X92/S92-1,"N/A")</f>
        <v>N/A</v>
      </c>
      <c r="Y183" s="378" t="str">
        <f ca="1">IFERROR(Y92/T92-1,"N/A")</f>
        <v>N/A</v>
      </c>
      <c r="Z183" s="379" t="str">
        <f ca="1">IFERROR(Z92/U92-1,"N/A")</f>
        <v>N/A</v>
      </c>
      <c r="AA183" s="379" t="str">
        <f ca="1">IFERROR(AA92/V92-1,"N/A")</f>
        <v>N/A</v>
      </c>
      <c r="AB183" s="379" t="str">
        <f ca="1">IFERROR(AB92/W92-1,"N/A")</f>
        <v>N/A</v>
      </c>
      <c r="AC183" s="379" t="str">
        <f ca="1">IFERROR(AC92/X92-1,"N/A")</f>
        <v>N/A</v>
      </c>
      <c r="AD183" s="378" t="str">
        <f ca="1">IFERROR(AD92/Y92-1,"N/A")</f>
        <v>N/A</v>
      </c>
      <c r="AE183" s="378" t="str">
        <f ca="1">IFERROR(AE92/Z92-1,"N/A")</f>
        <v>N/A</v>
      </c>
      <c r="AF183" s="378" t="str">
        <f ca="1">IFERROR(AF92/AA92-1,"N/A")</f>
        <v>N/A</v>
      </c>
      <c r="AG183" s="378" t="str">
        <f ca="1">IFERROR(AG92/AB92-1,"N/A")</f>
        <v>N/A</v>
      </c>
    </row>
    <row r="184" ht="14.25" customHeight="1" hidden="1" spans="1:33" x14ac:dyDescent="0.25" outlineLevel="1">
      <c r="C184" s="139" t="str">
        <f ca="1">C93</f>
        <v>Asia Pacific</v>
      </c>
      <c r="D184" s="16"/>
      <c r="E184" s="16"/>
      <c r="F184" s="474"/>
      <c r="G184" s="474"/>
      <c r="H184" s="474"/>
      <c r="I184" s="474"/>
      <c r="J184" s="168"/>
      <c r="K184" s="377" t="str">
        <f t="shared" ref="K184:AG184" si="155" ca="1">IFERROR(K93/F93-1,"N/A")</f>
        <v>N/A</v>
      </c>
      <c r="L184" s="377" t="str">
        <f ca="1">IFERROR(L93/G93-1,"N/A")</f>
        <v>N/A</v>
      </c>
      <c r="M184" s="377" t="str">
        <f ca="1">IFERROR(M93/H93-1,"N/A")</f>
        <v>N/A</v>
      </c>
      <c r="N184" s="377" t="str">
        <f ca="1">IFERROR(N93/I93-1,"N/A")</f>
        <v>N/A</v>
      </c>
      <c r="O184" s="378" t="str">
        <f ca="1">IFERROR(O93/J93-1,"N/A")</f>
        <v>N/A</v>
      </c>
      <c r="P184" s="377" t="str">
        <f ca="1">IFERROR(P93/K93-1,"N/A")</f>
        <v>N/A</v>
      </c>
      <c r="Q184" s="377" t="str">
        <f ca="1">IFERROR(Q93/L93-1,"N/A")</f>
        <v>N/A</v>
      </c>
      <c r="R184" s="377" t="str">
        <f ca="1">IFERROR(R93/M93-1,"N/A")</f>
        <v>N/A</v>
      </c>
      <c r="S184" s="377" t="str">
        <f ca="1">IFERROR(S93/N93-1,"N/A")</f>
        <v>N/A</v>
      </c>
      <c r="T184" s="378" t="str">
        <f ca="1">IFERROR(T93/O93-1,"N/A")</f>
        <v>N/A</v>
      </c>
      <c r="U184" s="377" t="str">
        <f ca="1">IFERROR(U93/P93-1,"N/A")</f>
        <v>N/A</v>
      </c>
      <c r="V184" s="377" t="str">
        <f ca="1">IFERROR(V93/Q93-1,"N/A")</f>
        <v>N/A</v>
      </c>
      <c r="W184" s="377" t="str">
        <f ca="1">IFERROR(W93/R93-1,"N/A")</f>
        <v>N/A</v>
      </c>
      <c r="X184" s="379" t="str">
        <f ca="1">IFERROR(X93/S93-1,"N/A")</f>
        <v>N/A</v>
      </c>
      <c r="Y184" s="378" t="str">
        <f ca="1">IFERROR(Y93/T93-1,"N/A")</f>
        <v>N/A</v>
      </c>
      <c r="Z184" s="379" t="str">
        <f ca="1">IFERROR(Z93/U93-1,"N/A")</f>
        <v>N/A</v>
      </c>
      <c r="AA184" s="379" t="str">
        <f ca="1">IFERROR(AA93/V93-1,"N/A")</f>
        <v>N/A</v>
      </c>
      <c r="AB184" s="379" t="str">
        <f ca="1">IFERROR(AB93/W93-1,"N/A")</f>
        <v>N/A</v>
      </c>
      <c r="AC184" s="379" t="str">
        <f ca="1">IFERROR(AC93/X93-1,"N/A")</f>
        <v>N/A</v>
      </c>
      <c r="AD184" s="378" t="str">
        <f ca="1">IFERROR(AD93/Y93-1,"N/A")</f>
        <v>N/A</v>
      </c>
      <c r="AE184" s="378" t="str">
        <f ca="1">IFERROR(AE93/Z93-1,"N/A")</f>
        <v>N/A</v>
      </c>
      <c r="AF184" s="378" t="str">
        <f ca="1">IFERROR(AF93/AA93-1,"N/A")</f>
        <v>N/A</v>
      </c>
      <c r="AG184" s="378" t="str">
        <f ca="1">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477</v>
      </c>
      <c r="D186" s="16"/>
      <c r="E186" s="16"/>
      <c r="F186" s="474"/>
      <c r="G186" s="377"/>
      <c r="H186" s="377"/>
      <c r="I186" s="377"/>
      <c r="J186" s="378"/>
      <c r="K186" s="377">
        <f ca="1">IFERROR(Model!K36/Model!F36-1,"N/A")</f>
        <v>-0.032764505119453946</v>
      </c>
      <c r="L186" s="377">
        <f ca="1">IFERROR(Model!L36/Model!G36-1,"N/A")</f>
        <v>0.10078594544613972</v>
      </c>
      <c r="M186" s="377">
        <f ca="1">IFERROR(Model!M36/Model!H36-1,"N/A")</f>
        <v>0.6280041797283176</v>
      </c>
      <c r="N186" s="377">
        <f ca="1">IFERROR(Model!N36/Model!I36-1,"N/A")</f>
        <v>-2.689594356261023</v>
      </c>
      <c r="O186" s="378">
        <f ca="1">IFERROR(Model!O36/Model!J36-1,"N/A")</f>
        <v>0.5714285714285714</v>
      </c>
      <c r="P186" s="377">
        <f ca="1">IFERROR(Model!P36/Model!K36-1,"N/A")</f>
        <v>0.40508115737473527</v>
      </c>
      <c r="Q186" s="377">
        <f ca="1">IFERROR(Model!Q36/Model!L36-1,"N/A")</f>
        <v>0.6619067618647627</v>
      </c>
      <c r="R186" s="377">
        <f ca="1">IFERROR(Model!R36/Model!M36-1,"N/A")</f>
        <v>0.39602053915276003</v>
      </c>
      <c r="S186" s="377">
        <f ca="1">IFERROR(Model!S36/Model!N36-1,"N/A")</f>
        <v>1.8903966597077244</v>
      </c>
      <c r="T186" s="378">
        <f ca="1">IFERROR(Model!T36/Model!O36-1,"N/A")</f>
        <v>0.7250554323725056</v>
      </c>
      <c r="U186" s="377">
        <f ca="1">IFERROR(Model!U36/Model!P36-1,"N/A")</f>
        <v>0.6298342541436464</v>
      </c>
      <c r="V186" s="377">
        <f ca="1">IFERROR(Model!V36/Model!Q36-1,"N/A")</f>
        <v>0.06393732625726556</v>
      </c>
      <c r="W186" s="377">
        <f ca="1">IFERROR(Model!W36/Model!R36-1,"N/A")</f>
        <v>0.2822988505747126</v>
      </c>
      <c r="X186" s="379">
        <f ca="1">IFERROR(Model!X36/Model!S36-1,"N/A")</f>
        <v>-1.8272576742506321</v>
      </c>
      <c r="Y186" s="378">
        <f ca="1">IFERROR(Model!Y36/Model!T36-1,"N/A")</f>
        <v>-0.26980136797649656</v>
      </c>
      <c r="Z186" s="379">
        <f ca="1">IFERROR(Model!Z36/Model!U36-1,"N/A")</f>
        <v>-1.7752266713405245</v>
      </c>
      <c r="AA186" s="379">
        <f ca="1">IFERROR(Model!AA36/Model!V36-1,"N/A")</f>
        <v>-1.6365505412793944</v>
      </c>
      <c r="AB186" s="379">
        <f ca="1">IFERROR(Model!AB36/Model!W36-1,"N/A")</f>
        <v>-2.0468129521834677</v>
      </c>
      <c r="AC186" s="379">
        <f ca="1">IFERROR(Model!AC36/Model!X36-1,"N/A")</f>
        <v>0.05868462383023232</v>
      </c>
      <c r="AD186" s="378">
        <f ca="1">IFERROR(Model!AD36/Model!Y36-1,"N/A")</f>
        <v>-2.3252514674708245</v>
      </c>
      <c r="AE186" s="378">
        <f ca="1">IFERROR(Model!AE36/Model!Z36-1,"N/A")</f>
        <v>2.8074707377667667</v>
      </c>
      <c r="AF186" s="378">
        <f ca="1">IFERROR(Model!AF36/Model!AA36-1,"N/A")</f>
        <v>2.4502138564119273</v>
      </c>
      <c r="AG186" s="378">
        <f ca="1">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478</v>
      </c>
      <c r="D188" s="16"/>
      <c r="E188" s="16"/>
      <c r="F188" s="474"/>
      <c r="G188" s="377"/>
      <c r="H188" s="377"/>
      <c r="I188" s="377"/>
      <c r="J188" s="378"/>
      <c r="K188" s="377">
        <f ca="1">IFERROR(Model!K61/Model!F61-1,"N/A")</f>
        <v>-0.09738630136986304</v>
      </c>
      <c r="L188" s="377">
        <f ca="1">IFERROR(Model!L61/Model!G61-1,"N/A")</f>
        <v>0.007790394708354853</v>
      </c>
      <c r="M188" s="377">
        <f ca="1">IFERROR(Model!M61/Model!H61-1,"N/A")</f>
        <v>0.1916965658636598</v>
      </c>
      <c r="N188" s="377">
        <f ca="1">IFERROR(Model!N61/Model!I61-1,"N/A")</f>
        <v>0.2206199558905504</v>
      </c>
      <c r="O188" s="378">
        <f ca="1">IFERROR(Model!O61/Model!J61-1,"N/A")</f>
        <v>0.05760468781285799</v>
      </c>
      <c r="P188" s="377">
        <f ca="1">IFERROR(Model!P61/Model!K61-1,"N/A")</f>
        <v>0.411159069247907</v>
      </c>
      <c r="Q188" s="377">
        <f ca="1">IFERROR(Model!Q61/Model!L61-1,"N/A")</f>
        <v>0.5895674140032079</v>
      </c>
      <c r="R188" s="377">
        <f ca="1">IFERROR(Model!R61/Model!M61-1,"N/A")</f>
        <v>0.7502124311565697</v>
      </c>
      <c r="S188" s="377">
        <f ca="1">IFERROR(Model!S61/Model!N61-1,"N/A")</f>
        <v>1.0907791279485344</v>
      </c>
      <c r="T188" s="378">
        <f ca="1">IFERROR(Model!T61/Model!O61-1,"N/A")</f>
        <v>0.688694700238264</v>
      </c>
      <c r="U188" s="377">
        <f ca="1">IFERROR(Model!U61/Model!P61-1,"N/A")</f>
        <v>0.5641669821385553</v>
      </c>
      <c r="V188" s="377">
        <f ca="1">IFERROR(Model!V61/Model!Q61-1,"N/A")</f>
        <v>0.07630611926282693</v>
      </c>
      <c r="W188" s="377">
        <f ca="1">IFERROR(Model!W61/Model!R61-1,"N/A")</f>
        <v>-0.0388937838275224</v>
      </c>
      <c r="X188" s="379" t="str">
        <f ca="1">IFERROR(Model!X61/Model!S61-1,"N/A")</f>
        <v>N/A</v>
      </c>
      <c r="Y188" s="378" t="str">
        <f ca="1">IFERROR(Model!Y61/Model!T61-1,"N/A")</f>
        <v>N/A</v>
      </c>
      <c r="Z188" s="379" t="str">
        <f ca="1">IFERROR(Model!Z61/Model!U61-1,"N/A")</f>
        <v>N/A</v>
      </c>
      <c r="AA188" s="379" t="str">
        <f ca="1">IFERROR(Model!AA61/Model!V61-1,"N/A")</f>
        <v>N/A</v>
      </c>
      <c r="AB188" s="379" t="str">
        <f ca="1">IFERROR(Model!AB61/Model!W61-1,"N/A")</f>
        <v>N/A</v>
      </c>
      <c r="AC188" s="379" t="str">
        <f ca="1">IFERROR(Model!AC61/Model!X61-1,"N/A")</f>
        <v>N/A</v>
      </c>
      <c r="AD188" s="378" t="str">
        <f ca="1">IFERROR(Model!AD61/Model!Y61-1,"N/A")</f>
        <v>N/A</v>
      </c>
      <c r="AE188" s="378" t="str">
        <f ca="1">IFERROR(Model!AE61/Model!Z61-1,"N/A")</f>
        <v>N/A</v>
      </c>
      <c r="AF188" s="378" t="str">
        <f ca="1">IFERROR(Model!AF61/Model!AA61-1,"N/A")</f>
        <v>N/A</v>
      </c>
      <c r="AG188" s="378" t="str">
        <f ca="1">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479</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476</v>
      </c>
      <c r="D192" s="16"/>
      <c r="E192" s="16"/>
      <c r="F192" s="474"/>
      <c r="G192" s="377">
        <f ca="1">IFERROR('Segment Analysis'!G7/'Segment Analysis'!F7-1,"N/A")</f>
        <v>0.2032258064516128</v>
      </c>
      <c r="H192" s="377">
        <f ca="1">IFERROR('Segment Analysis'!H7/'Segment Analysis'!G7-1,"N/A")</f>
        <v>-0.16626771351972425</v>
      </c>
      <c r="I192" s="377">
        <f ca="1">IFERROR('Segment Analysis'!I7/'Segment Analysis'!H7-1,"N/A")</f>
        <v>-0.10157909847832325</v>
      </c>
      <c r="J192" s="378"/>
      <c r="K192" s="377">
        <f ca="1">IFERROR('Segment Analysis'!K7/'Segment Analysis'!I7-1,"N/A")</f>
        <v>0.13390003834845965</v>
      </c>
      <c r="L192" s="377">
        <f ca="1">IFERROR('Segment Analysis'!L7/'Segment Analysis'!K7-1,"N/A")</f>
        <v>0.18324784397722782</v>
      </c>
      <c r="M192" s="377">
        <f ca="1">IFERROR('Segment Analysis'!M7/'Segment Analysis'!L7-1,"N/A")</f>
        <v>-0.17168445121951215</v>
      </c>
      <c r="N192" s="377">
        <f ca="1">IFERROR('Segment Analysis'!N7/'Segment Analysis'!M7-1,"N/A")</f>
        <v>-0.07827237175063262</v>
      </c>
      <c r="O192" s="378"/>
      <c r="P192" s="377">
        <f ca="1">IFERROR('Segment Analysis'!P7/'Segment Analysis'!N7-1,"N/A")</f>
        <v>0.22761589817183503</v>
      </c>
      <c r="Q192" s="377">
        <f ca="1">IFERROR('Segment Analysis'!Q7/'Segment Analysis'!P7-1,"N/A")</f>
        <v>0.3876493011435833</v>
      </c>
      <c r="R192" s="377">
        <f ca="1">IFERROR('Segment Analysis'!R7/'Segment Analysis'!Q7-1,"N/A")</f>
        <v>-0.18288037506409782</v>
      </c>
      <c r="S192" s="377">
        <f ca="1">IFERROR('Segment Analysis'!S7/'Segment Analysis'!R7-1,"N/A")</f>
        <v>-0.08956026715675292</v>
      </c>
      <c r="T192" s="378"/>
      <c r="U192" s="377">
        <f ca="1">IFERROR('Segment Analysis'!U7/'Segment Analysis'!S7-1,"N/A")</f>
        <v>0.20240263896410804</v>
      </c>
      <c r="V192" s="377">
        <f ca="1">IFERROR('Segment Analysis'!V7/'Segment Analysis'!U7-1,"N/A")</f>
        <v>0.12890017197608716</v>
      </c>
      <c r="W192" s="377">
        <f ca="1">IFERROR('Segment Analysis'!W7/'Segment Analysis'!V7-1,"N/A")</f>
        <v>-0.16873413130214</v>
      </c>
      <c r="X192" s="379">
        <f ca="1">IFERROR('Segment Analysis'!X7/'Segment Analysis'!W7-1,"N/A")</f>
        <v>-0.050000000000000044</v>
      </c>
      <c r="Y192" s="378"/>
      <c r="Z192" s="379">
        <f ca="1">IFERROR('Segment Analysis'!Z7/'Segment Analysis'!X7-1,"N/A")</f>
        <v>0.17999999999999994</v>
      </c>
      <c r="AA192" s="379">
        <f ca="1">IFERROR('Segment Analysis'!AA7/'Segment Analysis'!Z7-1,"N/A")</f>
        <v>0.14000000000000012</v>
      </c>
      <c r="AB192" s="379">
        <f ca="1">IFERROR('Segment Analysis'!AB7/'Segment Analysis'!AA7-1,"N/A")</f>
        <v>-0.12</v>
      </c>
      <c r="AC192" s="379">
        <f ca="1">IFERROR('Segment Analysis'!AC7/'Segment Analysis'!AB7-1,"N/A")</f>
        <v>-0.050000000000000044</v>
      </c>
      <c r="AD192" s="378"/>
      <c r="AE192" s="378">
        <f ca="1">IFERROR('Segment Analysis'!AE7/'Segment Analysis'!AD7-1,"N/A")</f>
        <v>0.020000000000000018</v>
      </c>
      <c r="AF192" s="378">
        <f ca="1">IFERROR('Segment Analysis'!AF7/'Segment Analysis'!AE7-1,"N/A")</f>
        <v>0.020000000000000018</v>
      </c>
      <c r="AG192" s="378">
        <f ca="1">IFERROR('Segment Analysis'!AG7/'Segment Analysis'!AF7-1,"N/A")</f>
        <v>0.020000000000000018</v>
      </c>
    </row>
    <row r="193" ht="14.25" customHeight="1" spans="1:33" x14ac:dyDescent="0.25">
      <c r="C193" s="139" t="str">
        <f ca="1">'Segment Analysis'!C16</f>
        <v>Home Improvement Retail</v>
      </c>
      <c r="D193" s="16"/>
      <c r="E193" s="16"/>
      <c r="F193" s="474"/>
      <c r="G193" s="377">
        <f ca="1">IFERROR('Segment Analysis'!G8/'Segment Analysis'!F8-1,"N/A")</f>
        <v>0.2032258064516128</v>
      </c>
      <c r="H193" s="377">
        <f ca="1">IFERROR('Segment Analysis'!H8/'Segment Analysis'!G8-1,"N/A")</f>
        <v>-0.16626771351972425</v>
      </c>
      <c r="I193" s="377">
        <f ca="1">IFERROR('Segment Analysis'!I8/'Segment Analysis'!H8-1,"N/A")</f>
        <v>-0.10157909847832325</v>
      </c>
      <c r="J193" s="378"/>
      <c r="K193" s="377">
        <f ca="1">IFERROR('Segment Analysis'!K8/'Segment Analysis'!I8-1,"N/A")</f>
        <v>0.13390003834845965</v>
      </c>
      <c r="L193" s="377">
        <f ca="1">IFERROR('Segment Analysis'!L8/'Segment Analysis'!K8-1,"N/A")</f>
        <v>0.18324784397722782</v>
      </c>
      <c r="M193" s="377">
        <f ca="1">IFERROR('Segment Analysis'!M8/'Segment Analysis'!L8-1,"N/A")</f>
        <v>-0.17168445121951215</v>
      </c>
      <c r="N193" s="377">
        <f ca="1">IFERROR('Segment Analysis'!N8/'Segment Analysis'!M8-1,"N/A")</f>
        <v>-0.07827237175063262</v>
      </c>
      <c r="O193" s="378"/>
      <c r="P193" s="377">
        <f ca="1">IFERROR('Segment Analysis'!P8/'Segment Analysis'!N8-1,"N/A")</f>
        <v>0.22761589817183503</v>
      </c>
      <c r="Q193" s="377">
        <f ca="1">IFERROR('Segment Analysis'!Q8/'Segment Analysis'!P8-1,"N/A")</f>
        <v>0.3876493011435833</v>
      </c>
      <c r="R193" s="377">
        <f ca="1">IFERROR('Segment Analysis'!R8/'Segment Analysis'!Q8-1,"N/A")</f>
        <v>-0.18288037506409782</v>
      </c>
      <c r="S193" s="377">
        <f ca="1">IFERROR('Segment Analysis'!S8/'Segment Analysis'!R8-1,"N/A")</f>
        <v>-0.08956026715675292</v>
      </c>
      <c r="T193" s="378"/>
      <c r="U193" s="377">
        <f ca="1">IFERROR('Segment Analysis'!U8/'Segment Analysis'!S8-1,"N/A")</f>
        <v>0.20240263896410804</v>
      </c>
      <c r="V193" s="377">
        <f ca="1">IFERROR('Segment Analysis'!V8/'Segment Analysis'!U8-1,"N/A")</f>
        <v>0.12890017197608716</v>
      </c>
      <c r="W193" s="377">
        <f ca="1">IFERROR('Segment Analysis'!W8/'Segment Analysis'!V8-1,"N/A")</f>
        <v>-0.16873413130214</v>
      </c>
      <c r="X193" s="379">
        <f ca="1">IFERROR('Segment Analysis'!X8/'Segment Analysis'!W8-1,"N/A")</f>
        <v>-0.050000000000000044</v>
      </c>
      <c r="Y193" s="378"/>
      <c r="Z193" s="379">
        <f ca="1">IFERROR('Segment Analysis'!Z8/'Segment Analysis'!X8-1,"N/A")</f>
        <v>0.17999999999999994</v>
      </c>
      <c r="AA193" s="379">
        <f ca="1">IFERROR('Segment Analysis'!AA8/'Segment Analysis'!Z8-1,"N/A")</f>
        <v>0.14000000000000012</v>
      </c>
      <c r="AB193" s="379">
        <f ca="1">IFERROR('Segment Analysis'!AB8/'Segment Analysis'!AA8-1,"N/A")</f>
        <v>-0.12</v>
      </c>
      <c r="AC193" s="379">
        <f ca="1">IFERROR('Segment Analysis'!AC8/'Segment Analysis'!AB8-1,"N/A")</f>
        <v>-0.050000000000000044</v>
      </c>
      <c r="AD193" s="378"/>
      <c r="AE193" s="378">
        <f ca="1">IFERROR('Segment Analysis'!AE8/'Segment Analysis'!AD8-1,"N/A")</f>
        <v>0.020000000000000018</v>
      </c>
      <c r="AF193" s="378">
        <f ca="1">IFERROR('Segment Analysis'!AF8/'Segment Analysis'!AE8-1,"N/A")</f>
        <v>0.020000000000000018</v>
      </c>
      <c r="AG193" s="378">
        <f ca="1">IFERROR('Segment Analysis'!AG8/'Segment Analysis'!AF8-1,"N/A")</f>
        <v>0.020000000000000018</v>
      </c>
    </row>
    <row r="194" ht="14.25" customHeight="1" spans="1:33" x14ac:dyDescent="0.25">
      <c r="C194" s="139" t="str">
        <f ca="1">'Segment Analysis'!C17</f>
        <v>Segment 2</v>
      </c>
      <c r="D194" s="16"/>
      <c r="E194" s="16"/>
      <c r="F194" s="474"/>
      <c r="G194" s="377" t="str">
        <f ca="1">IFERROR('Segment Analysis'!G9/'Segment Analysis'!F9-1,"N/A")</f>
        <v>N/A</v>
      </c>
      <c r="H194" s="377" t="str">
        <f ca="1">IFERROR('Segment Analysis'!H9/'Segment Analysis'!G9-1,"N/A")</f>
        <v>N/A</v>
      </c>
      <c r="I194" s="377" t="str">
        <f ca="1">IFERROR('Segment Analysis'!I9/'Segment Analysis'!H9-1,"N/A")</f>
        <v>N/A</v>
      </c>
      <c r="J194" s="378"/>
      <c r="K194" s="377" t="str">
        <f ca="1">IFERROR('Segment Analysis'!K9/'Segment Analysis'!I9-1,"N/A")</f>
        <v>N/A</v>
      </c>
      <c r="L194" s="377" t="str">
        <f ca="1">IFERROR('Segment Analysis'!L9/'Segment Analysis'!K9-1,"N/A")</f>
        <v>N/A</v>
      </c>
      <c r="M194" s="377" t="str">
        <f ca="1">IFERROR('Segment Analysis'!M9/'Segment Analysis'!L9-1,"N/A")</f>
        <v>N/A</v>
      </c>
      <c r="N194" s="377" t="str">
        <f ca="1">IFERROR('Segment Analysis'!N9/'Segment Analysis'!M9-1,"N/A")</f>
        <v>N/A</v>
      </c>
      <c r="O194" s="378"/>
      <c r="P194" s="377" t="str">
        <f ca="1">IFERROR('Segment Analysis'!P9/'Segment Analysis'!N9-1,"N/A")</f>
        <v>N/A</v>
      </c>
      <c r="Q194" s="377" t="str">
        <f ca="1">IFERROR('Segment Analysis'!Q9/'Segment Analysis'!P9-1,"N/A")</f>
        <v>N/A</v>
      </c>
      <c r="R194" s="377" t="str">
        <f ca="1">IFERROR('Segment Analysis'!R9/'Segment Analysis'!Q9-1,"N/A")</f>
        <v>N/A</v>
      </c>
      <c r="S194" s="377" t="str">
        <f ca="1">IFERROR('Segment Analysis'!S9/'Segment Analysis'!R9-1,"N/A")</f>
        <v>N/A</v>
      </c>
      <c r="T194" s="378"/>
      <c r="U194" s="377" t="str">
        <f ca="1">IFERROR('Segment Analysis'!U9/'Segment Analysis'!S9-1,"N/A")</f>
        <v>N/A</v>
      </c>
      <c r="V194" s="377" t="str">
        <f ca="1">IFERROR('Segment Analysis'!V9/'Segment Analysis'!U9-1,"N/A")</f>
        <v>N/A</v>
      </c>
      <c r="W194" s="377" t="str">
        <f ca="1">IFERROR('Segment Analysis'!W9/'Segment Analysis'!V9-1,"N/A")</f>
        <v>N/A</v>
      </c>
      <c r="X194" s="379" t="str">
        <f ca="1">IFERROR('Segment Analysis'!X9/'Segment Analysis'!W9-1,"N/A")</f>
        <v>N/A</v>
      </c>
      <c r="Y194" s="378"/>
      <c r="Z194" s="379" t="str">
        <f ca="1">IFERROR('Segment Analysis'!Z9/'Segment Analysis'!X9-1,"N/A")</f>
        <v>N/A</v>
      </c>
      <c r="AA194" s="379" t="str">
        <f ca="1">IFERROR('Segment Analysis'!AA9/'Segment Analysis'!Z9-1,"N/A")</f>
        <v>N/A</v>
      </c>
      <c r="AB194" s="379" t="str">
        <f ca="1">IFERROR('Segment Analysis'!AB9/'Segment Analysis'!AA9-1,"N/A")</f>
        <v>N/A</v>
      </c>
      <c r="AC194" s="379" t="str">
        <f ca="1">IFERROR('Segment Analysis'!AC9/'Segment Analysis'!AB9-1,"N/A")</f>
        <v>N/A</v>
      </c>
      <c r="AD194" s="378"/>
      <c r="AE194" s="378" t="str">
        <f ca="1">IFERROR('Segment Analysis'!AE9/'Segment Analysis'!AD9-1,"N/A")</f>
        <v>N/A</v>
      </c>
      <c r="AF194" s="378" t="str">
        <f ca="1">IFERROR('Segment Analysis'!AF9/'Segment Analysis'!AE9-1,"N/A")</f>
        <v>N/A</v>
      </c>
      <c r="AG194" s="378" t="str">
        <f ca="1">IFERROR('Segment Analysis'!AG9/'Segment Analysis'!AF9-1,"N/A")</f>
        <v>N/A</v>
      </c>
    </row>
    <row r="195" ht="14.25" customHeight="1" spans="1:33" x14ac:dyDescent="0.25">
      <c r="C195" s="139" t="str">
        <f ca="1">'Segment Analysis'!C18</f>
        <v>Segment 3</v>
      </c>
      <c r="D195" s="16"/>
      <c r="E195" s="16"/>
      <c r="F195" s="474"/>
      <c r="G195" s="377" t="str">
        <f ca="1">IFERROR('Segment Analysis'!G10/'Segment Analysis'!F10-1,"N/A")</f>
        <v>N/A</v>
      </c>
      <c r="H195" s="377" t="str">
        <f ca="1">IFERROR('Segment Analysis'!H10/'Segment Analysis'!G10-1,"N/A")</f>
        <v>N/A</v>
      </c>
      <c r="I195" s="377" t="str">
        <f ca="1">IFERROR('Segment Analysis'!I10/'Segment Analysis'!H10-1,"N/A")</f>
        <v>N/A</v>
      </c>
      <c r="J195" s="378"/>
      <c r="K195" s="377" t="str">
        <f ca="1">IFERROR('Segment Analysis'!K10/'Segment Analysis'!I10-1,"N/A")</f>
        <v>N/A</v>
      </c>
      <c r="L195" s="377" t="str">
        <f ca="1">IFERROR('Segment Analysis'!L10/'Segment Analysis'!K10-1,"N/A")</f>
        <v>N/A</v>
      </c>
      <c r="M195" s="377" t="str">
        <f ca="1">IFERROR('Segment Analysis'!M10/'Segment Analysis'!L10-1,"N/A")</f>
        <v>N/A</v>
      </c>
      <c r="N195" s="377" t="str">
        <f ca="1">IFERROR('Segment Analysis'!N10/'Segment Analysis'!M10-1,"N/A")</f>
        <v>N/A</v>
      </c>
      <c r="O195" s="378"/>
      <c r="P195" s="377" t="str">
        <f ca="1">IFERROR('Segment Analysis'!P10/'Segment Analysis'!N10-1,"N/A")</f>
        <v>N/A</v>
      </c>
      <c r="Q195" s="377" t="str">
        <f ca="1">IFERROR('Segment Analysis'!Q10/'Segment Analysis'!P10-1,"N/A")</f>
        <v>N/A</v>
      </c>
      <c r="R195" s="377" t="str">
        <f ca="1">IFERROR('Segment Analysis'!R10/'Segment Analysis'!Q10-1,"N/A")</f>
        <v>N/A</v>
      </c>
      <c r="S195" s="377" t="str">
        <f ca="1">IFERROR('Segment Analysis'!S10/'Segment Analysis'!R10-1,"N/A")</f>
        <v>N/A</v>
      </c>
      <c r="T195" s="378"/>
      <c r="U195" s="377" t="str">
        <f ca="1">IFERROR('Segment Analysis'!U10/'Segment Analysis'!S10-1,"N/A")</f>
        <v>N/A</v>
      </c>
      <c r="V195" s="377" t="str">
        <f ca="1">IFERROR('Segment Analysis'!V10/'Segment Analysis'!U10-1,"N/A")</f>
        <v>N/A</v>
      </c>
      <c r="W195" s="377" t="str">
        <f ca="1">IFERROR('Segment Analysis'!W10/'Segment Analysis'!V10-1,"N/A")</f>
        <v>N/A</v>
      </c>
      <c r="X195" s="379" t="str">
        <f ca="1">IFERROR('Segment Analysis'!X10/'Segment Analysis'!W10-1,"N/A")</f>
        <v>N/A</v>
      </c>
      <c r="Y195" s="378"/>
      <c r="Z195" s="379" t="str">
        <f ca="1">IFERROR('Segment Analysis'!Z10/'Segment Analysis'!X10-1,"N/A")</f>
        <v>N/A</v>
      </c>
      <c r="AA195" s="379" t="str">
        <f ca="1">IFERROR('Segment Analysis'!AA10/'Segment Analysis'!Z10-1,"N/A")</f>
        <v>N/A</v>
      </c>
      <c r="AB195" s="379" t="str">
        <f ca="1">IFERROR('Segment Analysis'!AB10/'Segment Analysis'!AA10-1,"N/A")</f>
        <v>N/A</v>
      </c>
      <c r="AC195" s="379" t="str">
        <f ca="1">IFERROR('Segment Analysis'!AC10/'Segment Analysis'!AB10-1,"N/A")</f>
        <v>N/A</v>
      </c>
      <c r="AD195" s="378"/>
      <c r="AE195" s="378" t="str">
        <f ca="1">IFERROR('Segment Analysis'!AE10/'Segment Analysis'!AD10-1,"N/A")</f>
        <v>N/A</v>
      </c>
      <c r="AF195" s="378" t="str">
        <f ca="1">IFERROR('Segment Analysis'!AF10/'Segment Analysis'!AE10-1,"N/A")</f>
        <v>N/A</v>
      </c>
      <c r="AG195" s="378" t="str">
        <f ca="1">IFERROR('Segment Analysis'!AG10/'Segment Analysis'!AF10-1,"N/A")</f>
        <v>N/A</v>
      </c>
    </row>
    <row r="196" ht="14.25" customHeight="1" spans="1:33" x14ac:dyDescent="0.25">
      <c r="C196" s="139" t="str">
        <f ca="1">'Segment Analysis'!C19</f>
        <v>Segment 4</v>
      </c>
      <c r="D196" s="16"/>
      <c r="E196" s="16"/>
      <c r="F196" s="474"/>
      <c r="G196" s="377" t="str">
        <f ca="1">IFERROR('Segment Analysis'!G11/'Segment Analysis'!F11-1,"N/A")</f>
        <v>N/A</v>
      </c>
      <c r="H196" s="377" t="str">
        <f ca="1">IFERROR('Segment Analysis'!H11/'Segment Analysis'!G11-1,"N/A")</f>
        <v>N/A</v>
      </c>
      <c r="I196" s="377" t="str">
        <f ca="1">IFERROR('Segment Analysis'!I11/'Segment Analysis'!H11-1,"N/A")</f>
        <v>N/A</v>
      </c>
      <c r="J196" s="378"/>
      <c r="K196" s="377" t="str">
        <f ca="1">IFERROR('Segment Analysis'!K11/'Segment Analysis'!I11-1,"N/A")</f>
        <v>N/A</v>
      </c>
      <c r="L196" s="377" t="str">
        <f ca="1">IFERROR('Segment Analysis'!L11/'Segment Analysis'!K11-1,"N/A")</f>
        <v>N/A</v>
      </c>
      <c r="M196" s="377" t="str">
        <f ca="1">IFERROR('Segment Analysis'!M11/'Segment Analysis'!L11-1,"N/A")</f>
        <v>N/A</v>
      </c>
      <c r="N196" s="377" t="str">
        <f ca="1">IFERROR('Segment Analysis'!N11/'Segment Analysis'!M11-1,"N/A")</f>
        <v>N/A</v>
      </c>
      <c r="O196" s="378"/>
      <c r="P196" s="377" t="str">
        <f ca="1">IFERROR('Segment Analysis'!P11/'Segment Analysis'!N11-1,"N/A")</f>
        <v>N/A</v>
      </c>
      <c r="Q196" s="377" t="str">
        <f ca="1">IFERROR('Segment Analysis'!Q11/'Segment Analysis'!P11-1,"N/A")</f>
        <v>N/A</v>
      </c>
      <c r="R196" s="377" t="str">
        <f ca="1">IFERROR('Segment Analysis'!R11/'Segment Analysis'!Q11-1,"N/A")</f>
        <v>N/A</v>
      </c>
      <c r="S196" s="377" t="str">
        <f ca="1">IFERROR('Segment Analysis'!S11/'Segment Analysis'!R11-1,"N/A")</f>
        <v>N/A</v>
      </c>
      <c r="T196" s="378"/>
      <c r="U196" s="377" t="str">
        <f ca="1">IFERROR('Segment Analysis'!U11/'Segment Analysis'!S11-1,"N/A")</f>
        <v>N/A</v>
      </c>
      <c r="V196" s="377" t="str">
        <f ca="1">IFERROR('Segment Analysis'!V11/'Segment Analysis'!U11-1,"N/A")</f>
        <v>N/A</v>
      </c>
      <c r="W196" s="377" t="str">
        <f ca="1">IFERROR('Segment Analysis'!W11/'Segment Analysis'!V11-1,"N/A")</f>
        <v>N/A</v>
      </c>
      <c r="X196" s="379" t="str">
        <f ca="1">IFERROR('Segment Analysis'!X11/'Segment Analysis'!W11-1,"N/A")</f>
        <v>N/A</v>
      </c>
      <c r="Y196" s="378"/>
      <c r="Z196" s="379" t="str">
        <f ca="1">IFERROR('Segment Analysis'!Z11/'Segment Analysis'!X11-1,"N/A")</f>
        <v>N/A</v>
      </c>
      <c r="AA196" s="379" t="str">
        <f ca="1">IFERROR('Segment Analysis'!AA11/'Segment Analysis'!Z11-1,"N/A")</f>
        <v>N/A</v>
      </c>
      <c r="AB196" s="379" t="str">
        <f ca="1">IFERROR('Segment Analysis'!AB11/'Segment Analysis'!AA11-1,"N/A")</f>
        <v>N/A</v>
      </c>
      <c r="AC196" s="379" t="str">
        <f ca="1">IFERROR('Segment Analysis'!AC11/'Segment Analysis'!AB11-1,"N/A")</f>
        <v>N/A</v>
      </c>
      <c r="AD196" s="378"/>
      <c r="AE196" s="378" t="str">
        <f ca="1">IFERROR('Segment Analysis'!AE11/'Segment Analysis'!AD11-1,"N/A")</f>
        <v>N/A</v>
      </c>
      <c r="AF196" s="378" t="str">
        <f ca="1">IFERROR('Segment Analysis'!AF11/'Segment Analysis'!AE11-1,"N/A")</f>
        <v>N/A</v>
      </c>
      <c r="AG196" s="378" t="str">
        <f ca="1">IFERROR('Segment Analysis'!AG11/'Segment Analysis'!AF11-1,"N/A")</f>
        <v>N/A</v>
      </c>
    </row>
    <row r="197" ht="14.25" customHeight="1" spans="1:33" x14ac:dyDescent="0.25">
      <c r="C197" s="139" t="str">
        <f ca="1">'Segment Analysis'!C20</f>
        <v>Segment 5</v>
      </c>
      <c r="D197" s="16"/>
      <c r="E197" s="16"/>
      <c r="F197" s="474"/>
      <c r="G197" s="377" t="str">
        <f ca="1">IFERROR('Segment Analysis'!G12/'Segment Analysis'!F12-1,"N/A")</f>
        <v>N/A</v>
      </c>
      <c r="H197" s="377" t="str">
        <f ca="1">IFERROR('Segment Analysis'!H12/'Segment Analysis'!G12-1,"N/A")</f>
        <v>N/A</v>
      </c>
      <c r="I197" s="377" t="str">
        <f ca="1">IFERROR('Segment Analysis'!I12/'Segment Analysis'!H12-1,"N/A")</f>
        <v>N/A</v>
      </c>
      <c r="J197" s="378"/>
      <c r="K197" s="377" t="str">
        <f ca="1">IFERROR('Segment Analysis'!K12/'Segment Analysis'!I12-1,"N/A")</f>
        <v>N/A</v>
      </c>
      <c r="L197" s="377" t="str">
        <f ca="1">IFERROR('Segment Analysis'!L12/'Segment Analysis'!K12-1,"N/A")</f>
        <v>N/A</v>
      </c>
      <c r="M197" s="377" t="str">
        <f ca="1">IFERROR('Segment Analysis'!M12/'Segment Analysis'!L12-1,"N/A")</f>
        <v>N/A</v>
      </c>
      <c r="N197" s="377" t="str">
        <f ca="1">IFERROR('Segment Analysis'!N12/'Segment Analysis'!M12-1,"N/A")</f>
        <v>N/A</v>
      </c>
      <c r="O197" s="378"/>
      <c r="P197" s="377" t="str">
        <f ca="1">IFERROR('Segment Analysis'!P12/'Segment Analysis'!N12-1,"N/A")</f>
        <v>N/A</v>
      </c>
      <c r="Q197" s="377" t="str">
        <f ca="1">IFERROR('Segment Analysis'!Q12/'Segment Analysis'!P12-1,"N/A")</f>
        <v>N/A</v>
      </c>
      <c r="R197" s="377" t="str">
        <f ca="1">IFERROR('Segment Analysis'!R12/'Segment Analysis'!Q12-1,"N/A")</f>
        <v>N/A</v>
      </c>
      <c r="S197" s="377" t="str">
        <f ca="1">IFERROR('Segment Analysis'!S12/'Segment Analysis'!R12-1,"N/A")</f>
        <v>N/A</v>
      </c>
      <c r="T197" s="378"/>
      <c r="U197" s="377" t="str">
        <f ca="1">IFERROR('Segment Analysis'!U12/'Segment Analysis'!S12-1,"N/A")</f>
        <v>N/A</v>
      </c>
      <c r="V197" s="377" t="str">
        <f ca="1">IFERROR('Segment Analysis'!V12/'Segment Analysis'!U12-1,"N/A")</f>
        <v>N/A</v>
      </c>
      <c r="W197" s="377" t="str">
        <f ca="1">IFERROR('Segment Analysis'!W12/'Segment Analysis'!V12-1,"N/A")</f>
        <v>N/A</v>
      </c>
      <c r="X197" s="379" t="str">
        <f ca="1">IFERROR('Segment Analysis'!X12/'Segment Analysis'!W12-1,"N/A")</f>
        <v>N/A</v>
      </c>
      <c r="Y197" s="378"/>
      <c r="Z197" s="379" t="str">
        <f ca="1">IFERROR('Segment Analysis'!Z12/'Segment Analysis'!X12-1,"N/A")</f>
        <v>N/A</v>
      </c>
      <c r="AA197" s="379" t="str">
        <f ca="1">IFERROR('Segment Analysis'!AA12/'Segment Analysis'!Z12-1,"N/A")</f>
        <v>N/A</v>
      </c>
      <c r="AB197" s="379" t="str">
        <f ca="1">IFERROR('Segment Analysis'!AB12/'Segment Analysis'!AA12-1,"N/A")</f>
        <v>N/A</v>
      </c>
      <c r="AC197" s="379" t="str">
        <f ca="1">IFERROR('Segment Analysis'!AC12/'Segment Analysis'!AB12-1,"N/A")</f>
        <v>N/A</v>
      </c>
      <c r="AD197" s="378"/>
      <c r="AE197" s="378" t="str">
        <f ca="1">IFERROR('Segment Analysis'!AE12/'Segment Analysis'!AD12-1,"N/A")</f>
        <v>N/A</v>
      </c>
      <c r="AF197" s="378" t="str">
        <f ca="1">IFERROR('Segment Analysis'!AF12/'Segment Analysis'!AE12-1,"N/A")</f>
        <v>N/A</v>
      </c>
      <c r="AG197" s="378" t="str">
        <f ca="1">IFERROR('Segment Analysis'!AG12/'Segment Analysis'!AF12-1,"N/A")</f>
        <v>N/A</v>
      </c>
    </row>
    <row r="198" ht="14.25" customHeight="1" spans="1:33" x14ac:dyDescent="0.25">
      <c r="C198" s="139" t="str">
        <f ca="1">'Segment Analysis'!C21</f>
        <v>Segment 6</v>
      </c>
      <c r="D198" s="16"/>
      <c r="E198" s="16"/>
      <c r="F198" s="474"/>
      <c r="G198" s="377" t="str">
        <f ca="1">IFERROR('Segment Analysis'!G13/'Segment Analysis'!F13-1,"N/A")</f>
        <v>N/A</v>
      </c>
      <c r="H198" s="377" t="str">
        <f ca="1">IFERROR('Segment Analysis'!H13/'Segment Analysis'!G13-1,"N/A")</f>
        <v>N/A</v>
      </c>
      <c r="I198" s="377" t="str">
        <f ca="1">IFERROR('Segment Analysis'!I13/'Segment Analysis'!H13-1,"N/A")</f>
        <v>N/A</v>
      </c>
      <c r="J198" s="378"/>
      <c r="K198" s="377" t="str">
        <f ca="1">IFERROR('Segment Analysis'!K13/'Segment Analysis'!I13-1,"N/A")</f>
        <v>N/A</v>
      </c>
      <c r="L198" s="377" t="str">
        <f ca="1">IFERROR('Segment Analysis'!L13/'Segment Analysis'!K13-1,"N/A")</f>
        <v>N/A</v>
      </c>
      <c r="M198" s="377" t="str">
        <f ca="1">IFERROR('Segment Analysis'!M13/'Segment Analysis'!L13-1,"N/A")</f>
        <v>N/A</v>
      </c>
      <c r="N198" s="377" t="str">
        <f ca="1">IFERROR('Segment Analysis'!N13/'Segment Analysis'!M13-1,"N/A")</f>
        <v>N/A</v>
      </c>
      <c r="O198" s="378"/>
      <c r="P198" s="377" t="str">
        <f ca="1">IFERROR('Segment Analysis'!P13/'Segment Analysis'!N13-1,"N/A")</f>
        <v>N/A</v>
      </c>
      <c r="Q198" s="377" t="str">
        <f ca="1">IFERROR('Segment Analysis'!Q13/'Segment Analysis'!P13-1,"N/A")</f>
        <v>N/A</v>
      </c>
      <c r="R198" s="377" t="str">
        <f ca="1">IFERROR('Segment Analysis'!R13/'Segment Analysis'!Q13-1,"N/A")</f>
        <v>N/A</v>
      </c>
      <c r="S198" s="377" t="str">
        <f ca="1">IFERROR('Segment Analysis'!S13/'Segment Analysis'!R13-1,"N/A")</f>
        <v>N/A</v>
      </c>
      <c r="T198" s="378"/>
      <c r="U198" s="377" t="str">
        <f ca="1">IFERROR('Segment Analysis'!U13/'Segment Analysis'!S13-1,"N/A")</f>
        <v>N/A</v>
      </c>
      <c r="V198" s="377" t="str">
        <f ca="1">IFERROR('Segment Analysis'!V13/'Segment Analysis'!U13-1,"N/A")</f>
        <v>N/A</v>
      </c>
      <c r="W198" s="377" t="str">
        <f ca="1">IFERROR('Segment Analysis'!W13/'Segment Analysis'!V13-1,"N/A")</f>
        <v>N/A</v>
      </c>
      <c r="X198" s="379" t="str">
        <f ca="1">IFERROR('Segment Analysis'!X13/'Segment Analysis'!W13-1,"N/A")</f>
        <v>N/A</v>
      </c>
      <c r="Y198" s="378"/>
      <c r="Z198" s="379" t="str">
        <f ca="1">IFERROR('Segment Analysis'!Z13/'Segment Analysis'!X13-1,"N/A")</f>
        <v>N/A</v>
      </c>
      <c r="AA198" s="379" t="str">
        <f ca="1">IFERROR('Segment Analysis'!AA13/'Segment Analysis'!Z13-1,"N/A")</f>
        <v>N/A</v>
      </c>
      <c r="AB198" s="379" t="str">
        <f ca="1">IFERROR('Segment Analysis'!AB13/'Segment Analysis'!AA13-1,"N/A")</f>
        <v>N/A</v>
      </c>
      <c r="AC198" s="379" t="str">
        <f ca="1">IFERROR('Segment Analysis'!AC13/'Segment Analysis'!AB13-1,"N/A")</f>
        <v>N/A</v>
      </c>
      <c r="AD198" s="378"/>
      <c r="AE198" s="378" t="str">
        <f ca="1">IFERROR('Segment Analysis'!AE13/'Segment Analysis'!AD13-1,"N/A")</f>
        <v>N/A</v>
      </c>
      <c r="AF198" s="378" t="str">
        <f ca="1">IFERROR('Segment Analysis'!AF13/'Segment Analysis'!AE13-1,"N/A")</f>
        <v>N/A</v>
      </c>
      <c r="AG198" s="378" t="str">
        <f ca="1">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6" ca="1">C89</f>
        <v>North America</v>
      </c>
      <c r="D200" s="16"/>
      <c r="E200" s="16"/>
      <c r="F200" s="474"/>
      <c r="G200" s="377" t="str">
        <f t="shared" ref="G200:I200" si="157" ca="1">IFERROR(G88/F88-1,"N/A")</f>
        <v>N/A</v>
      </c>
      <c r="H200" s="377" t="str">
        <f ca="1">IFERROR(H88/G88-1,"N/A")</f>
        <v>N/A</v>
      </c>
      <c r="I200" s="377" t="str">
        <f ca="1">IFERROR(I88/H88-1,"N/A")</f>
        <v>N/A</v>
      </c>
      <c r="J200" s="168"/>
      <c r="K200" s="377" t="str">
        <f t="shared" ref="K200:K204" si="158" ca="1">IFERROR(K88/I88-1,"N/A")</f>
        <v>N/A</v>
      </c>
      <c r="L200" s="377" t="str">
        <f t="shared" ref="L200:N200" si="159" ca="1">IFERROR(L88/K88-1,"N/A")</f>
        <v>N/A</v>
      </c>
      <c r="M200" s="377" t="str">
        <f ca="1">IFERROR(M88/L88-1,"N/A")</f>
        <v>N/A</v>
      </c>
      <c r="N200" s="377" t="str">
        <f ca="1">IFERROR(N88/M88-1,"N/A")</f>
        <v>N/A</v>
      </c>
      <c r="O200" s="378"/>
      <c r="P200" s="377" t="str">
        <f t="shared" ref="P200:P204" si="160" ca="1">IFERROR(P88/N88-1,"N/A")</f>
        <v>N/A</v>
      </c>
      <c r="Q200" s="377" t="str">
        <f t="shared" ref="Q200:S200" si="161" ca="1">IFERROR(Q88/P88-1,"N/A")</f>
        <v>N/A</v>
      </c>
      <c r="R200" s="377" t="str">
        <f ca="1">IFERROR(R88/Q88-1,"N/A")</f>
        <v>N/A</v>
      </c>
      <c r="S200" s="377" t="str">
        <f ca="1">IFERROR(S88/R88-1,"N/A")</f>
        <v>N/A</v>
      </c>
      <c r="T200" s="378"/>
      <c r="U200" s="377" t="str">
        <f t="shared" ref="U200:U204" si="162" ca="1">IFERROR(U88/S88-1,"N/A")</f>
        <v>N/A</v>
      </c>
      <c r="V200" s="377" t="str">
        <f t="shared" ref="V200:X200" si="163" ca="1">IFERROR(V88/U88-1,"N/A")</f>
        <v>N/A</v>
      </c>
      <c r="W200" s="377" t="str">
        <f ca="1">IFERROR(W88/V88-1,"N/A")</f>
        <v>N/A</v>
      </c>
      <c r="X200" s="379" t="str">
        <f ca="1">IFERROR(X88/W88-1,"N/A")</f>
        <v>N/A</v>
      </c>
      <c r="Y200" s="378"/>
      <c r="Z200" s="379" t="str">
        <f t="shared" ref="Z200:Z204" si="164" ca="1">IFERROR(Z88/X88-1,"N/A")</f>
        <v>N/A</v>
      </c>
      <c r="AA200" s="379" t="str">
        <f t="shared" ref="AA200:AC200" si="165" ca="1">IFERROR(AA88/Z88-1,"N/A")</f>
        <v>N/A</v>
      </c>
      <c r="AB200" s="379" t="str">
        <f ca="1">IFERROR(AB88/AA88-1,"N/A")</f>
        <v>N/A</v>
      </c>
      <c r="AC200" s="379" t="str">
        <f ca="1">IFERROR(AC88/AB88-1,"N/A")</f>
        <v>N/A</v>
      </c>
      <c r="AD200" s="378"/>
      <c r="AE200" s="378" t="str">
        <f t="shared" ref="AE200:AG200" si="166" ca="1">IFERROR(AE88/AD88-1,"N/A")</f>
        <v>N/A</v>
      </c>
      <c r="AF200" s="378" t="str">
        <f ca="1">IFERROR(AF88/AE88-1,"N/A")</f>
        <v>N/A</v>
      </c>
      <c r="AG200" s="378" t="str">
        <f ca="1">IFERROR(AG88/AF88-1,"N/A")</f>
        <v>N/A</v>
      </c>
    </row>
    <row r="201" ht="14.25" customHeight="1" spans="1:33" x14ac:dyDescent="0.25">
      <c r="C201" s="139" t="str">
        <f ca="1">C90</f>
        <v>Europe</v>
      </c>
      <c r="D201" s="16"/>
      <c r="E201" s="16"/>
      <c r="F201" s="474"/>
      <c r="G201" s="377" t="str">
        <f t="shared" ref="G201:I201" si="167" ca="1">IFERROR(G89/F89-1,"N/A")</f>
        <v>N/A</v>
      </c>
      <c r="H201" s="377" t="str">
        <f ca="1">IFERROR(H89/G89-1,"N/A")</f>
        <v>N/A</v>
      </c>
      <c r="I201" s="377" t="str">
        <f ca="1">IFERROR(I89/H89-1,"N/A")</f>
        <v>N/A</v>
      </c>
      <c r="J201" s="168"/>
      <c r="K201" s="377" t="str">
        <f ca="1">IFERROR(K89/I89-1,"N/A")</f>
        <v>N/A</v>
      </c>
      <c r="L201" s="377" t="str">
        <f t="shared" ref="L201:N201" si="168" ca="1">IFERROR(L89/K89-1,"N/A")</f>
        <v>N/A</v>
      </c>
      <c r="M201" s="377" t="str">
        <f ca="1">IFERROR(M89/L89-1,"N/A")</f>
        <v>N/A</v>
      </c>
      <c r="N201" s="377" t="str">
        <f ca="1">IFERROR(N89/M89-1,"N/A")</f>
        <v>N/A</v>
      </c>
      <c r="O201" s="378"/>
      <c r="P201" s="377" t="str">
        <f ca="1">IFERROR(P89/N89-1,"N/A")</f>
        <v>N/A</v>
      </c>
      <c r="Q201" s="377" t="str">
        <f t="shared" ref="Q201:S201" si="169" ca="1">IFERROR(Q89/P89-1,"N/A")</f>
        <v>N/A</v>
      </c>
      <c r="R201" s="377" t="str">
        <f ca="1">IFERROR(R89/Q89-1,"N/A")</f>
        <v>N/A</v>
      </c>
      <c r="S201" s="377" t="str">
        <f ca="1">IFERROR(S89/R89-1,"N/A")</f>
        <v>N/A</v>
      </c>
      <c r="T201" s="378"/>
      <c r="U201" s="377" t="str">
        <f ca="1">IFERROR(U89/S89-1,"N/A")</f>
        <v>N/A</v>
      </c>
      <c r="V201" s="377" t="str">
        <f t="shared" ref="V201:X201" si="170" ca="1">IFERROR(V89/U89-1,"N/A")</f>
        <v>N/A</v>
      </c>
      <c r="W201" s="377" t="str">
        <f ca="1">IFERROR(W89/V89-1,"N/A")</f>
        <v>N/A</v>
      </c>
      <c r="X201" s="379" t="str">
        <f ca="1">IFERROR(X89/W89-1,"N/A")</f>
        <v>N/A</v>
      </c>
      <c r="Y201" s="378"/>
      <c r="Z201" s="379" t="str">
        <f ca="1">IFERROR(Z89/X89-1,"N/A")</f>
        <v>N/A</v>
      </c>
      <c r="AA201" s="379" t="str">
        <f t="shared" ref="AA201:AC201" si="171" ca="1">IFERROR(AA89/Z89-1,"N/A")</f>
        <v>N/A</v>
      </c>
      <c r="AB201" s="379" t="str">
        <f ca="1">IFERROR(AB89/AA89-1,"N/A")</f>
        <v>N/A</v>
      </c>
      <c r="AC201" s="379" t="str">
        <f ca="1">IFERROR(AC89/AB89-1,"N/A")</f>
        <v>N/A</v>
      </c>
      <c r="AD201" s="378"/>
      <c r="AE201" s="378" t="str">
        <f t="shared" ref="AE201:AG201" si="172" ca="1">IFERROR(AE89/AD89-1,"N/A")</f>
        <v>N/A</v>
      </c>
      <c r="AF201" s="378" t="str">
        <f ca="1">IFERROR(AF89/AE89-1,"N/A")</f>
        <v>N/A</v>
      </c>
      <c r="AG201" s="378" t="str">
        <f ca="1">IFERROR(AG89/AF89-1,"N/A")</f>
        <v>N/A</v>
      </c>
    </row>
    <row r="202" ht="14.25" customHeight="1" spans="1:33" x14ac:dyDescent="0.25">
      <c r="C202" s="139" t="str">
        <f ca="1">C91</f>
        <v>South America</v>
      </c>
      <c r="D202" s="16"/>
      <c r="E202" s="16"/>
      <c r="F202" s="474"/>
      <c r="G202" s="377" t="str">
        <f t="shared" ref="G202:I202" si="173" ca="1">IFERROR(G90/F90-1,"N/A")</f>
        <v>N/A</v>
      </c>
      <c r="H202" s="377" t="str">
        <f ca="1">IFERROR(H90/G90-1,"N/A")</f>
        <v>N/A</v>
      </c>
      <c r="I202" s="377" t="str">
        <f ca="1">IFERROR(I90/H90-1,"N/A")</f>
        <v>N/A</v>
      </c>
      <c r="J202" s="168"/>
      <c r="K202" s="377" t="str">
        <f ca="1">IFERROR(K90/I90-1,"N/A")</f>
        <v>N/A</v>
      </c>
      <c r="L202" s="377" t="str">
        <f t="shared" ref="L202:N202" si="174" ca="1">IFERROR(L90/K90-1,"N/A")</f>
        <v>N/A</v>
      </c>
      <c r="M202" s="377" t="str">
        <f ca="1">IFERROR(M90/L90-1,"N/A")</f>
        <v>N/A</v>
      </c>
      <c r="N202" s="377" t="str">
        <f ca="1">IFERROR(N90/M90-1,"N/A")</f>
        <v>N/A</v>
      </c>
      <c r="O202" s="378"/>
      <c r="P202" s="377" t="str">
        <f ca="1">IFERROR(P90/N90-1,"N/A")</f>
        <v>N/A</v>
      </c>
      <c r="Q202" s="377" t="str">
        <f t="shared" ref="Q202:S202" si="175" ca="1">IFERROR(Q90/P90-1,"N/A")</f>
        <v>N/A</v>
      </c>
      <c r="R202" s="377" t="str">
        <f ca="1">IFERROR(R90/Q90-1,"N/A")</f>
        <v>N/A</v>
      </c>
      <c r="S202" s="377" t="str">
        <f ca="1">IFERROR(S90/R90-1,"N/A")</f>
        <v>N/A</v>
      </c>
      <c r="T202" s="378"/>
      <c r="U202" s="377" t="str">
        <f ca="1">IFERROR(U90/S90-1,"N/A")</f>
        <v>N/A</v>
      </c>
      <c r="V202" s="377" t="str">
        <f t="shared" ref="V202:X202" si="176" ca="1">IFERROR(V90/U90-1,"N/A")</f>
        <v>N/A</v>
      </c>
      <c r="W202" s="377" t="str">
        <f ca="1">IFERROR(W90/V90-1,"N/A")</f>
        <v>N/A</v>
      </c>
      <c r="X202" s="379" t="str">
        <f ca="1">IFERROR(X90/W90-1,"N/A")</f>
        <v>N/A</v>
      </c>
      <c r="Y202" s="378"/>
      <c r="Z202" s="379" t="str">
        <f ca="1">IFERROR(Z90/X90-1,"N/A")</f>
        <v>N/A</v>
      </c>
      <c r="AA202" s="379" t="str">
        <f t="shared" ref="AA202:AC202" si="177" ca="1">IFERROR(AA90/Z90-1,"N/A")</f>
        <v>N/A</v>
      </c>
      <c r="AB202" s="379" t="str">
        <f ca="1">IFERROR(AB90/AA90-1,"N/A")</f>
        <v>N/A</v>
      </c>
      <c r="AC202" s="379" t="str">
        <f ca="1">IFERROR(AC90/AB90-1,"N/A")</f>
        <v>N/A</v>
      </c>
      <c r="AD202" s="378"/>
      <c r="AE202" s="378" t="str">
        <f t="shared" ref="AE202:AG202" si="178" ca="1">IFERROR(AE90/AD90-1,"N/A")</f>
        <v>N/A</v>
      </c>
      <c r="AF202" s="378" t="str">
        <f ca="1">IFERROR(AF90/AE90-1,"N/A")</f>
        <v>N/A</v>
      </c>
      <c r="AG202" s="378" t="str">
        <f ca="1">IFERROR(AG90/AF90-1,"N/A")</f>
        <v>N/A</v>
      </c>
    </row>
    <row r="203" ht="14.25" customHeight="1" spans="1:33" x14ac:dyDescent="0.25">
      <c r="C203" s="139" t="str">
        <f ca="1">C92</f>
        <v>Middle East &amp; Africa</v>
      </c>
      <c r="D203" s="16"/>
      <c r="E203" s="16"/>
      <c r="F203" s="474"/>
      <c r="G203" s="377" t="str">
        <f t="shared" ref="G203:I203" si="179" ca="1">IFERROR(G91/F91-1,"N/A")</f>
        <v>N/A</v>
      </c>
      <c r="H203" s="377" t="str">
        <f ca="1">IFERROR(H91/G91-1,"N/A")</f>
        <v>N/A</v>
      </c>
      <c r="I203" s="377" t="str">
        <f ca="1">IFERROR(I91/H91-1,"N/A")</f>
        <v>N/A</v>
      </c>
      <c r="J203" s="168"/>
      <c r="K203" s="377" t="str">
        <f ca="1">IFERROR(K91/I91-1,"N/A")</f>
        <v>N/A</v>
      </c>
      <c r="L203" s="377" t="str">
        <f t="shared" ref="L203:N203" si="180" ca="1">IFERROR(L91/K91-1,"N/A")</f>
        <v>N/A</v>
      </c>
      <c r="M203" s="377" t="str">
        <f ca="1">IFERROR(M91/L91-1,"N/A")</f>
        <v>N/A</v>
      </c>
      <c r="N203" s="377" t="str">
        <f ca="1">IFERROR(N91/M91-1,"N/A")</f>
        <v>N/A</v>
      </c>
      <c r="O203" s="378"/>
      <c r="P203" s="377" t="str">
        <f ca="1">IFERROR(P91/N91-1,"N/A")</f>
        <v>N/A</v>
      </c>
      <c r="Q203" s="377" t="str">
        <f t="shared" ref="Q203:S203" si="181" ca="1">IFERROR(Q91/P91-1,"N/A")</f>
        <v>N/A</v>
      </c>
      <c r="R203" s="377" t="str">
        <f ca="1">IFERROR(R91/Q91-1,"N/A")</f>
        <v>N/A</v>
      </c>
      <c r="S203" s="377" t="str">
        <f ca="1">IFERROR(S91/R91-1,"N/A")</f>
        <v>N/A</v>
      </c>
      <c r="T203" s="378"/>
      <c r="U203" s="377" t="str">
        <f ca="1">IFERROR(U91/S91-1,"N/A")</f>
        <v>N/A</v>
      </c>
      <c r="V203" s="377" t="str">
        <f t="shared" ref="V203:X203" si="182" ca="1">IFERROR(V91/U91-1,"N/A")</f>
        <v>N/A</v>
      </c>
      <c r="W203" s="377" t="str">
        <f ca="1">IFERROR(W91/V91-1,"N/A")</f>
        <v>N/A</v>
      </c>
      <c r="X203" s="379" t="str">
        <f ca="1">IFERROR(X91/W91-1,"N/A")</f>
        <v>N/A</v>
      </c>
      <c r="Y203" s="378"/>
      <c r="Z203" s="379" t="str">
        <f ca="1">IFERROR(Z91/X91-1,"N/A")</f>
        <v>N/A</v>
      </c>
      <c r="AA203" s="379" t="str">
        <f t="shared" ref="AA203:AC203" si="183" ca="1">IFERROR(AA91/Z91-1,"N/A")</f>
        <v>N/A</v>
      </c>
      <c r="AB203" s="379" t="str">
        <f ca="1">IFERROR(AB91/AA91-1,"N/A")</f>
        <v>N/A</v>
      </c>
      <c r="AC203" s="379" t="str">
        <f ca="1">IFERROR(AC91/AB91-1,"N/A")</f>
        <v>N/A</v>
      </c>
      <c r="AD203" s="378"/>
      <c r="AE203" s="378" t="str">
        <f t="shared" ref="AE203:AG203" si="184" ca="1">IFERROR(AE91/AD91-1,"N/A")</f>
        <v>N/A</v>
      </c>
      <c r="AF203" s="378" t="str">
        <f ca="1">IFERROR(AF91/AE91-1,"N/A")</f>
        <v>N/A</v>
      </c>
      <c r="AG203" s="378" t="str">
        <f ca="1">IFERROR(AG91/AF91-1,"N/A")</f>
        <v>N/A</v>
      </c>
    </row>
    <row r="204" ht="14.25" customHeight="1" spans="1:33" x14ac:dyDescent="0.25">
      <c r="C204" s="139" t="str">
        <f ca="1">C93</f>
        <v>Asia Pacific</v>
      </c>
      <c r="D204" s="16"/>
      <c r="E204" s="16"/>
      <c r="F204" s="474"/>
      <c r="G204" s="377" t="str">
        <f t="shared" ref="G204:I204" si="185" ca="1">IFERROR(G92/F92-1,"N/A")</f>
        <v>N/A</v>
      </c>
      <c r="H204" s="377" t="str">
        <f ca="1">IFERROR(H92/G92-1,"N/A")</f>
        <v>N/A</v>
      </c>
      <c r="I204" s="377" t="str">
        <f ca="1">IFERROR(I92/H92-1,"N/A")</f>
        <v>N/A</v>
      </c>
      <c r="J204" s="168"/>
      <c r="K204" s="377" t="str">
        <f ca="1">IFERROR(K92/I92-1,"N/A")</f>
        <v>N/A</v>
      </c>
      <c r="L204" s="377" t="str">
        <f t="shared" ref="L204:N204" si="186" ca="1">IFERROR(L92/K92-1,"N/A")</f>
        <v>N/A</v>
      </c>
      <c r="M204" s="377" t="str">
        <f ca="1">IFERROR(M92/L92-1,"N/A")</f>
        <v>N/A</v>
      </c>
      <c r="N204" s="377" t="str">
        <f ca="1">IFERROR(N92/M92-1,"N/A")</f>
        <v>N/A</v>
      </c>
      <c r="O204" s="378"/>
      <c r="P204" s="377" t="str">
        <f ca="1">IFERROR(P92/N92-1,"N/A")</f>
        <v>N/A</v>
      </c>
      <c r="Q204" s="377" t="str">
        <f t="shared" ref="Q204:S204" si="187" ca="1">IFERROR(Q92/P92-1,"N/A")</f>
        <v>N/A</v>
      </c>
      <c r="R204" s="377" t="str">
        <f ca="1">IFERROR(R92/Q92-1,"N/A")</f>
        <v>N/A</v>
      </c>
      <c r="S204" s="377" t="str">
        <f ca="1">IFERROR(S92/R92-1,"N/A")</f>
        <v>N/A</v>
      </c>
      <c r="T204" s="378"/>
      <c r="U204" s="377" t="str">
        <f ca="1">IFERROR(U92/S92-1,"N/A")</f>
        <v>N/A</v>
      </c>
      <c r="V204" s="377" t="str">
        <f t="shared" ref="V204:X204" si="188" ca="1">IFERROR(V92/U92-1,"N/A")</f>
        <v>N/A</v>
      </c>
      <c r="W204" s="377" t="str">
        <f ca="1">IFERROR(W92/V92-1,"N/A")</f>
        <v>N/A</v>
      </c>
      <c r="X204" s="379" t="str">
        <f ca="1">IFERROR(X92/W92-1,"N/A")</f>
        <v>N/A</v>
      </c>
      <c r="Y204" s="378"/>
      <c r="Z204" s="379" t="str">
        <f ca="1">IFERROR(Z92/X92-1,"N/A")</f>
        <v>N/A</v>
      </c>
      <c r="AA204" s="379" t="str">
        <f t="shared" ref="AA204:AC204" si="189" ca="1">IFERROR(AA92/Z92-1,"N/A")</f>
        <v>N/A</v>
      </c>
      <c r="AB204" s="379" t="str">
        <f ca="1">IFERROR(AB92/AA92-1,"N/A")</f>
        <v>N/A</v>
      </c>
      <c r="AC204" s="379" t="str">
        <f ca="1">IFERROR(AC92/AB92-1,"N/A")</f>
        <v>N/A</v>
      </c>
      <c r="AD204" s="378"/>
      <c r="AE204" s="378" t="str">
        <f t="shared" ref="AE204:AG204" si="190" ca="1">IFERROR(AE92/AD92-1,"N/A")</f>
        <v>N/A</v>
      </c>
      <c r="AF204" s="378" t="str">
        <f ca="1">IFERROR(AF92/AE92-1,"N/A")</f>
        <v>N/A</v>
      </c>
      <c r="AG204" s="378" t="str">
        <f ca="1">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477</v>
      </c>
      <c r="D206" s="16"/>
      <c r="E206" s="16"/>
      <c r="F206" s="474"/>
      <c r="G206" s="377">
        <f ca="1">IFERROR(Model!G36/Model!F36-1,"N/A")</f>
        <v>0.47645051194539256</v>
      </c>
      <c r="H206" s="377">
        <f ca="1">IFERROR(Model!H36/Model!G36-1,"N/A")</f>
        <v>-0.5575589459084604</v>
      </c>
      <c r="I206" s="377">
        <f ca="1">IFERROR(Model!I36/Model!H36-1,"N/A")</f>
        <v>-1.592476489028213</v>
      </c>
      <c r="J206" s="378"/>
      <c r="K206" s="377">
        <f ca="1">IFERROR(Model!K36/Model!J36-1,"N/A")</f>
        <v>-0.6473369835739173</v>
      </c>
      <c r="L206" s="377">
        <f ca="1">IFERROR(Model!L36/Model!K36-1,"N/A")</f>
        <v>0.6803105151729005</v>
      </c>
      <c r="M206" s="377">
        <f ca="1">IFERROR(Model!M36/Model!L36-1,"N/A")</f>
        <v>-0.34565308693826124</v>
      </c>
      <c r="N206" s="377">
        <f ca="1">IFERROR(Model!N36/Model!M36-1,"N/A")</f>
        <v>-0.38510911424903727</v>
      </c>
      <c r="O206" s="378"/>
      <c r="P206" s="377">
        <f ca="1">IFERROR(Model!P36/Model!O36-1,"N/A")</f>
        <v>-0.6846689895470384</v>
      </c>
      <c r="Q206" s="377">
        <f ca="1">IFERROR(Model!Q36/Model!P36-1,"N/A")</f>
        <v>0.9874434957307885</v>
      </c>
      <c r="R206" s="377">
        <f ca="1">IFERROR(Model!R36/Model!Q36-1,"N/A")</f>
        <v>-0.45034116755117515</v>
      </c>
      <c r="S206" s="377">
        <f ca="1">IFERROR(Model!S36/Model!R36-1,"N/A")</f>
        <v>0.2731034482758621</v>
      </c>
      <c r="T206" s="378"/>
      <c r="U206" s="377">
        <f ca="1">IFERROR(Model!U36/Model!T36-1,"N/A")</f>
        <v>-0.7020749173705472</v>
      </c>
      <c r="V206" s="377">
        <f ca="1">IFERROR(Model!V36/Model!U36-1,"N/A")</f>
        <v>0.29738058551617863</v>
      </c>
      <c r="W206" s="377">
        <f ca="1">IFERROR(Model!W36/Model!V36-1,"N/A")</f>
        <v>-0.3375296912114014</v>
      </c>
      <c r="X206" s="379">
        <f ca="1">IFERROR(Model!X36/Model!W36-1,"N/A")</f>
        <v>-1.8213253854428113</v>
      </c>
      <c r="Y206" s="378"/>
      <c r="Z206" s="379">
        <f ca="1">IFERROR(Model!Z36/Model!Y36-1,"N/A")</f>
        <v>-1.3162967718463863</v>
      </c>
      <c r="AA206" s="379">
        <f ca="1">IFERROR(Model!AA36/Model!Z36-1,"N/A")</f>
        <v>0.06529914989591568</v>
      </c>
      <c r="AB206" s="379">
        <f ca="1">IFERROR(Model!AB36/Model!AA36-1,"N/A")</f>
        <v>0.08943823735200218</v>
      </c>
      <c r="AC206" s="379">
        <f ca="1">IFERROR(Model!AC36/Model!AB36-1,"N/A")</f>
        <v>-0.16936014699085644</v>
      </c>
      <c r="AD206" s="378"/>
      <c r="AE206" s="378">
        <f ca="1">IFERROR(Model!AE36/Model!AD36-1,"N/A")</f>
        <v>-0.09127382024067143</v>
      </c>
      <c r="AF206" s="378">
        <f ca="1">IFERROR(Model!AF36/Model!AE36-1,"N/A")</f>
        <v>-0.03465840151129618</v>
      </c>
      <c r="AG206" s="378">
        <f ca="1">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478</v>
      </c>
      <c r="D208" s="16"/>
      <c r="E208" s="16"/>
      <c r="F208" s="474"/>
      <c r="G208" s="377">
        <f ca="1">IFERROR(Model!G61/Model!F61-1,"N/A")</f>
        <v>0.4679123287671234</v>
      </c>
      <c r="H208" s="377">
        <f ca="1">IFERROR(Model!H61/Model!G61-1,"N/A")</f>
        <v>-0.40281603917967557</v>
      </c>
      <c r="I208" s="377">
        <f ca="1">IFERROR(Model!I61/Model!H61-1,"N/A")</f>
        <v>-0.22626920528559447</v>
      </c>
      <c r="J208" s="378"/>
      <c r="K208" s="377">
        <f ca="1">IFERROR(Model!K61/Model!I61-1,"N/A")</f>
        <v>0.3307724000872492</v>
      </c>
      <c r="L208" s="377">
        <f ca="1">IFERROR(Model!L61/Model!K61-1,"N/A")</f>
        <v>0.6389602190290602</v>
      </c>
      <c r="M208" s="377">
        <f ca="1">IFERROR(Model!M61/Model!L61-1,"N/A")</f>
        <v>-0.2938391960915768</v>
      </c>
      <c r="N208" s="377">
        <f ca="1">IFERROR(Model!N61/Model!M61-1,"N/A")</f>
        <v>-0.2074901652242328</v>
      </c>
      <c r="O208" s="378"/>
      <c r="P208" s="377">
        <f ca="1">IFERROR(Model!P61/Model!N61-1,"N/A")</f>
        <v>0.5385063405077699</v>
      </c>
      <c r="Q208" s="377">
        <f ca="1">IFERROR(Model!Q61/Model!P61-1,"N/A")</f>
        <v>0.8461687373094267</v>
      </c>
      <c r="R208" s="377">
        <f ca="1">IFERROR(Model!R61/Model!Q61-1,"N/A")</f>
        <v>-0.222473103997875</v>
      </c>
      <c r="S208" s="377">
        <f ca="1">IFERROR(Model!S61/Model!R61-1,"N/A")</f>
        <v>-0.05327890960746595</v>
      </c>
      <c r="T208" s="378"/>
      <c r="U208" s="377">
        <f ca="1">IFERROR(Model!U61/Model!S61-1,"N/A")</f>
        <v>0.15099715099715105</v>
      </c>
      <c r="V208" s="377">
        <f ca="1">IFERROR(Model!V61/Model!U61-1,"N/A")</f>
        <v>0.27035203520352025</v>
      </c>
      <c r="W208" s="377">
        <f ca="1">IFERROR(Model!W61/Model!V61-1,"N/A")</f>
        <v>-0.3056938731327127</v>
      </c>
      <c r="X208" s="379" t="str">
        <f ca="1">IFERROR(Model!X61/Model!W61-1,"N/A")</f>
        <v>N/A</v>
      </c>
      <c r="Y208" s="378"/>
      <c r="Z208" s="379" t="str">
        <f ca="1">IFERROR(Model!Z61/Model!X61-1,"N/A")</f>
        <v>N/A</v>
      </c>
      <c r="AA208" s="379" t="str">
        <f ca="1">IFERROR(Model!AA61/Model!Z61-1,"N/A")</f>
        <v>N/A</v>
      </c>
      <c r="AB208" s="379" t="str">
        <f ca="1">IFERROR(Model!AB61/Model!AA61-1,"N/A")</f>
        <v>N/A</v>
      </c>
      <c r="AC208" s="379" t="str">
        <f ca="1">IFERROR(Model!AC61/Model!AB61-1,"N/A")</f>
        <v>N/A</v>
      </c>
      <c r="AD208" s="378"/>
      <c r="AE208" s="378" t="str">
        <f ca="1">IFERROR(Model!AE61/Model!AD61-1,"N/A")</f>
        <v>N/A</v>
      </c>
      <c r="AF208" s="378" t="str">
        <f ca="1">IFERROR(Model!AF61/Model!AE61-1,"N/A")</f>
        <v>N/A</v>
      </c>
      <c r="AG208" s="378" t="str">
        <f ca="1">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 ca="1">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480</v>
      </c>
      <c r="D4" s="373"/>
      <c r="E4" s="373"/>
      <c r="F4" s="351" t="str">
        <f ca="1">Model!F$25</f>
        <v>1Q23</v>
      </c>
      <c r="G4" s="194" t="str">
        <f ca="1">Model!G$25</f>
        <v>2Q23</v>
      </c>
      <c r="H4" s="194" t="str">
        <f ca="1">Model!H$25</f>
        <v>3Q23</v>
      </c>
      <c r="I4" s="194" t="str">
        <f ca="1">Model!I$25</f>
        <v>4Q23</v>
      </c>
      <c r="J4" s="194">
        <f ca="1">Model!J$25</f>
        <v>2023</v>
      </c>
      <c r="K4" s="194" t="str">
        <f ca="1">Model!K$25</f>
        <v>1Q24</v>
      </c>
      <c r="L4" s="194" t="str">
        <f ca="1">Model!L$25</f>
        <v>2Q24</v>
      </c>
      <c r="M4" s="194" t="str">
        <f ca="1">Model!M$25</f>
        <v>3Q24</v>
      </c>
      <c r="N4" s="194" t="str">
        <f ca="1">Model!N$25</f>
        <v>4Q24</v>
      </c>
      <c r="O4" s="194">
        <f ca="1">Model!O$25</f>
        <v>2024</v>
      </c>
      <c r="P4" s="194" t="str">
        <f ca="1">Model!P$25</f>
        <v>1Q25</v>
      </c>
      <c r="Q4" s="194" t="str">
        <f ca="1">Model!Q$25</f>
        <v>2Q25</v>
      </c>
      <c r="R4" s="194" t="str">
        <f ca="1">Model!R$25</f>
        <v>3Q25</v>
      </c>
      <c r="S4" s="194" t="str">
        <f ca="1">Model!S$25</f>
        <v>4Q25</v>
      </c>
      <c r="T4" s="194">
        <f ca="1">Model!T$25</f>
        <v>2025</v>
      </c>
      <c r="U4" s="194" t="str">
        <f ca="1">Model!U$25</f>
        <v>1Q26</v>
      </c>
      <c r="V4" s="194" t="str">
        <f ca="1">Model!V$25</f>
        <v>2Q26</v>
      </c>
      <c r="W4" s="194" t="str">
        <f ca="1">Model!W$25</f>
        <v>3Q26e</v>
      </c>
      <c r="X4" s="194" t="str">
        <f ca="1">Model!X$25</f>
        <v>4Q26e</v>
      </c>
      <c r="Y4" s="194" t="str">
        <f ca="1">Model!Y$25</f>
        <v>2026e</v>
      </c>
      <c r="Z4" s="194" t="str">
        <f ca="1">Model!Z$25</f>
        <v>1Q27e</v>
      </c>
      <c r="AA4" s="194" t="str">
        <f ca="1">Model!AA$25</f>
        <v>2Q27e</v>
      </c>
      <c r="AB4" s="194" t="str">
        <f ca="1">Model!AB$25</f>
        <v>3Q27e</v>
      </c>
      <c r="AC4" s="194" t="str">
        <f ca="1">Model!AC$25</f>
        <v>4Q27e</v>
      </c>
      <c r="AD4" s="194" t="str">
        <f ca="1">Model!AD$25</f>
        <v>2027e</v>
      </c>
      <c r="AE4" s="194" t="str">
        <f ca="1">Model!AE$25</f>
        <v>2028e</v>
      </c>
      <c r="AF4" s="194" t="str">
        <f ca="1">Model!AF$25</f>
        <v>2029e</v>
      </c>
      <c r="AG4" s="352" t="str">
        <f ca="1">Model!AG$25</f>
        <v>2030e</v>
      </c>
      <c r="AH4" s="264" t="s">
        <v>1</v>
      </c>
      <c r="AI4" s="264"/>
    </row>
    <row r="5" ht="12.75" customHeight="1" spans="1:35" x14ac:dyDescent="0.25">
      <c r="A5" s="264"/>
      <c r="B5" s="16"/>
      <c r="C5" s="507" t="str">
        <f ca="1">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 ca="1">IF($C$5="Operating Margins",'Segment Analysis'!C16,"Total Company")</f>
        <v>Total Company</v>
      </c>
      <c r="D7" s="16"/>
      <c r="E7" s="16"/>
      <c r="F7" s="377">
        <f ca="1">IF($C$5="Operating Margins",'Segment Analysis'!F155,Model!F66)</f>
        <v>0.34631336405529956</v>
      </c>
      <c r="G7" s="377">
        <f ca="1">IF($C$5="Operating Margins",'Segment Analysis'!G155,Model!G66)</f>
        <v>0.34464764458062047</v>
      </c>
      <c r="H7" s="377">
        <f ca="1">IF($C$5="Operating Margins",'Segment Analysis'!H155,Model!H66)</f>
        <v>0.32500717772035603</v>
      </c>
      <c r="I7" s="377">
        <f ca="1">IF($C$5="Operating Margins",'Segment Analysis'!I155,Model!I66)</f>
        <v>0.2580212194810175</v>
      </c>
      <c r="J7" s="378">
        <f ca="1">IF($C$5="Operating Margins",'Segment Analysis'!J155,Model!J66)</f>
        <v>0.3212497721185264</v>
      </c>
      <c r="K7" s="377">
        <f ca="1">IF($C$5="Operating Margins",'Segment Analysis'!K155,Model!K66)</f>
        <v>0.314582041598557</v>
      </c>
      <c r="L7" s="377">
        <f ca="1">IF($C$5="Operating Margins",'Segment Analysis'!L155,Model!L66)</f>
        <v>0.3210746951219512</v>
      </c>
      <c r="M7" s="377">
        <f ca="1">IF($C$5="Operating Margins",'Segment Analysis'!M155,Model!M66)</f>
        <v>0.3243616287094548</v>
      </c>
      <c r="N7" s="377">
        <f ca="1">IF($C$5="Operating Margins",'Segment Analysis'!N155,Model!N66)</f>
        <v>0.31085043988269795</v>
      </c>
      <c r="O7" s="378">
        <f ca="1">IF($C$5="Operating Margins",'Segment Analysis'!O155,Model!O66)</f>
        <v>0.3179991129345235</v>
      </c>
      <c r="P7" s="377">
        <f ca="1">IF($C$5="Operating Margins",'Segment Analysis'!P155,Model!P66)</f>
        <v>0.3310292249047014</v>
      </c>
      <c r="Q7" s="377">
        <f ca="1">IF($C$5="Operating Margins",'Segment Analysis'!Q155,Model!Q66)</f>
        <v>0.3407808951725148</v>
      </c>
      <c r="R7" s="377">
        <f ca="1">IF($C$5="Operating Margins",'Segment Analysis'!R155,Model!R66)</f>
        <v>0.3272221973194675</v>
      </c>
      <c r="S7" s="377">
        <f ca="1">IF($C$5="Operating Margins",'Segment Analysis'!S155,Model!S66)</f>
        <v>0.31834966274432575</v>
      </c>
      <c r="T7" s="378">
        <f ca="1">IF($C$5="Operating Margins",'Segment Analysis'!T155,Model!T66)</f>
        <v>0.3301784657968459</v>
      </c>
      <c r="U7" s="377">
        <f ca="1">IF($C$5="Operating Margins",'Segment Analysis'!U155,Model!U66)</f>
        <v>0.3328965686675948</v>
      </c>
      <c r="V7" s="377">
        <f ca="1">IF($C$5="Operating Margins",'Segment Analysis'!V155,Model!V66)</f>
        <v>0.33775843307943415</v>
      </c>
      <c r="W7" s="377">
        <f ca="1">IF($C$5="Operating Margins",'Segment Analysis'!W155,Model!W66)</f>
        <v>0.33104982982808273</v>
      </c>
      <c r="X7" s="379">
        <f ca="1">IF(Case_Scenario="Bull",X8,IF(Case_Scenario="Base",X9,IF(Case_Scenario="bear",X10,"N/A")))</f>
        <v>0.13</v>
      </c>
      <c r="Y7" s="378">
        <f ca="1">IF($C$5="Operating Margins",'Segment Analysis'!Y155,Model!Y66)</f>
        <v>0.28815440500361494</v>
      </c>
      <c r="Z7" s="379">
        <f ca="1">IF(Case_Scenario="Bull",Z8,IF(Case_Scenario="Base",Z9,IF(Case_Scenario="bear",Z10,"N/A")))</f>
        <v>0.14</v>
      </c>
      <c r="AA7" s="379">
        <f ca="1">IF(Case_Scenario="Bull",AA8,IF(Case_Scenario="Base",AA9,IF(Case_Scenario="bear",AA10,"N/A")))</f>
        <v>0.145</v>
      </c>
      <c r="AB7" s="379">
        <f ca="1">IF(Case_Scenario="Bull",AB8,IF(Case_Scenario="Base",AB9,IF(Case_Scenario="bear",AB10,"N/A")))</f>
        <v>0.12</v>
      </c>
      <c r="AC7" s="379">
        <f ca="1">IF(Case_Scenario="Bull",AC8,IF(Case_Scenario="Base",AC9,IF(Case_Scenario="bear",AC10,"N/A")))</f>
        <v>0.135</v>
      </c>
      <c r="AD7" s="378">
        <f ca="1">IF($C$5="Operating Margins",'Segment Analysis'!AD155,Model!AD66)</f>
        <v>0.13533005878561802</v>
      </c>
      <c r="AE7" s="378">
        <f ca="1">IF(Case_Scenario="Bull",AE8,IF(Case_Scenario="Base",AE9,IF(Case_Scenario="bear",AE10,"N/A")))</f>
        <v>0.139</v>
      </c>
      <c r="AF7" s="378">
        <f ca="1">IF(Case_Scenario="Bull",AF8,IF(Case_Scenario="Base",AF9,IF(Case_Scenario="bear",AF10,"N/A")))</f>
        <v>0.14</v>
      </c>
      <c r="AG7" s="378">
        <f ca="1">IF(Case_Scenario="Bull",AG8,IF(Case_Scenario="Base",AG9,IF(Case_Scenario="bear",AG10,"N/A")))</f>
        <v>0.142</v>
      </c>
      <c r="AH7" s="16"/>
      <c r="AI7" s="16"/>
    </row>
    <row r="8" ht="12.75" customHeight="1" spans="1:35" x14ac:dyDescent="0.25">
      <c r="A8" s="16"/>
      <c r="B8" s="16"/>
      <c r="C8" s="139" t="str">
        <f ca="1">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 ca="1">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 ca="1">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 ca="1">IF($C$5="Operating Margins",'Segment Analysis'!C17,"")</f>
        <v/>
      </c>
      <c r="D12" s="16"/>
      <c r="E12" s="16"/>
      <c r="F12" s="377" t="str">
        <f ca="1">'Segment Analysis'!F156</f>
        <v>N/A</v>
      </c>
      <c r="G12" s="377" t="str">
        <f ca="1">'Segment Analysis'!G156</f>
        <v>N/A</v>
      </c>
      <c r="H12" s="377" t="str">
        <f ca="1">'Segment Analysis'!H156</f>
        <v>N/A</v>
      </c>
      <c r="I12" s="377" t="str">
        <f ca="1">'Segment Analysis'!I156</f>
        <v>N/A</v>
      </c>
      <c r="J12" s="378" t="str">
        <f ca="1">'Segment Analysis'!J156</f>
        <v>N/A</v>
      </c>
      <c r="K12" s="377" t="str">
        <f ca="1">'Segment Analysis'!K156</f>
        <v>N/A</v>
      </c>
      <c r="L12" s="377" t="str">
        <f ca="1">'Segment Analysis'!L156</f>
        <v>N/A</v>
      </c>
      <c r="M12" s="377" t="str">
        <f ca="1">'Segment Analysis'!M156</f>
        <v>N/A</v>
      </c>
      <c r="N12" s="377" t="str">
        <f ca="1">'Segment Analysis'!N156</f>
        <v>N/A</v>
      </c>
      <c r="O12" s="378" t="str">
        <f ca="1">'Segment Analysis'!O156</f>
        <v>N/A</v>
      </c>
      <c r="P12" s="377" t="str">
        <f ca="1">'Segment Analysis'!P156</f>
        <v>N/A</v>
      </c>
      <c r="Q12" s="377" t="str">
        <f ca="1">'Segment Analysis'!Q156</f>
        <v>N/A</v>
      </c>
      <c r="R12" s="377" t="str">
        <f ca="1">'Segment Analysis'!R156</f>
        <v>N/A</v>
      </c>
      <c r="S12" s="377" t="str">
        <f ca="1">'Segment Analysis'!S156</f>
        <v>N/A</v>
      </c>
      <c r="T12" s="378" t="str">
        <f ca="1">'Segment Analysis'!T156</f>
        <v>N/A</v>
      </c>
      <c r="U12" s="377" t="str">
        <f ca="1">'Segment Analysis'!U156</f>
        <v>N/A</v>
      </c>
      <c r="V12" s="377" t="str">
        <f ca="1">'Segment Analysis'!V156</f>
        <v>N/A</v>
      </c>
      <c r="W12" s="377" t="str">
        <f ca="1">'Segment Analysis'!W156</f>
        <v>N/A</v>
      </c>
      <c r="X12" s="379">
        <f ca="1">IF(Case_Scenario="Bull",X13,IF(Case_Scenario="Base",X14,IF(Case_Scenario="bear",X15,"N/A")))</f>
        <v>0.13</v>
      </c>
      <c r="Y12" s="378" t="str">
        <f ca="1">'Segment Analysis'!Y156</f>
        <v>N/A</v>
      </c>
      <c r="Z12" s="379">
        <f ca="1">IF(Case_Scenario="Bull",Z13,IF(Case_Scenario="Base",Z14,IF(Case_Scenario="bear",Z15,"N/A")))</f>
        <v>0.14</v>
      </c>
      <c r="AA12" s="379">
        <f ca="1">IF(Case_Scenario="Bull",AA13,IF(Case_Scenario="Base",AA14,IF(Case_Scenario="bear",AA15,"N/A")))</f>
        <v>0.145</v>
      </c>
      <c r="AB12" s="379">
        <f ca="1">IF(Case_Scenario="Bull",AB13,IF(Case_Scenario="Base",AB14,IF(Case_Scenario="bear",AB15,"N/A")))</f>
        <v>0.12</v>
      </c>
      <c r="AC12" s="379">
        <f ca="1">IF(Case_Scenario="Bull",AC13,IF(Case_Scenario="Base",AC14,IF(Case_Scenario="bear",AC15,"N/A")))</f>
        <v>0.135</v>
      </c>
      <c r="AD12" s="378" t="str">
        <f ca="1">'Segment Analysis'!AD156</f>
        <v>N/A</v>
      </c>
      <c r="AE12" s="378">
        <f ca="1">IF(Case_Scenario="Bull",AE13,IF(Case_Scenario="Base",AE14,IF(Case_Scenario="bear",AE15,"N/A")))</f>
        <v>0.139</v>
      </c>
      <c r="AF12" s="378">
        <f ca="1">IF(Case_Scenario="Bull",AF13,IF(Case_Scenario="Base",AF14,IF(Case_Scenario="bear",AF15,"N/A")))</f>
        <v>0.14</v>
      </c>
      <c r="AG12" s="378">
        <f ca="1">IF(Case_Scenario="Bull",AG13,IF(Case_Scenario="Base",AG14,IF(Case_Scenario="bear",AG15,"N/A")))</f>
        <v>0.142</v>
      </c>
      <c r="AH12" s="264" t="s">
        <v>1</v>
      </c>
      <c r="AI12" s="264"/>
    </row>
    <row r="13" ht="12.75" customHeight="1" spans="1:35" x14ac:dyDescent="0.25">
      <c r="A13" s="16"/>
      <c r="B13" s="16"/>
      <c r="C13" s="139" t="str">
        <f ca="1">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 ca="1">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 ca="1">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 ca="1">IF($C$5="Operating Margins",'Segment Analysis'!C18,"")</f>
        <v/>
      </c>
      <c r="D17" s="16"/>
      <c r="E17" s="16"/>
      <c r="F17" s="377" t="str">
        <f ca="1">'Segment Analysis'!F157</f>
        <v>N/A</v>
      </c>
      <c r="G17" s="377" t="str">
        <f ca="1">'Segment Analysis'!G157</f>
        <v>N/A</v>
      </c>
      <c r="H17" s="377" t="str">
        <f ca="1">'Segment Analysis'!H157</f>
        <v>N/A</v>
      </c>
      <c r="I17" s="377" t="str">
        <f ca="1">'Segment Analysis'!I157</f>
        <v>N/A</v>
      </c>
      <c r="J17" s="378" t="str">
        <f ca="1">'Segment Analysis'!J157</f>
        <v>N/A</v>
      </c>
      <c r="K17" s="377" t="str">
        <f ca="1">'Segment Analysis'!K157</f>
        <v>N/A</v>
      </c>
      <c r="L17" s="377" t="str">
        <f ca="1">'Segment Analysis'!L157</f>
        <v>N/A</v>
      </c>
      <c r="M17" s="377" t="str">
        <f ca="1">'Segment Analysis'!M157</f>
        <v>N/A</v>
      </c>
      <c r="N17" s="377" t="str">
        <f ca="1">'Segment Analysis'!N157</f>
        <v>N/A</v>
      </c>
      <c r="O17" s="378" t="str">
        <f ca="1">'Segment Analysis'!O157</f>
        <v>N/A</v>
      </c>
      <c r="P17" s="377" t="str">
        <f ca="1">'Segment Analysis'!P157</f>
        <v>N/A</v>
      </c>
      <c r="Q17" s="377" t="str">
        <f ca="1">'Segment Analysis'!Q157</f>
        <v>N/A</v>
      </c>
      <c r="R17" s="377" t="str">
        <f ca="1">'Segment Analysis'!R157</f>
        <v>N/A</v>
      </c>
      <c r="S17" s="377" t="str">
        <f ca="1">'Segment Analysis'!S157</f>
        <v>N/A</v>
      </c>
      <c r="T17" s="378" t="str">
        <f ca="1">'Segment Analysis'!T157</f>
        <v>N/A</v>
      </c>
      <c r="U17" s="377" t="str">
        <f ca="1">'Segment Analysis'!U157</f>
        <v>N/A</v>
      </c>
      <c r="V17" s="377" t="str">
        <f ca="1">'Segment Analysis'!V157</f>
        <v>N/A</v>
      </c>
      <c r="W17" s="377" t="str">
        <f ca="1">'Segment Analysis'!W157</f>
        <v>N/A</v>
      </c>
      <c r="X17" s="379">
        <f ca="1">IF(Case_Scenario="Bull",X18,IF(Case_Scenario="Base",X19,IF(Case_Scenario="bear",X20,"N/A")))</f>
        <v>0.13</v>
      </c>
      <c r="Y17" s="378" t="str">
        <f ca="1">'Segment Analysis'!Y157</f>
        <v>N/A</v>
      </c>
      <c r="Z17" s="379">
        <f ca="1">IF(Case_Scenario="Bull",Z18,IF(Case_Scenario="Base",Z19,IF(Case_Scenario="bear",Z20,"N/A")))</f>
        <v>0.14</v>
      </c>
      <c r="AA17" s="379">
        <f ca="1">IF(Case_Scenario="Bull",AA18,IF(Case_Scenario="Base",AA19,IF(Case_Scenario="bear",AA20,"N/A")))</f>
        <v>0.145</v>
      </c>
      <c r="AB17" s="379">
        <f ca="1">IF(Case_Scenario="Bull",AB18,IF(Case_Scenario="Base",AB19,IF(Case_Scenario="bear",AB20,"N/A")))</f>
        <v>0.12</v>
      </c>
      <c r="AC17" s="379">
        <f ca="1">IF(Case_Scenario="Bull",AC18,IF(Case_Scenario="Base",AC19,IF(Case_Scenario="bear",AC20,"N/A")))</f>
        <v>0.135</v>
      </c>
      <c r="AD17" s="378" t="str">
        <f ca="1">'Segment Analysis'!AD157</f>
        <v>N/A</v>
      </c>
      <c r="AE17" s="378">
        <f ca="1">IF(Case_Scenario="Bull",AE18,IF(Case_Scenario="Base",AE19,IF(Case_Scenario="bear",AE20,"N/A")))</f>
        <v>0.139</v>
      </c>
      <c r="AF17" s="378">
        <f ca="1">IF(Case_Scenario="Bull",AF18,IF(Case_Scenario="Base",AF19,IF(Case_Scenario="bear",AF20,"N/A")))</f>
        <v>0.14</v>
      </c>
      <c r="AG17" s="378">
        <f ca="1">IF(Case_Scenario="Bull",AG18,IF(Case_Scenario="Base",AG19,IF(Case_Scenario="bear",AG20,"N/A")))</f>
        <v>0.142</v>
      </c>
      <c r="AH17" s="16"/>
      <c r="AI17" s="16"/>
    </row>
    <row r="18" ht="12.75" customHeight="1" spans="1:35" x14ac:dyDescent="0.25">
      <c r="A18" s="16"/>
      <c r="B18" s="16"/>
      <c r="C18" s="139" t="str">
        <f ca="1">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 ca="1">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 ca="1">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 ca="1">IF($C$5="Operating Margins",'Segment Analysis'!C19,"")</f>
        <v/>
      </c>
      <c r="D22" s="16"/>
      <c r="E22" s="16"/>
      <c r="F22" s="377" t="str">
        <f ca="1">'Segment Analysis'!F158</f>
        <v>N/A</v>
      </c>
      <c r="G22" s="377" t="str">
        <f ca="1">'Segment Analysis'!G158</f>
        <v>N/A</v>
      </c>
      <c r="H22" s="377" t="str">
        <f ca="1">'Segment Analysis'!H158</f>
        <v>N/A</v>
      </c>
      <c r="I22" s="377" t="str">
        <f ca="1">'Segment Analysis'!I158</f>
        <v>N/A</v>
      </c>
      <c r="J22" s="378" t="str">
        <f ca="1">'Segment Analysis'!J158</f>
        <v>N/A</v>
      </c>
      <c r="K22" s="377" t="str">
        <f ca="1">'Segment Analysis'!K158</f>
        <v>N/A</v>
      </c>
      <c r="L22" s="377" t="str">
        <f ca="1">'Segment Analysis'!L158</f>
        <v>N/A</v>
      </c>
      <c r="M22" s="377" t="str">
        <f ca="1">'Segment Analysis'!M158</f>
        <v>N/A</v>
      </c>
      <c r="N22" s="377" t="str">
        <f ca="1">'Segment Analysis'!N158</f>
        <v>N/A</v>
      </c>
      <c r="O22" s="378" t="str">
        <f ca="1">'Segment Analysis'!O158</f>
        <v>N/A</v>
      </c>
      <c r="P22" s="377" t="str">
        <f ca="1">'Segment Analysis'!P158</f>
        <v>N/A</v>
      </c>
      <c r="Q22" s="377" t="str">
        <f ca="1">'Segment Analysis'!Q158</f>
        <v>N/A</v>
      </c>
      <c r="R22" s="377" t="str">
        <f ca="1">'Segment Analysis'!R158</f>
        <v>N/A</v>
      </c>
      <c r="S22" s="377" t="str">
        <f ca="1">'Segment Analysis'!S158</f>
        <v>N/A</v>
      </c>
      <c r="T22" s="378" t="str">
        <f ca="1">'Segment Analysis'!T158</f>
        <v>N/A</v>
      </c>
      <c r="U22" s="377" t="str">
        <f ca="1">'Segment Analysis'!U158</f>
        <v>N/A</v>
      </c>
      <c r="V22" s="377" t="str">
        <f ca="1">'Segment Analysis'!V158</f>
        <v>N/A</v>
      </c>
      <c r="W22" s="377" t="str">
        <f ca="1">'Segment Analysis'!W158</f>
        <v>N/A</v>
      </c>
      <c r="X22" s="379">
        <f ca="1">IF(Case_Scenario="Bull",X23,IF(Case_Scenario="Base",X24,IF(Case_Scenario="bear",X25,"N/A")))</f>
        <v>0.13</v>
      </c>
      <c r="Y22" s="378" t="str">
        <f ca="1">'Segment Analysis'!Y158</f>
        <v>N/A</v>
      </c>
      <c r="Z22" s="379">
        <f ca="1">IF(Case_Scenario="Bull",Z23,IF(Case_Scenario="Base",Z24,IF(Case_Scenario="bear",Z25,"N/A")))</f>
        <v>0.14</v>
      </c>
      <c r="AA22" s="379">
        <f ca="1">IF(Case_Scenario="Bull",AA23,IF(Case_Scenario="Base",AA24,IF(Case_Scenario="bear",AA25,"N/A")))</f>
        <v>0.145</v>
      </c>
      <c r="AB22" s="379">
        <f ca="1">IF(Case_Scenario="Bull",AB23,IF(Case_Scenario="Base",AB24,IF(Case_Scenario="bear",AB25,"N/A")))</f>
        <v>0.12</v>
      </c>
      <c r="AC22" s="379">
        <f ca="1">IF(Case_Scenario="Bull",AC23,IF(Case_Scenario="Base",AC24,IF(Case_Scenario="bear",AC25,"N/A")))</f>
        <v>0.135</v>
      </c>
      <c r="AD22" s="378" t="str">
        <f ca="1">'Segment Analysis'!AD158</f>
        <v>N/A</v>
      </c>
      <c r="AE22" s="378">
        <f ca="1">IF(Case_Scenario="Bull",AE23,IF(Case_Scenario="Base",AE24,IF(Case_Scenario="bear",AE25,"N/A")))</f>
        <v>0.139</v>
      </c>
      <c r="AF22" s="378">
        <f ca="1">IF(Case_Scenario="Bull",AF23,IF(Case_Scenario="Base",AF24,IF(Case_Scenario="bear",AF25,"N/A")))</f>
        <v>0.14</v>
      </c>
      <c r="AG22" s="378">
        <f ca="1">IF(Case_Scenario="Bull",AG23,IF(Case_Scenario="Base",AG24,IF(Case_Scenario="bear",AG25,"N/A")))</f>
        <v>0.142</v>
      </c>
      <c r="AH22" s="16"/>
      <c r="AI22" s="16"/>
    </row>
    <row r="23" ht="12.75" customHeight="1" spans="1:35" x14ac:dyDescent="0.25">
      <c r="A23" s="16"/>
      <c r="B23" s="16"/>
      <c r="C23" s="139" t="str">
        <f ca="1">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 ca="1">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 ca="1">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 ca="1">IF($C$5="Operating Margins",'Segment Analysis'!C20,"")</f>
        <v/>
      </c>
      <c r="D27" s="16"/>
      <c r="E27" s="16"/>
      <c r="F27" s="377" t="str">
        <f ca="1">'Segment Analysis'!F159</f>
        <v>N/A</v>
      </c>
      <c r="G27" s="377" t="str">
        <f ca="1">'Segment Analysis'!G159</f>
        <v>N/A</v>
      </c>
      <c r="H27" s="377" t="str">
        <f ca="1">'Segment Analysis'!H159</f>
        <v>N/A</v>
      </c>
      <c r="I27" s="377" t="str">
        <f ca="1">'Segment Analysis'!I159</f>
        <v>N/A</v>
      </c>
      <c r="J27" s="378" t="str">
        <f ca="1">'Segment Analysis'!J159</f>
        <v>N/A</v>
      </c>
      <c r="K27" s="377" t="str">
        <f ca="1">'Segment Analysis'!K159</f>
        <v>N/A</v>
      </c>
      <c r="L27" s="377" t="str">
        <f ca="1">'Segment Analysis'!L159</f>
        <v>N/A</v>
      </c>
      <c r="M27" s="377" t="str">
        <f ca="1">'Segment Analysis'!M159</f>
        <v>N/A</v>
      </c>
      <c r="N27" s="377" t="str">
        <f ca="1">'Segment Analysis'!N159</f>
        <v>N/A</v>
      </c>
      <c r="O27" s="378" t="str">
        <f ca="1">'Segment Analysis'!O159</f>
        <v>N/A</v>
      </c>
      <c r="P27" s="377" t="str">
        <f ca="1">'Segment Analysis'!P159</f>
        <v>N/A</v>
      </c>
      <c r="Q27" s="377" t="str">
        <f ca="1">'Segment Analysis'!Q159</f>
        <v>N/A</v>
      </c>
      <c r="R27" s="377" t="str">
        <f ca="1">'Segment Analysis'!R159</f>
        <v>N/A</v>
      </c>
      <c r="S27" s="377" t="str">
        <f ca="1">'Segment Analysis'!S159</f>
        <v>N/A</v>
      </c>
      <c r="T27" s="378" t="str">
        <f ca="1">'Segment Analysis'!T159</f>
        <v>N/A</v>
      </c>
      <c r="U27" s="377" t="str">
        <f ca="1">'Segment Analysis'!U159</f>
        <v>N/A</v>
      </c>
      <c r="V27" s="377" t="str">
        <f ca="1">'Segment Analysis'!V159</f>
        <v>N/A</v>
      </c>
      <c r="W27" s="377" t="str">
        <f ca="1">'Segment Analysis'!W159</f>
        <v>N/A</v>
      </c>
      <c r="X27" s="379">
        <f ca="1">IF(Case_Scenario="Bull",X28,IF(Case_Scenario="Base",X29,IF(Case_Scenario="bear",X30,"N/A")))</f>
        <v>0.13</v>
      </c>
      <c r="Y27" s="378" t="str">
        <f ca="1">'Segment Analysis'!Y159</f>
        <v>N/A</v>
      </c>
      <c r="Z27" s="379">
        <f ca="1">IF(Case_Scenario="Bull",Z28,IF(Case_Scenario="Base",Z29,IF(Case_Scenario="bear",Z30,"N/A")))</f>
        <v>0.14</v>
      </c>
      <c r="AA27" s="379">
        <f ca="1">IF(Case_Scenario="Bull",AA28,IF(Case_Scenario="Base",AA29,IF(Case_Scenario="bear",AA30,"N/A")))</f>
        <v>0.145</v>
      </c>
      <c r="AB27" s="379">
        <f ca="1">IF(Case_Scenario="Bull",AB28,IF(Case_Scenario="Base",AB29,IF(Case_Scenario="bear",AB30,"N/A")))</f>
        <v>0.12</v>
      </c>
      <c r="AC27" s="379">
        <f ca="1">IF(Case_Scenario="Bull",AC28,IF(Case_Scenario="Base",AC29,IF(Case_Scenario="bear",AC30,"N/A")))</f>
        <v>0.135</v>
      </c>
      <c r="AD27" s="378" t="str">
        <f ca="1">'Segment Analysis'!AD159</f>
        <v>N/A</v>
      </c>
      <c r="AE27" s="378">
        <f ca="1">IF(Case_Scenario="Bull",AE28,IF(Case_Scenario="Base",AE29,IF(Case_Scenario="bear",AE30,"N/A")))</f>
        <v>0.139</v>
      </c>
      <c r="AF27" s="378">
        <f ca="1">IF(Case_Scenario="Bull",AF28,IF(Case_Scenario="Base",AF29,IF(Case_Scenario="bear",AF30,"N/A")))</f>
        <v>0.14</v>
      </c>
      <c r="AG27" s="378">
        <f ca="1">IF(Case_Scenario="Bull",AG28,IF(Case_Scenario="Base",AG29,IF(Case_Scenario="bear",AG30,"N/A")))</f>
        <v>0.142</v>
      </c>
      <c r="AH27" s="16"/>
      <c r="AI27" s="16"/>
    </row>
    <row r="28" ht="12.75" customHeight="1" spans="1:35" x14ac:dyDescent="0.25">
      <c r="A28" s="16"/>
      <c r="B28" s="16"/>
      <c r="C28" s="139" t="str">
        <f ca="1">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 ca="1">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 ca="1">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 ca="1">IF($C$5="Operating Margins",'Segment Analysis'!C21,"")</f>
        <v/>
      </c>
      <c r="D32" s="16"/>
      <c r="E32" s="16"/>
      <c r="F32" s="377" t="str">
        <f ca="1">'Segment Analysis'!F160</f>
        <v>N/A</v>
      </c>
      <c r="G32" s="377" t="str">
        <f ca="1">'Segment Analysis'!G160</f>
        <v>N/A</v>
      </c>
      <c r="H32" s="377" t="str">
        <f ca="1">'Segment Analysis'!H160</f>
        <v>N/A</v>
      </c>
      <c r="I32" s="377" t="str">
        <f ca="1">'Segment Analysis'!I160</f>
        <v>N/A</v>
      </c>
      <c r="J32" s="378" t="str">
        <f ca="1">'Segment Analysis'!J160</f>
        <v>N/A</v>
      </c>
      <c r="K32" s="377" t="str">
        <f ca="1">'Segment Analysis'!K160</f>
        <v>N/A</v>
      </c>
      <c r="L32" s="377" t="str">
        <f ca="1">'Segment Analysis'!L160</f>
        <v>N/A</v>
      </c>
      <c r="M32" s="377" t="str">
        <f ca="1">'Segment Analysis'!M160</f>
        <v>N/A</v>
      </c>
      <c r="N32" s="377" t="str">
        <f ca="1">'Segment Analysis'!N160</f>
        <v>N/A</v>
      </c>
      <c r="O32" s="378" t="str">
        <f ca="1">'Segment Analysis'!O160</f>
        <v>N/A</v>
      </c>
      <c r="P32" s="377" t="str">
        <f ca="1">'Segment Analysis'!P160</f>
        <v>N/A</v>
      </c>
      <c r="Q32" s="377" t="str">
        <f ca="1">'Segment Analysis'!Q160</f>
        <v>N/A</v>
      </c>
      <c r="R32" s="377" t="str">
        <f ca="1">'Segment Analysis'!R160</f>
        <v>N/A</v>
      </c>
      <c r="S32" s="377" t="str">
        <f ca="1">'Segment Analysis'!S160</f>
        <v>N/A</v>
      </c>
      <c r="T32" s="378" t="str">
        <f ca="1">'Segment Analysis'!T160</f>
        <v>N/A</v>
      </c>
      <c r="U32" s="377" t="str">
        <f ca="1">'Segment Analysis'!U160</f>
        <v>N/A</v>
      </c>
      <c r="V32" s="377" t="str">
        <f ca="1">'Segment Analysis'!V160</f>
        <v>N/A</v>
      </c>
      <c r="W32" s="377" t="str">
        <f ca="1">'Segment Analysis'!W160</f>
        <v>N/A</v>
      </c>
      <c r="X32" s="379">
        <f ca="1">IF(Case_Scenario="Bull",X33,IF(Case_Scenario="Base",X34,IF(Case_Scenario="bear",X35,"N/A")))</f>
        <v>0.13</v>
      </c>
      <c r="Y32" s="378" t="str">
        <f ca="1">'Segment Analysis'!Y160</f>
        <v>N/A</v>
      </c>
      <c r="Z32" s="379">
        <f ca="1">IF(Case_Scenario="Bull",Z33,IF(Case_Scenario="Base",Z34,IF(Case_Scenario="bear",Z35,"N/A")))</f>
        <v>0.14</v>
      </c>
      <c r="AA32" s="379">
        <f ca="1">IF(Case_Scenario="Bull",AA33,IF(Case_Scenario="Base",AA34,IF(Case_Scenario="bear",AA35,"N/A")))</f>
        <v>0.145</v>
      </c>
      <c r="AB32" s="379">
        <f ca="1">IF(Case_Scenario="Bull",AB33,IF(Case_Scenario="Base",AB34,IF(Case_Scenario="bear",AB35,"N/A")))</f>
        <v>0.12</v>
      </c>
      <c r="AC32" s="379">
        <f ca="1">IF(Case_Scenario="Bull",AC33,IF(Case_Scenario="Base",AC34,IF(Case_Scenario="bear",AC35,"N/A")))</f>
        <v>0.135</v>
      </c>
      <c r="AD32" s="378" t="str">
        <f ca="1">'Segment Analysis'!AD160</f>
        <v>N/A</v>
      </c>
      <c r="AE32" s="378">
        <f ca="1">IF(Case_Scenario="Bull",AE33,IF(Case_Scenario="Base",AE34,IF(Case_Scenario="bear",AE35,"N/A")))</f>
        <v>0.139</v>
      </c>
      <c r="AF32" s="378">
        <f ca="1">IF(Case_Scenario="Bull",AF33,IF(Case_Scenario="Base",AF34,IF(Case_Scenario="bear",AF35,"N/A")))</f>
        <v>0.14</v>
      </c>
      <c r="AG32" s="378">
        <f ca="1">IF(Case_Scenario="Bull",AG33,IF(Case_Scenario="Base",AG34,IF(Case_Scenario="bear",AG35,"N/A")))</f>
        <v>0.142</v>
      </c>
      <c r="AH32" s="16"/>
      <c r="AI32" s="16"/>
    </row>
    <row r="33" ht="12.75" customHeight="1" spans="1:35" x14ac:dyDescent="0.25">
      <c r="A33" s="16"/>
      <c r="B33" s="16"/>
      <c r="C33" s="139" t="str">
        <f ca="1">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 ca="1">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 ca="1">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481</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 ca="1">Model!C67</f>
        <v>SG&amp;A as % of Revenue</v>
      </c>
      <c r="D40" s="16"/>
      <c r="E40" s="16"/>
      <c r="F40" s="377">
        <f ca="1">Model!F67</f>
        <v>-0.24118663594470047</v>
      </c>
      <c r="G40" s="377">
        <f ca="1">Model!G67</f>
        <v>-0.2245787054768288</v>
      </c>
      <c r="H40" s="377">
        <f ca="1">Model!H67</f>
        <v>-0.24519092736147</v>
      </c>
      <c r="I40" s="377">
        <f ca="1">Model!I67</f>
        <v>-0.27259363415569476</v>
      </c>
      <c r="J40" s="378">
        <f ca="1">Model!J67</f>
        <v>-0.2441907753579492</v>
      </c>
      <c r="K40" s="377">
        <f ca="1">Model!K67</f>
        <v>-0.21768784172256356</v>
      </c>
      <c r="L40" s="377">
        <f ca="1">Model!L67</f>
        <v>-0.19283536585365854</v>
      </c>
      <c r="M40" s="377">
        <f ca="1">Model!M67</f>
        <v>-0.21693121693121692</v>
      </c>
      <c r="N40" s="377">
        <f ca="1">Model!N67</f>
        <v>-0.2299245024021963</v>
      </c>
      <c r="O40" s="378">
        <f ca="1">Model!O67</f>
        <v>-0.21299273715141098</v>
      </c>
      <c r="P40" s="377">
        <f ca="1">Model!P67</f>
        <v>-0.21326556543837358</v>
      </c>
      <c r="Q40" s="377">
        <f ca="1">Model!Q67</f>
        <v>-0.18386931360339903</v>
      </c>
      <c r="R40" s="377">
        <f ca="1">Model!R67</f>
        <v>-0.2138150522210767</v>
      </c>
      <c r="S40" s="377">
        <f ca="1">Model!S67</f>
        <v>-0.16281817734232681</v>
      </c>
      <c r="T40" s="378">
        <f ca="1">Model!T67</f>
        <v>-0.19300869448753866</v>
      </c>
      <c r="U40" s="377">
        <f ca="1">Model!U67</f>
        <v>-0.18401441323396936</v>
      </c>
      <c r="V40" s="377">
        <f ca="1">Model!V67</f>
        <v>-0.17022125498730503</v>
      </c>
      <c r="W40" s="377">
        <f ca="1">Model!W67</f>
        <v>-0.19081071646740552</v>
      </c>
      <c r="X40" s="379">
        <f ca="1">IF(Case_Scenario="Bull",X41,IF(Case_Scenario="Base",X42,IF(Case_Scenario="bear",X43,"N/A")))</f>
        <v>-0.22</v>
      </c>
      <c r="Y40" s="378">
        <f ca="1">Model!Y67</f>
        <v>-0.18979585673045993</v>
      </c>
      <c r="Z40" s="379">
        <f ca="1">IF(Case_Scenario="Bull",Z41,IF(Case_Scenario="Base",Z42,IF(Case_Scenario="bear",Z43,"N/A")))</f>
        <v>-0.225</v>
      </c>
      <c r="AA40" s="379">
        <f ca="1">IF(Case_Scenario="Bull",AA41,IF(Case_Scenario="Base",AA42,IF(Case_Scenario="bear",AA43,"N/A")))</f>
        <v>-0.225</v>
      </c>
      <c r="AB40" s="379">
        <f ca="1">IF(Case_Scenario="Bull",AB41,IF(Case_Scenario="Base",AB42,IF(Case_Scenario="bear",AB43,"N/A")))</f>
        <v>-0.22</v>
      </c>
      <c r="AC40" s="379">
        <f ca="1">IF(Case_Scenario="Bull",AC41,IF(Case_Scenario="Base",AC42,IF(Case_Scenario="bear",AC43,"N/A")))</f>
        <v>-0.22</v>
      </c>
      <c r="AD40" s="378">
        <f ca="1">Model!AD67</f>
        <v>-0.22261215163174033</v>
      </c>
      <c r="AE40" s="378">
        <f ca="1">IF(Case_Scenario="Bull",AE41,IF(Case_Scenario="Base",AE42,IF(Case_Scenario="bear",AE43,"N/A")))</f>
        <v>-0.215</v>
      </c>
      <c r="AF40" s="378">
        <f ca="1">IF(Case_Scenario="Bull",AF41,IF(Case_Scenario="Base",AF42,IF(Case_Scenario="bear",AF43,"N/A")))</f>
        <v>-0.211</v>
      </c>
      <c r="AG40" s="378">
        <f ca="1">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 ca="1">Model!C68</f>
        <v>R&amp;D as a % of Revenue</v>
      </c>
      <c r="D45" s="16"/>
      <c r="E45" s="16"/>
      <c r="F45" s="377">
        <f ca="1">Model!F68</f>
        <v>1e-12</v>
      </c>
      <c r="G45" s="377">
        <f ca="1">Model!G68</f>
        <v>1e-12</v>
      </c>
      <c r="H45" s="377">
        <f ca="1">Model!H68</f>
        <v>1e-12</v>
      </c>
      <c r="I45" s="377">
        <f ca="1">Model!I68</f>
        <v>1e-12</v>
      </c>
      <c r="J45" s="378">
        <f ca="1">Model!J68</f>
        <v>1e-12</v>
      </c>
      <c r="K45" s="377">
        <f ca="1">Model!K68</f>
        <v>1e-12</v>
      </c>
      <c r="L45" s="377">
        <f ca="1">Model!L68</f>
        <v>1e-12</v>
      </c>
      <c r="M45" s="377">
        <f ca="1">Model!M68</f>
        <v>1e-12</v>
      </c>
      <c r="N45" s="377">
        <f ca="1">Model!N68</f>
        <v>1e-12</v>
      </c>
      <c r="O45" s="378">
        <f ca="1">Model!O68</f>
        <v>1e-12</v>
      </c>
      <c r="P45" s="377">
        <f ca="1">Model!P68</f>
        <v>1e-12</v>
      </c>
      <c r="Q45" s="377">
        <f ca="1">Model!Q68</f>
        <v>1e-12</v>
      </c>
      <c r="R45" s="377">
        <f ca="1">Model!R68</f>
        <v>1e-12</v>
      </c>
      <c r="S45" s="377">
        <f ca="1">Model!S68</f>
        <v>1e-12</v>
      </c>
      <c r="T45" s="378">
        <f ca="1">Model!T68</f>
        <v>1e-12</v>
      </c>
      <c r="U45" s="377">
        <f ca="1">Model!U68</f>
        <v>1e-12</v>
      </c>
      <c r="V45" s="377">
        <f ca="1">Model!V68</f>
        <v>1e-12</v>
      </c>
      <c r="W45" s="377">
        <f ca="1">Model!W68</f>
        <v>1e-12</v>
      </c>
      <c r="X45" s="379">
        <f ca="1">IF(Case_Scenario="Bull",X46,IF(Case_Scenario="Base",X47,IF(Case_Scenario="bear",X48,"N/A")))</f>
        <v>0</v>
      </c>
      <c r="Y45" s="378">
        <f ca="1">Model!Y68</f>
        <v>1e-12</v>
      </c>
      <c r="Z45" s="379">
        <f ca="1">IF(Case_Scenario="Bull",Z46,IF(Case_Scenario="Base",Z47,IF(Case_Scenario="bear",Z48,"N/A")))</f>
        <v>0</v>
      </c>
      <c r="AA45" s="379">
        <f ca="1">IF(Case_Scenario="Bull",AA46,IF(Case_Scenario="Base",AA47,IF(Case_Scenario="bear",AA48,"N/A")))</f>
        <v>0</v>
      </c>
      <c r="AB45" s="379">
        <f ca="1">IF(Case_Scenario="Bull",AB46,IF(Case_Scenario="Base",AB47,IF(Case_Scenario="bear",AB48,"N/A")))</f>
        <v>0</v>
      </c>
      <c r="AC45" s="379">
        <f ca="1">IF(Case_Scenario="Bull",AC46,IF(Case_Scenario="Base",AC47,IF(Case_Scenario="bear",AC48,"N/A")))</f>
        <v>0</v>
      </c>
      <c r="AD45" s="378">
        <f ca="1">Model!AD68</f>
        <v>1e-12</v>
      </c>
      <c r="AE45" s="378">
        <f ca="1">IF(Case_Scenario="Bull",AE46,IF(Case_Scenario="Base",AE47,IF(Case_Scenario="bear",AE48,"N/A")))</f>
        <v>0</v>
      </c>
      <c r="AF45" s="378">
        <f ca="1">IF(Case_Scenario="Bull",AF46,IF(Case_Scenario="Base",AF47,IF(Case_Scenario="bear",AF48,"N/A")))</f>
        <v>0</v>
      </c>
      <c r="AG45" s="378">
        <f ca="1">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 ca="1">Model!C69</f>
        <v>Other Operating Income as a % of Revenue</v>
      </c>
      <c r="D50" s="16"/>
      <c r="E50" s="16"/>
      <c r="F50" s="377">
        <f ca="1">Model!F69</f>
        <v>-0.010109289617486339</v>
      </c>
      <c r="G50" s="377">
        <f ca="1">Model!G69</f>
        <v>-0.11176077514199799</v>
      </c>
      <c r="H50" s="377">
        <f ca="1">Model!H69</f>
        <v>-0.03003430101229817</v>
      </c>
      <c r="I50" s="377">
        <f ca="1">Model!I69</f>
        <v>-0.003928139764861004</v>
      </c>
      <c r="J50" s="378">
        <f ca="1">Model!J69</f>
        <v>-0.02735980030571176</v>
      </c>
      <c r="K50" s="377">
        <f ca="1">Model!K69</f>
        <v>-0.13920353982300884</v>
      </c>
      <c r="L50" s="377">
        <f ca="1">Model!L69</f>
        <v>1e-12</v>
      </c>
      <c r="M50" s="377">
        <f ca="1">Model!M69</f>
        <v>1e-12</v>
      </c>
      <c r="N50" s="377">
        <f ca="1">Model!N69</f>
        <v>-0.4501039501039501</v>
      </c>
      <c r="O50" s="378">
        <f ca="1">Model!O69</f>
        <v>-0.1438345976498587</v>
      </c>
      <c r="P50" s="377">
        <f ca="1">Model!P69</f>
        <v>1e-12</v>
      </c>
      <c r="Q50" s="377">
        <f ca="1">Model!Q69</f>
        <v>1e-12</v>
      </c>
      <c r="R50" s="377">
        <f ca="1">Model!R69</f>
        <v>1e-12</v>
      </c>
      <c r="S50" s="377">
        <f ca="1">Model!S69</f>
        <v>-0.42074099137201826</v>
      </c>
      <c r="T50" s="378">
        <f ca="1">Model!T69</f>
        <v>-0.10375252915041405</v>
      </c>
      <c r="U50" s="377">
        <f ca="1">Model!U69</f>
        <v>1e-12</v>
      </c>
      <c r="V50" s="377">
        <f ca="1">Model!V69</f>
        <v>1e-12</v>
      </c>
      <c r="W50" s="377">
        <f ca="1">Model!W69</f>
        <v>1e-12</v>
      </c>
      <c r="X50" s="379">
        <f ca="1">IF(Case_Scenario="Bull",X51,IF(Case_Scenario="Base",X52,IF(Case_Scenario="bear",X53,"N/A")))</f>
        <v>0</v>
      </c>
      <c r="Y50" s="378">
        <f ca="1">Model!Y69</f>
        <v>1e-12</v>
      </c>
      <c r="Z50" s="379">
        <f ca="1">IF(Case_Scenario="Bull",Z51,IF(Case_Scenario="Base",Z52,IF(Case_Scenario="bear",Z53,"N/A")))</f>
        <v>0</v>
      </c>
      <c r="AA50" s="379">
        <f ca="1">IF(Case_Scenario="Bull",AA51,IF(Case_Scenario="Base",AA52,IF(Case_Scenario="bear",AA53,"N/A")))</f>
        <v>0</v>
      </c>
      <c r="AB50" s="379">
        <f ca="1">IF(Case_Scenario="Bull",AB51,IF(Case_Scenario="Base",AB52,IF(Case_Scenario="bear",AB53,"N/A")))</f>
        <v>0</v>
      </c>
      <c r="AC50" s="379">
        <f ca="1">IF(Case_Scenario="Bull",AC51,IF(Case_Scenario="Base",AC52,IF(Case_Scenario="bear",AC53,"N/A")))</f>
        <v>0</v>
      </c>
      <c r="AD50" s="378">
        <f ca="1">Model!AD69</f>
        <v>1e-12</v>
      </c>
      <c r="AE50" s="378">
        <f ca="1">IF(Case_Scenario="Bull",AE51,IF(Case_Scenario="Base",AE52,IF(Case_Scenario="bear",AE53,"N/A")))</f>
        <v>0</v>
      </c>
      <c r="AF50" s="378">
        <f ca="1">IF(Case_Scenario="Bull",AF51,IF(Case_Scenario="Base",AF52,IF(Case_Scenario="bear",AF53,"N/A")))</f>
        <v>0</v>
      </c>
      <c r="AG50" s="378">
        <f ca="1">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482</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 ca="1">Model!C70</f>
        <v>Other Non-Operating Income as a % of Revenue</v>
      </c>
      <c r="D57" s="16"/>
      <c r="E57" s="16"/>
      <c r="F57" s="377">
        <f ca="1">Model!F70</f>
        <v>0.056010928961748634</v>
      </c>
      <c r="G57" s="377">
        <f ca="1">Model!G70</f>
        <v>0.007601069161376545</v>
      </c>
      <c r="H57" s="377">
        <f ca="1">Model!H70</f>
        <v>-0.01087593072868736</v>
      </c>
      <c r="I57" s="377">
        <f ca="1">Model!I70</f>
        <v>-0.00016481705307109108</v>
      </c>
      <c r="J57" s="378">
        <f ca="1">Model!J70</f>
        <v>0.00799338091965951</v>
      </c>
      <c r="K57" s="377">
        <f ca="1">Model!K70</f>
        <v>0.13389380530973452</v>
      </c>
      <c r="L57" s="377">
        <f ca="1">Model!L70</f>
        <v>0.000161773032435493</v>
      </c>
      <c r="M57" s="377">
        <f ca="1">Model!M70</f>
        <v>0.041420617513075755</v>
      </c>
      <c r="N57" s="377">
        <f ca="1">Model!N70</f>
        <v>-0.0012127512127512127</v>
      </c>
      <c r="O57" s="378">
        <f ca="1">Model!O70</f>
        <v>0.042328042328042326</v>
      </c>
      <c r="P57" s="377">
        <f ca="1">Model!P70</f>
        <v>0.022823254560158147</v>
      </c>
      <c r="Q57" s="377">
        <f ca="1">Model!Q70</f>
        <v>0.016912644595133627</v>
      </c>
      <c r="R57" s="377">
        <f ca="1">Model!R70</f>
        <v>-0.047514456049128156</v>
      </c>
      <c r="S57" s="377">
        <f ca="1">Model!S70</f>
        <v>-0.061296834227758355</v>
      </c>
      <c r="T57" s="378">
        <f ca="1">Model!T70</f>
        <v>-0.02572630780048439</v>
      </c>
      <c r="U57" s="377">
        <f ca="1">Model!U70</f>
        <v>0.0016837716484926235</v>
      </c>
      <c r="V57" s="377">
        <f ca="1">Model!V70</f>
        <v>1e-12</v>
      </c>
      <c r="W57" s="377">
        <f ca="1">Model!W70</f>
        <v>1e-12</v>
      </c>
      <c r="X57" s="379">
        <f ca="1">IF(Case_Scenario="Bull",X58,IF(Case_Scenario="Base",X59,IF(Case_Scenario="bear",X60,"N/A")))</f>
        <v>0</v>
      </c>
      <c r="Y57" s="378">
        <f ca="1">Model!Y70</f>
        <v>0.0002478399567578285</v>
      </c>
      <c r="Z57" s="379">
        <f ca="1">IF(Case_Scenario="Bull",Z58,IF(Case_Scenario="Base",Z59,IF(Case_Scenario="bear",Z60,"N/A")))</f>
        <v>0</v>
      </c>
      <c r="AA57" s="379">
        <f ca="1">IF(Case_Scenario="Bull",AA58,IF(Case_Scenario="Base",AA59,IF(Case_Scenario="bear",AA60,"N/A")))</f>
        <v>0</v>
      </c>
      <c r="AB57" s="379">
        <f ca="1">IF(Case_Scenario="Bull",AB58,IF(Case_Scenario="Base",AB59,IF(Case_Scenario="bear",AB60,"N/A")))</f>
        <v>0</v>
      </c>
      <c r="AC57" s="379">
        <f ca="1">IF(Case_Scenario="Bull",AC58,IF(Case_Scenario="Base",AC59,IF(Case_Scenario="bear",AC60,"N/A")))</f>
        <v>0</v>
      </c>
      <c r="AD57" s="378">
        <f ca="1">Model!AD70</f>
        <v>1e-12</v>
      </c>
      <c r="AE57" s="378">
        <f ca="1">IF(Case_Scenario="Bull",AE58,IF(Case_Scenario="Base",AE59,IF(Case_Scenario="bear",AE60,"N/A")))</f>
        <v>0</v>
      </c>
      <c r="AF57" s="378">
        <f ca="1">IF(Case_Scenario="Bull",AF58,IF(Case_Scenario="Base",AF59,IF(Case_Scenario="bear",AF60,"N/A")))</f>
        <v>0</v>
      </c>
      <c r="AG57" s="378">
        <f ca="1">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 ca="1">Model!C40</f>
        <v>Goodwill Impairment</v>
      </c>
      <c r="D62" s="16"/>
      <c r="E62" s="16"/>
      <c r="F62" s="325">
        <f ca="1">Model!F40</f>
        <v>1e-12</v>
      </c>
      <c r="G62" s="325">
        <f ca="1">Model!G40</f>
        <v>1e-12</v>
      </c>
      <c r="H62" s="325">
        <f ca="1">Model!H40</f>
        <v>1e-12</v>
      </c>
      <c r="I62" s="325">
        <f ca="1">Model!I40</f>
        <v>1e-12</v>
      </c>
      <c r="J62" s="326">
        <f ca="1">Model!J40</f>
        <v>1e-12</v>
      </c>
      <c r="K62" s="325">
        <f ca="1">Model!K40</f>
        <v>1e-12</v>
      </c>
      <c r="L62" s="325">
        <f ca="1">Model!L40</f>
        <v>1e-12</v>
      </c>
      <c r="M62" s="325">
        <f ca="1">Model!M40</f>
        <v>1e-12</v>
      </c>
      <c r="N62" s="325">
        <f ca="1">Model!N40</f>
        <v>1e-12</v>
      </c>
      <c r="O62" s="326">
        <f ca="1">Model!O40</f>
        <v>1e-12</v>
      </c>
      <c r="P62" s="325">
        <f ca="1">Model!P40</f>
        <v>1e-12</v>
      </c>
      <c r="Q62" s="325">
        <f ca="1">Model!Q40</f>
        <v>1e-12</v>
      </c>
      <c r="R62" s="325">
        <f ca="1">Model!R40</f>
        <v>1e-12</v>
      </c>
      <c r="S62" s="325">
        <f ca="1">Model!S40</f>
        <v>1e-12</v>
      </c>
      <c r="T62" s="326">
        <f ca="1">Model!T40</f>
        <v>1e-12</v>
      </c>
      <c r="U62" s="325">
        <f ca="1">Model!U40</f>
        <v>1e-12</v>
      </c>
      <c r="V62" s="325">
        <f ca="1">Model!V40</f>
        <v>1e-12</v>
      </c>
      <c r="W62" s="325">
        <f ca="1">Model!W40</f>
        <v>1e-12</v>
      </c>
      <c r="X62" s="517">
        <v>0</v>
      </c>
      <c r="Y62" s="326">
        <f ca="1">Model!Y40</f>
        <v>1e-12</v>
      </c>
      <c r="Z62" s="517">
        <v>0</v>
      </c>
      <c r="AA62" s="517">
        <v>0</v>
      </c>
      <c r="AB62" s="517">
        <v>0</v>
      </c>
      <c r="AC62" s="517">
        <v>0</v>
      </c>
      <c r="AD62" s="326">
        <f ca="1">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 ca="1">Model!C71</f>
        <v>Tax Rate</v>
      </c>
      <c r="D64" s="16"/>
      <c r="E64" s="16"/>
      <c r="F64" s="377">
        <f ca="1">Model!F71</f>
        <v>0.24291187739463602</v>
      </c>
      <c r="G64" s="377">
        <f ca="1">Model!G71</f>
        <v>0.24365987071108902</v>
      </c>
      <c r="H64" s="377">
        <f ca="1">Model!H71</f>
        <v>0.21766169154228857</v>
      </c>
      <c r="I64" s="377">
        <f ca="1">Model!I71</f>
        <v>-0.1349862258953168</v>
      </c>
      <c r="J64" s="378">
        <f ca="1">Model!J71</f>
        <v>0.3182086034177961</v>
      </c>
      <c r="K64" s="377">
        <f ca="1">Model!K71</f>
        <v>0.16653386454183267</v>
      </c>
      <c r="L64" s="377">
        <f ca="1">Model!L71</f>
        <v>0.2423146473779385</v>
      </c>
      <c r="M64" s="377">
        <f ca="1">Model!M71</f>
        <v>0.24040550325850832</v>
      </c>
      <c r="N64" s="377">
        <f ca="1">Model!N71</f>
        <v>0.3419354838709677</v>
      </c>
      <c r="O64" s="378">
        <f ca="1">Model!O71</f>
        <v>0.23866263560377024</v>
      </c>
      <c r="P64" s="377">
        <f ca="1">Model!P71</f>
        <v>0.25139977603583424</v>
      </c>
      <c r="Q64" s="377">
        <f ca="1">Model!Q71</f>
        <v>0.24344569288389514</v>
      </c>
      <c r="R64" s="377">
        <f ca="1">Model!R71</f>
        <v>0.22595078299776286</v>
      </c>
      <c r="S64" s="377">
        <f ca="1">Model!S71</f>
        <v>0.2590909090909091</v>
      </c>
      <c r="T64" s="378">
        <f ca="1">Model!T71</f>
        <v>0.24592918066683897</v>
      </c>
      <c r="U64" s="377">
        <f ca="1">Model!U71</f>
        <v>0.23500329597890574</v>
      </c>
      <c r="V64" s="377">
        <f ca="1">Model!V71</f>
        <v>0.2443665498247371</v>
      </c>
      <c r="W64" s="377">
        <f ca="1">Model!W71</f>
        <v>0.26110678098207324</v>
      </c>
      <c r="X64" s="379">
        <f ca="1">IF(Case_Scenario="Bull",X65,IF(Case_Scenario="Base",X66,IF(Case_Scenario="bear",X67,"N/A")))</f>
        <v>0.24</v>
      </c>
      <c r="Y64" s="378">
        <f ca="1">Model!Y71</f>
        <v>0.20350074212014868</v>
      </c>
      <c r="Z64" s="379">
        <f ca="1">IF(Case_Scenario="Bull",Z65,IF(Case_Scenario="Base",Z66,IF(Case_Scenario="bear",Z67,"N/A")))</f>
        <v>0.24</v>
      </c>
      <c r="AA64" s="379">
        <f ca="1">IF(Case_Scenario="Bull",AA65,IF(Case_Scenario="Base",AA66,IF(Case_Scenario="bear",AA67,"N/A")))</f>
        <v>0.24</v>
      </c>
      <c r="AB64" s="379">
        <f ca="1">IF(Case_Scenario="Bull",AB65,IF(Case_Scenario="Base",AB66,IF(Case_Scenario="bear",AB67,"N/A")))</f>
        <v>0.24</v>
      </c>
      <c r="AC64" s="379">
        <f ca="1">IF(Case_Scenario="Bull",AC65,IF(Case_Scenario="Base",AC66,IF(Case_Scenario="bear",AC67,"N/A")))</f>
        <v>0.24</v>
      </c>
      <c r="AD64" s="378">
        <f ca="1">Model!AD71</f>
        <v>0.23999999999999996</v>
      </c>
      <c r="AE64" s="378">
        <f ca="1">IF(Case_Scenario="Bull",AE65,IF(Case_Scenario="Base",AE66,IF(Case_Scenario="bear",AE67,"N/A")))</f>
        <v>0.24</v>
      </c>
      <c r="AF64" s="378">
        <f ca="1">IF(Case_Scenario="Bull",AF65,IF(Case_Scenario="Base",AF66,IF(Case_Scenario="bear",AF67,"N/A")))</f>
        <v>0.24</v>
      </c>
      <c r="AG64" s="378">
        <f ca="1">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483</v>
      </c>
      <c r="D69" s="373"/>
      <c r="E69" s="373"/>
      <c r="F69" s="351" t="str">
        <f ca="1">Model!F$25</f>
        <v>1Q23</v>
      </c>
      <c r="G69" s="194" t="str">
        <f ca="1">Model!G$25</f>
        <v>2Q23</v>
      </c>
      <c r="H69" s="194" t="str">
        <f ca="1">Model!H$25</f>
        <v>3Q23</v>
      </c>
      <c r="I69" s="194" t="str">
        <f ca="1">Model!I$25</f>
        <v>4Q23</v>
      </c>
      <c r="J69" s="194">
        <f ca="1">Model!J$25</f>
        <v>2023</v>
      </c>
      <c r="K69" s="194" t="str">
        <f ca="1">Model!K$25</f>
        <v>1Q24</v>
      </c>
      <c r="L69" s="194" t="str">
        <f ca="1">Model!L$25</f>
        <v>2Q24</v>
      </c>
      <c r="M69" s="194" t="str">
        <f ca="1">Model!M$25</f>
        <v>3Q24</v>
      </c>
      <c r="N69" s="194" t="str">
        <f ca="1">Model!N$25</f>
        <v>4Q24</v>
      </c>
      <c r="O69" s="194">
        <f ca="1">Model!O$25</f>
        <v>2024</v>
      </c>
      <c r="P69" s="194" t="str">
        <f ca="1">Model!P$25</f>
        <v>1Q25</v>
      </c>
      <c r="Q69" s="194" t="str">
        <f ca="1">Model!Q$25</f>
        <v>2Q25</v>
      </c>
      <c r="R69" s="194" t="str">
        <f ca="1">Model!R$25</f>
        <v>3Q25</v>
      </c>
      <c r="S69" s="194" t="str">
        <f ca="1">Model!S$25</f>
        <v>4Q25</v>
      </c>
      <c r="T69" s="194">
        <f ca="1">Model!T$25</f>
        <v>2025</v>
      </c>
      <c r="U69" s="194" t="str">
        <f ca="1">Model!U$25</f>
        <v>1Q26</v>
      </c>
      <c r="V69" s="194" t="str">
        <f ca="1">Model!V$25</f>
        <v>2Q26</v>
      </c>
      <c r="W69" s="194" t="str">
        <f ca="1">Model!W$25</f>
        <v>3Q26e</v>
      </c>
      <c r="X69" s="194" t="str">
        <f ca="1">Model!X$25</f>
        <v>4Q26e</v>
      </c>
      <c r="Y69" s="194" t="str">
        <f ca="1">Model!Y$25</f>
        <v>2026e</v>
      </c>
      <c r="Z69" s="194" t="str">
        <f ca="1">Model!Z$25</f>
        <v>1Q27e</v>
      </c>
      <c r="AA69" s="194" t="str">
        <f ca="1">Model!AA$25</f>
        <v>2Q27e</v>
      </c>
      <c r="AB69" s="194" t="str">
        <f ca="1">Model!AB$25</f>
        <v>3Q27e</v>
      </c>
      <c r="AC69" s="194" t="str">
        <f ca="1">Model!AC$25</f>
        <v>4Q27e</v>
      </c>
      <c r="AD69" s="194" t="str">
        <f ca="1">Model!AD$25</f>
        <v>2027e</v>
      </c>
      <c r="AE69" s="194" t="str">
        <f ca="1">Model!AE$25</f>
        <v>2028e</v>
      </c>
      <c r="AF69" s="194" t="str">
        <f ca="1">Model!AF$25</f>
        <v>2029e</v>
      </c>
      <c r="AG69" s="352" t="str">
        <f ca="1">Model!AG$25</f>
        <v>2030e</v>
      </c>
      <c r="AH69" s="16"/>
      <c r="AI69" s="16"/>
    </row>
    <row r="70" ht="12.75" customHeight="1" spans="1:35" x14ac:dyDescent="0.25">
      <c r="A70" s="16"/>
      <c r="B70" s="16"/>
      <c r="C70" s="507" t="s">
        <v>484</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 ca="1">Model!C201</f>
        <v>Depreciation as a % of Avg. PP&amp;E</v>
      </c>
      <c r="D72" s="16"/>
      <c r="E72" s="16"/>
      <c r="F72" s="377"/>
      <c r="G72" s="377">
        <f ca="1">Model!G201</f>
        <v>0.07136946628051304</v>
      </c>
      <c r="H72" s="377">
        <f ca="1">Model!H201</f>
        <v>0.09093056831605198</v>
      </c>
      <c r="I72" s="377">
        <f ca="1">Model!I201</f>
        <v>0.07260072279480659</v>
      </c>
      <c r="J72" s="378">
        <f ca="1">Model!J201</f>
        <v>0.07770923487708314</v>
      </c>
      <c r="K72" s="377">
        <f ca="1">Model!K201</f>
        <v>0.06604340932699142</v>
      </c>
      <c r="L72" s="377">
        <f ca="1">Model!L201</f>
        <v>0.06844001870547135</v>
      </c>
      <c r="M72" s="377">
        <f ca="1">Model!M201</f>
        <v>0.06780773226882485</v>
      </c>
      <c r="N72" s="377">
        <f ca="1">Model!N201</f>
        <v>0.07321814254859611</v>
      </c>
      <c r="O72" s="378">
        <f ca="1">Model!O201</f>
        <v>0.06803051130697285</v>
      </c>
      <c r="P72" s="377">
        <f ca="1">Model!P201</f>
        <v>0.07016411084207694</v>
      </c>
      <c r="Q72" s="377">
        <f ca="1">Model!Q201</f>
        <v>0.0704874302804947</v>
      </c>
      <c r="R72" s="377">
        <f ca="1">Model!R201</f>
        <v>0.07614961791124816</v>
      </c>
      <c r="S72" s="377">
        <f ca="1">Model!S201</f>
        <v>0.07487401007919367</v>
      </c>
      <c r="T72" s="378">
        <f ca="1">Model!T201</f>
        <v>0.06712118302285384</v>
      </c>
      <c r="U72" s="377">
        <f ca="1">Model!U201</f>
        <v>0.07439471055510631</v>
      </c>
      <c r="V72" s="377">
        <f ca="1">Model!V201</f>
        <v>0.042425833552113414</v>
      </c>
      <c r="W72" s="377">
        <f ca="1">Model!W201</f>
        <v>0.04405100642849615</v>
      </c>
      <c r="X72" s="379">
        <f ca="1">IF(Case_Scenario="Bull",X73,IF(Case_Scenario="Base",X74,IF(Case_Scenario="bear",X75,"N/A")))</f>
        <v>0.07</v>
      </c>
      <c r="Y72" s="378">
        <f ca="1">Model!Y201</f>
        <v>0.054024417503968955</v>
      </c>
      <c r="Z72" s="379">
        <f ca="1">IF(Case_Scenario="Bull",Z73,IF(Case_Scenario="Base",Z74,IF(Case_Scenario="bear",Z75,"N/A")))</f>
        <v>0.07</v>
      </c>
      <c r="AA72" s="379">
        <f ca="1">IF(Case_Scenario="Bull",AA73,IF(Case_Scenario="Base",AA74,IF(Case_Scenario="bear",AA75,"N/A")))</f>
        <v>0.07</v>
      </c>
      <c r="AB72" s="379">
        <f ca="1">IF(Case_Scenario="Bull",AB73,IF(Case_Scenario="Base",AB74,IF(Case_Scenario="bear",AB75,"N/A")))</f>
        <v>0.07</v>
      </c>
      <c r="AC72" s="379">
        <f ca="1">IF(Case_Scenario="Bull",AC73,IF(Case_Scenario="Base",AC74,IF(Case_Scenario="bear",AC75,"N/A")))</f>
        <v>0.07</v>
      </c>
      <c r="AD72" s="378">
        <f ca="1">Model!AD201</f>
        <v>0.07003993909428458</v>
      </c>
      <c r="AE72" s="378">
        <f ca="1">IF(Case_Scenario="Bull",AE73,IF(Case_Scenario="Base",AE74,IF(Case_Scenario="bear",AE75,"N/A")))</f>
        <v>0.072</v>
      </c>
      <c r="AF72" s="378">
        <f ca="1">IF(Case_Scenario="Bull",AF73,IF(Case_Scenario="Base",AF74,IF(Case_Scenario="bear",AF75,"N/A")))</f>
        <v>0.072</v>
      </c>
      <c r="AG72" s="378">
        <f ca="1">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 ca="1">'Segment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 ca="1">'Segment Analysis'!C62</f>
        <v>Home Improvement Retail</v>
      </c>
      <c r="D78" s="16"/>
      <c r="E78" s="16"/>
      <c r="F78" s="522">
        <f ca="1">'Segment Analysis'!F62</f>
        <v>1</v>
      </c>
      <c r="G78" s="522">
        <f ca="1">'Segment Analysis'!G62</f>
        <v>1</v>
      </c>
      <c r="H78" s="522">
        <f ca="1">'Segment Analysis'!H62</f>
        <v>1</v>
      </c>
      <c r="I78" s="522">
        <f ca="1">'Segment Analysis'!I62</f>
        <v>1</v>
      </c>
      <c r="J78" s="381">
        <f ca="1">'Segment Analysis'!J62</f>
        <v>1</v>
      </c>
      <c r="K78" s="522">
        <f ca="1">'Segment Analysis'!K62</f>
        <v>1</v>
      </c>
      <c r="L78" s="522">
        <f ca="1">'Segment Analysis'!L62</f>
        <v>1</v>
      </c>
      <c r="M78" s="522">
        <f ca="1">'Segment Analysis'!M62</f>
        <v>1</v>
      </c>
      <c r="N78" s="522">
        <f ca="1">'Segment Analysis'!N62</f>
        <v>1</v>
      </c>
      <c r="O78" s="381">
        <f ca="1">'Segment Analysis'!O62</f>
        <v>1</v>
      </c>
      <c r="P78" s="522">
        <f ca="1">'Segment Analysis'!P62</f>
        <v>1</v>
      </c>
      <c r="Q78" s="522">
        <f ca="1">'Segment Analysis'!Q62</f>
        <v>1</v>
      </c>
      <c r="R78" s="522">
        <f ca="1">'Segment Analysis'!R62</f>
        <v>1</v>
      </c>
      <c r="S78" s="522">
        <f ca="1">'Segment Analysis'!S62</f>
        <v>1</v>
      </c>
      <c r="T78" s="381">
        <f ca="1">'Segment Analysis'!T62</f>
        <v>1</v>
      </c>
      <c r="U78" s="522">
        <f ca="1">'Segment Analysis'!U62</f>
        <v>1</v>
      </c>
      <c r="V78" s="522">
        <f ca="1">'Segment Analysis'!V62</f>
        <v>1</v>
      </c>
      <c r="W78" s="522">
        <f ca="1">'Segment Analysis'!W62</f>
        <v>1</v>
      </c>
      <c r="X78" s="320">
        <v>1</v>
      </c>
      <c r="Y78" s="381">
        <f ca="1">'Segment Analysis'!Y62</f>
        <v>1</v>
      </c>
      <c r="Z78" s="320">
        <v>1</v>
      </c>
      <c r="AA78" s="320">
        <v>1</v>
      </c>
      <c r="AB78" s="320">
        <v>1</v>
      </c>
      <c r="AC78" s="320">
        <v>1</v>
      </c>
      <c r="AD78" s="381">
        <f ca="1">'Segment Analysis'!AD62</f>
        <v>1</v>
      </c>
      <c r="AE78" s="321">
        <v>1</v>
      </c>
      <c r="AF78" s="321">
        <v>1</v>
      </c>
      <c r="AG78" s="321">
        <v>1</v>
      </c>
      <c r="AH78" s="16"/>
      <c r="AI78" s="16"/>
    </row>
    <row r="79" ht="12.75" customHeight="1" spans="1:35" x14ac:dyDescent="0.25">
      <c r="A79" s="16"/>
      <c r="B79" s="16"/>
      <c r="C79" s="491" t="str">
        <f ca="1">'Segment Analysis'!C63</f>
        <v>Segment 2</v>
      </c>
      <c r="D79" s="16"/>
      <c r="E79" s="16"/>
      <c r="F79" s="522">
        <f ca="1">'Segment Analysis'!F63</f>
        <v>1e-12</v>
      </c>
      <c r="G79" s="522">
        <f ca="1">'Segment Analysis'!G63</f>
        <v>1e-12</v>
      </c>
      <c r="H79" s="522">
        <f ca="1">'Segment Analysis'!H63</f>
        <v>1e-12</v>
      </c>
      <c r="I79" s="522">
        <f ca="1">'Segment Analysis'!I63</f>
        <v>1e-12</v>
      </c>
      <c r="J79" s="381">
        <f ca="1">'Segment Analysis'!J63</f>
        <v>1e-12</v>
      </c>
      <c r="K79" s="522">
        <f ca="1">'Segment Analysis'!K63</f>
        <v>1e-12</v>
      </c>
      <c r="L79" s="522">
        <f ca="1">'Segment Analysis'!L63</f>
        <v>1e-12</v>
      </c>
      <c r="M79" s="522">
        <f ca="1">'Segment Analysis'!M63</f>
        <v>1e-12</v>
      </c>
      <c r="N79" s="522">
        <f ca="1">'Segment Analysis'!N63</f>
        <v>1e-12</v>
      </c>
      <c r="O79" s="381">
        <f ca="1">'Segment Analysis'!O63</f>
        <v>1e-12</v>
      </c>
      <c r="P79" s="522">
        <f ca="1">'Segment Analysis'!P63</f>
        <v>1e-12</v>
      </c>
      <c r="Q79" s="522">
        <f ca="1">'Segment Analysis'!Q63</f>
        <v>1e-12</v>
      </c>
      <c r="R79" s="522">
        <f ca="1">'Segment Analysis'!R63</f>
        <v>1e-12</v>
      </c>
      <c r="S79" s="522">
        <f ca="1">'Segment Analysis'!S63</f>
        <v>1e-12</v>
      </c>
      <c r="T79" s="381">
        <f ca="1">'Segment Analysis'!T63</f>
        <v>1e-12</v>
      </c>
      <c r="U79" s="522">
        <f ca="1">'Segment Analysis'!U63</f>
        <v>1e-12</v>
      </c>
      <c r="V79" s="522">
        <f ca="1">'Segment Analysis'!V63</f>
        <v>1e-12</v>
      </c>
      <c r="W79" s="522">
        <f ca="1">'Segment Analysis'!W63</f>
        <v>1e-12</v>
      </c>
      <c r="X79" s="320">
        <v>0</v>
      </c>
      <c r="Y79" s="381">
        <f ca="1">'Segment Analysis'!Y63</f>
        <v>1e-12</v>
      </c>
      <c r="Z79" s="320">
        <v>0</v>
      </c>
      <c r="AA79" s="320">
        <v>0</v>
      </c>
      <c r="AB79" s="320">
        <v>0</v>
      </c>
      <c r="AC79" s="320">
        <v>0</v>
      </c>
      <c r="AD79" s="381">
        <f ca="1">'Segment Analysis'!AD63</f>
        <v>1e-12</v>
      </c>
      <c r="AE79" s="321">
        <v>0</v>
      </c>
      <c r="AF79" s="321">
        <v>0</v>
      </c>
      <c r="AG79" s="321">
        <v>0</v>
      </c>
      <c r="AH79" s="16"/>
      <c r="AI79" s="16"/>
    </row>
    <row r="80" ht="12.75" customHeight="1" spans="1:35" x14ac:dyDescent="0.25">
      <c r="A80" s="16"/>
      <c r="B80" s="16"/>
      <c r="C80" s="491" t="str">
        <f ca="1">'Segment Analysis'!C64</f>
        <v>Segment 3</v>
      </c>
      <c r="D80" s="16"/>
      <c r="E80" s="16"/>
      <c r="F80" s="522">
        <f ca="1">'Segment Analysis'!F64</f>
        <v>1e-12</v>
      </c>
      <c r="G80" s="522">
        <f ca="1">'Segment Analysis'!G64</f>
        <v>1e-12</v>
      </c>
      <c r="H80" s="522">
        <f ca="1">'Segment Analysis'!H64</f>
        <v>1e-12</v>
      </c>
      <c r="I80" s="522">
        <f ca="1">'Segment Analysis'!I64</f>
        <v>1e-12</v>
      </c>
      <c r="J80" s="381">
        <f ca="1">'Segment Analysis'!J64</f>
        <v>1e-12</v>
      </c>
      <c r="K80" s="522">
        <f ca="1">'Segment Analysis'!K64</f>
        <v>1e-12</v>
      </c>
      <c r="L80" s="522">
        <f ca="1">'Segment Analysis'!L64</f>
        <v>1e-12</v>
      </c>
      <c r="M80" s="522">
        <f ca="1">'Segment Analysis'!M64</f>
        <v>1e-12</v>
      </c>
      <c r="N80" s="522">
        <f ca="1">'Segment Analysis'!N64</f>
        <v>1e-12</v>
      </c>
      <c r="O80" s="381">
        <f ca="1">'Segment Analysis'!O64</f>
        <v>1e-12</v>
      </c>
      <c r="P80" s="522">
        <f ca="1">'Segment Analysis'!P64</f>
        <v>1e-12</v>
      </c>
      <c r="Q80" s="522">
        <f ca="1">'Segment Analysis'!Q64</f>
        <v>1e-12</v>
      </c>
      <c r="R80" s="522">
        <f ca="1">'Segment Analysis'!R64</f>
        <v>1e-12</v>
      </c>
      <c r="S80" s="522">
        <f ca="1">'Segment Analysis'!S64</f>
        <v>1e-12</v>
      </c>
      <c r="T80" s="381">
        <f ca="1">'Segment Analysis'!T64</f>
        <v>1e-12</v>
      </c>
      <c r="U80" s="522">
        <f ca="1">'Segment Analysis'!U64</f>
        <v>1e-12</v>
      </c>
      <c r="V80" s="522">
        <f ca="1">'Segment Analysis'!V64</f>
        <v>1e-12</v>
      </c>
      <c r="W80" s="522">
        <f ca="1">'Segment Analysis'!W64</f>
        <v>1e-12</v>
      </c>
      <c r="X80" s="320">
        <v>0</v>
      </c>
      <c r="Y80" s="381">
        <f ca="1">'Segment Analysis'!Y64</f>
        <v>1e-12</v>
      </c>
      <c r="Z80" s="320">
        <v>0</v>
      </c>
      <c r="AA80" s="320">
        <v>0</v>
      </c>
      <c r="AB80" s="320">
        <v>0</v>
      </c>
      <c r="AC80" s="320">
        <v>0</v>
      </c>
      <c r="AD80" s="381">
        <f ca="1">'Segment Analysis'!AD64</f>
        <v>1e-12</v>
      </c>
      <c r="AE80" s="321">
        <v>0</v>
      </c>
      <c r="AF80" s="321">
        <v>0</v>
      </c>
      <c r="AG80" s="321">
        <v>0</v>
      </c>
      <c r="AH80" s="16"/>
      <c r="AI80" s="16"/>
    </row>
    <row r="81" ht="12.75" customHeight="1" spans="1:35" x14ac:dyDescent="0.25">
      <c r="A81" s="16"/>
      <c r="B81" s="16"/>
      <c r="C81" s="491" t="str">
        <f ca="1">'Segment Analysis'!C65</f>
        <v>Segment 4</v>
      </c>
      <c r="D81" s="16"/>
      <c r="E81" s="16"/>
      <c r="F81" s="522">
        <f ca="1">'Segment Analysis'!F65</f>
        <v>1e-12</v>
      </c>
      <c r="G81" s="522">
        <f ca="1">'Segment Analysis'!G65</f>
        <v>1e-12</v>
      </c>
      <c r="H81" s="522">
        <f ca="1">'Segment Analysis'!H65</f>
        <v>1e-12</v>
      </c>
      <c r="I81" s="522">
        <f ca="1">'Segment Analysis'!I65</f>
        <v>1e-12</v>
      </c>
      <c r="J81" s="381">
        <f ca="1">'Segment Analysis'!J65</f>
        <v>1e-12</v>
      </c>
      <c r="K81" s="522">
        <f ca="1">'Segment Analysis'!K65</f>
        <v>1e-12</v>
      </c>
      <c r="L81" s="522">
        <f ca="1">'Segment Analysis'!L65</f>
        <v>1e-12</v>
      </c>
      <c r="M81" s="522">
        <f ca="1">'Segment Analysis'!M65</f>
        <v>1e-12</v>
      </c>
      <c r="N81" s="522">
        <f ca="1">'Segment Analysis'!N65</f>
        <v>1e-12</v>
      </c>
      <c r="O81" s="381">
        <f ca="1">'Segment Analysis'!O65</f>
        <v>1e-12</v>
      </c>
      <c r="P81" s="522">
        <f ca="1">'Segment Analysis'!P65</f>
        <v>1e-12</v>
      </c>
      <c r="Q81" s="522">
        <f ca="1">'Segment Analysis'!Q65</f>
        <v>1e-12</v>
      </c>
      <c r="R81" s="522">
        <f ca="1">'Segment Analysis'!R65</f>
        <v>1e-12</v>
      </c>
      <c r="S81" s="522">
        <f ca="1">'Segment Analysis'!S65</f>
        <v>1e-12</v>
      </c>
      <c r="T81" s="381">
        <f ca="1">'Segment Analysis'!T65</f>
        <v>1e-12</v>
      </c>
      <c r="U81" s="522">
        <f ca="1">'Segment Analysis'!U65</f>
        <v>1e-12</v>
      </c>
      <c r="V81" s="522">
        <f ca="1">'Segment Analysis'!V65</f>
        <v>1e-12</v>
      </c>
      <c r="W81" s="522">
        <f ca="1">'Segment Analysis'!W65</f>
        <v>1e-12</v>
      </c>
      <c r="X81" s="320">
        <v>0</v>
      </c>
      <c r="Y81" s="381">
        <f ca="1">'Segment Analysis'!Y65</f>
        <v>1e-12</v>
      </c>
      <c r="Z81" s="320">
        <v>0</v>
      </c>
      <c r="AA81" s="320">
        <v>0</v>
      </c>
      <c r="AB81" s="320">
        <v>0</v>
      </c>
      <c r="AC81" s="320">
        <v>0</v>
      </c>
      <c r="AD81" s="381">
        <f ca="1">'Segment Analysis'!AD65</f>
        <v>1e-12</v>
      </c>
      <c r="AE81" s="321">
        <v>0</v>
      </c>
      <c r="AF81" s="321">
        <v>0</v>
      </c>
      <c r="AG81" s="321">
        <v>0</v>
      </c>
      <c r="AH81" s="16"/>
      <c r="AI81" s="16"/>
    </row>
    <row r="82" ht="12.75" customHeight="1" spans="1:35" x14ac:dyDescent="0.25">
      <c r="A82" s="16"/>
      <c r="B82" s="16"/>
      <c r="C82" s="491" t="str">
        <f ca="1">'Segment Analysis'!C66</f>
        <v>Segment 5</v>
      </c>
      <c r="D82" s="16"/>
      <c r="E82" s="16"/>
      <c r="F82" s="522">
        <f ca="1">'Segment Analysis'!F66</f>
        <v>1e-12</v>
      </c>
      <c r="G82" s="522">
        <f ca="1">'Segment Analysis'!G66</f>
        <v>1e-12</v>
      </c>
      <c r="H82" s="522">
        <f ca="1">'Segment Analysis'!H66</f>
        <v>1e-12</v>
      </c>
      <c r="I82" s="522">
        <f ca="1">'Segment Analysis'!I66</f>
        <v>1e-12</v>
      </c>
      <c r="J82" s="381">
        <f ca="1">'Segment Analysis'!J66</f>
        <v>1e-12</v>
      </c>
      <c r="K82" s="522">
        <f ca="1">'Segment Analysis'!K66</f>
        <v>1e-12</v>
      </c>
      <c r="L82" s="522">
        <f ca="1">'Segment Analysis'!L66</f>
        <v>1e-12</v>
      </c>
      <c r="M82" s="522">
        <f ca="1">'Segment Analysis'!M66</f>
        <v>1e-12</v>
      </c>
      <c r="N82" s="522">
        <f ca="1">'Segment Analysis'!N66</f>
        <v>1e-12</v>
      </c>
      <c r="O82" s="381">
        <f ca="1">'Segment Analysis'!O66</f>
        <v>1e-12</v>
      </c>
      <c r="P82" s="522">
        <f ca="1">'Segment Analysis'!P66</f>
        <v>1e-12</v>
      </c>
      <c r="Q82" s="522">
        <f ca="1">'Segment Analysis'!Q66</f>
        <v>1e-12</v>
      </c>
      <c r="R82" s="522">
        <f ca="1">'Segment Analysis'!R66</f>
        <v>1e-12</v>
      </c>
      <c r="S82" s="522">
        <f ca="1">'Segment Analysis'!S66</f>
        <v>1e-12</v>
      </c>
      <c r="T82" s="381">
        <f ca="1">'Segment Analysis'!T66</f>
        <v>1e-12</v>
      </c>
      <c r="U82" s="522">
        <f ca="1">'Segment Analysis'!U66</f>
        <v>1e-12</v>
      </c>
      <c r="V82" s="522">
        <f ca="1">'Segment Analysis'!V66</f>
        <v>1e-12</v>
      </c>
      <c r="W82" s="522">
        <f ca="1">'Segment Analysis'!W66</f>
        <v>1e-12</v>
      </c>
      <c r="X82" s="320">
        <v>0</v>
      </c>
      <c r="Y82" s="381">
        <f ca="1">'Segment Analysis'!Y66</f>
        <v>1e-12</v>
      </c>
      <c r="Z82" s="320">
        <v>0</v>
      </c>
      <c r="AA82" s="320">
        <v>0</v>
      </c>
      <c r="AB82" s="320">
        <v>0</v>
      </c>
      <c r="AC82" s="320">
        <v>0</v>
      </c>
      <c r="AD82" s="381">
        <f ca="1">'Segment Analysis'!AD66</f>
        <v>1e-12</v>
      </c>
      <c r="AE82" s="321">
        <v>0</v>
      </c>
      <c r="AF82" s="321">
        <v>0</v>
      </c>
      <c r="AG82" s="321">
        <v>0</v>
      </c>
      <c r="AH82" s="16"/>
      <c r="AI82" s="16"/>
    </row>
    <row r="83" ht="12.75" customHeight="1" spans="1:35" x14ac:dyDescent="0.25">
      <c r="A83" s="16"/>
      <c r="B83" s="16"/>
      <c r="C83" s="491" t="str">
        <f ca="1">'Segment Analysis'!C67</f>
        <v>Segment 6</v>
      </c>
      <c r="D83" s="16"/>
      <c r="E83" s="16"/>
      <c r="F83" s="522">
        <f ca="1">'Segment Analysis'!F67</f>
        <v>1e-12</v>
      </c>
      <c r="G83" s="522">
        <f ca="1">'Segment Analysis'!G67</f>
        <v>1e-12</v>
      </c>
      <c r="H83" s="522">
        <f ca="1">'Segment Analysis'!H67</f>
        <v>1e-12</v>
      </c>
      <c r="I83" s="522">
        <f ca="1">'Segment Analysis'!I67</f>
        <v>1e-12</v>
      </c>
      <c r="J83" s="381">
        <f ca="1">'Segment Analysis'!J67</f>
        <v>1e-12</v>
      </c>
      <c r="K83" s="522">
        <f ca="1">'Segment Analysis'!K67</f>
        <v>1e-12</v>
      </c>
      <c r="L83" s="522">
        <f ca="1">'Segment Analysis'!L67</f>
        <v>1e-12</v>
      </c>
      <c r="M83" s="522">
        <f ca="1">'Segment Analysis'!M67</f>
        <v>1e-12</v>
      </c>
      <c r="N83" s="522">
        <f ca="1">'Segment Analysis'!N67</f>
        <v>1e-12</v>
      </c>
      <c r="O83" s="381">
        <f ca="1">'Segment Analysis'!O67</f>
        <v>1e-12</v>
      </c>
      <c r="P83" s="522">
        <f ca="1">'Segment Analysis'!P67</f>
        <v>1e-12</v>
      </c>
      <c r="Q83" s="522">
        <f ca="1">'Segment Analysis'!Q67</f>
        <v>1e-12</v>
      </c>
      <c r="R83" s="522">
        <f ca="1">'Segment Analysis'!R67</f>
        <v>1e-12</v>
      </c>
      <c r="S83" s="522">
        <f ca="1">'Segment Analysis'!S67</f>
        <v>1e-12</v>
      </c>
      <c r="T83" s="381">
        <f ca="1">'Segment Analysis'!T67</f>
        <v>1e-12</v>
      </c>
      <c r="U83" s="522">
        <f ca="1">'Segment Analysis'!U67</f>
        <v>1e-12</v>
      </c>
      <c r="V83" s="522">
        <f ca="1">'Segment Analysis'!V67</f>
        <v>1e-12</v>
      </c>
      <c r="W83" s="522">
        <f ca="1">'Segment Analysis'!W67</f>
        <v>1e-12</v>
      </c>
      <c r="X83" s="320">
        <v>0</v>
      </c>
      <c r="Y83" s="381">
        <f ca="1">'Segment Analysis'!Y67</f>
        <v>1e-12</v>
      </c>
      <c r="Z83" s="320">
        <v>0</v>
      </c>
      <c r="AA83" s="320">
        <v>0</v>
      </c>
      <c r="AB83" s="320">
        <v>0</v>
      </c>
      <c r="AC83" s="320">
        <v>0</v>
      </c>
      <c r="AD83" s="381">
        <f ca="1">'Segment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 ca="1">Model!C214</f>
        <v>Amortization as a % of Avg. Intangibles</v>
      </c>
      <c r="D85" s="16"/>
      <c r="E85" s="16"/>
      <c r="F85" s="377"/>
      <c r="G85" s="377">
        <f ca="1">Model!G214</f>
        <v>1e-12</v>
      </c>
      <c r="H85" s="377">
        <f ca="1">Model!H214</f>
        <v>1e-12</v>
      </c>
      <c r="I85" s="377">
        <f ca="1">Model!I214</f>
        <v>1e-12</v>
      </c>
      <c r="J85" s="378">
        <f ca="1">Model!J214</f>
        <v>1e-12</v>
      </c>
      <c r="K85" s="377">
        <f ca="1">Model!K214</f>
        <v>1e-12</v>
      </c>
      <c r="L85" s="377">
        <f ca="1">Model!L214</f>
        <v>1e-12</v>
      </c>
      <c r="M85" s="377">
        <f ca="1">Model!M214</f>
        <v>1e-12</v>
      </c>
      <c r="N85" s="377">
        <f ca="1">Model!N214</f>
        <v>1e-12</v>
      </c>
      <c r="O85" s="378">
        <f ca="1">Model!O214</f>
        <v>1e-12</v>
      </c>
      <c r="P85" s="377">
        <f ca="1">Model!P214</f>
        <v>1e-12</v>
      </c>
      <c r="Q85" s="377">
        <f ca="1">Model!Q214</f>
        <v>1e-12</v>
      </c>
      <c r="R85" s="377">
        <f ca="1">Model!R214</f>
        <v>1e-12</v>
      </c>
      <c r="S85" s="377">
        <f ca="1">Model!S214</f>
        <v>1e-12</v>
      </c>
      <c r="T85" s="378">
        <f ca="1">Model!T214</f>
        <v>1e-12</v>
      </c>
      <c r="U85" s="377">
        <f ca="1">Model!U214</f>
        <v>1e-12</v>
      </c>
      <c r="V85" s="377">
        <f ca="1">Model!V214</f>
        <v>1e-12</v>
      </c>
      <c r="W85" s="377">
        <f ca="1">Model!W214</f>
        <v>1e-12</v>
      </c>
      <c r="X85" s="379">
        <f ca="1">IF(Case_Scenario="Bull",X86,IF(Case_Scenario="Base",X87,IF(Case_Scenario="bear",X88,"N/A")))</f>
        <v>0</v>
      </c>
      <c r="Y85" s="378">
        <f ca="1">Model!Y214</f>
        <v>1e-12</v>
      </c>
      <c r="Z85" s="379">
        <f ca="1">IF(Case_Scenario="Bull",Z86,IF(Case_Scenario="Base",Z87,IF(Case_Scenario="bear",Z88,"N/A")))</f>
        <v>0</v>
      </c>
      <c r="AA85" s="379">
        <f ca="1">IF(Case_Scenario="Bull",AA86,IF(Case_Scenario="Base",AA87,IF(Case_Scenario="bear",AA88,"N/A")))</f>
        <v>0</v>
      </c>
      <c r="AB85" s="379">
        <f ca="1">IF(Case_Scenario="Bull",AB86,IF(Case_Scenario="Base",AB87,IF(Case_Scenario="bear",AB88,"N/A")))</f>
        <v>0</v>
      </c>
      <c r="AC85" s="379">
        <f ca="1">IF(Case_Scenario="Bull",AC86,IF(Case_Scenario="Base",AC87,IF(Case_Scenario="bear",AC88,"N/A")))</f>
        <v>0</v>
      </c>
      <c r="AD85" s="378">
        <f ca="1">Model!AD214</f>
        <v>1e-12</v>
      </c>
      <c r="AE85" s="378">
        <f ca="1">IF(Case_Scenario="Bull",AE86,IF(Case_Scenario="Base",AE87,IF(Case_Scenario="bear",AE88,"N/A")))</f>
        <v>0</v>
      </c>
      <c r="AF85" s="378">
        <f ca="1">IF(Case_Scenario="Bull",AF86,IF(Case_Scenario="Base",AF87,IF(Case_Scenario="bear",AF88,"N/A")))</f>
        <v>0</v>
      </c>
      <c r="AG85" s="378">
        <f ca="1">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485</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 ca="1">Model!C200</f>
        <v>Capex as a % of Sales</v>
      </c>
      <c r="D92" s="16"/>
      <c r="E92" s="16"/>
      <c r="F92" s="377">
        <f ca="1">Model!F200</f>
        <v>0.012903225806451613</v>
      </c>
      <c r="G92" s="377">
        <f ca="1">Model!G200</f>
        <v>0.015271926464955956</v>
      </c>
      <c r="H92" s="377">
        <f ca="1">Model!H200</f>
        <v>0.01739879414298019</v>
      </c>
      <c r="I92" s="377">
        <f ca="1">Model!I200</f>
        <v>0.020963824619711108</v>
      </c>
      <c r="J92" s="378">
        <f ca="1">Model!J200</f>
        <v>0.016463559999439062</v>
      </c>
      <c r="K92" s="377">
        <f ca="1">Model!K200</f>
        <v>0.011555154726340116</v>
      </c>
      <c r="L92" s="377">
        <f ca="1">Model!L200</f>
        <v>0.015291539634146341</v>
      </c>
      <c r="M92" s="377">
        <f ca="1">Model!M200</f>
        <v>0.02306188175753393</v>
      </c>
      <c r="N92" s="377">
        <f ca="1">Model!N200</f>
        <v>0.03475385287327635</v>
      </c>
      <c r="O92" s="378">
        <f ca="1">Model!O200</f>
        <v>0.020568830736818762</v>
      </c>
      <c r="P92" s="377">
        <f ca="1">Model!P200</f>
        <v>0.016670902160101652</v>
      </c>
      <c r="Q92" s="377">
        <f ca="1">Model!Q200</f>
        <v>0.013991648963445902</v>
      </c>
      <c r="R92" s="377">
        <f ca="1">Model!R200</f>
        <v>0.02070913084405397</v>
      </c>
      <c r="S92" s="377">
        <f ca="1">Model!S200</f>
        <v>0.02742356358623406</v>
      </c>
      <c r="T92" s="378">
        <f ca="1">Model!T200</f>
        <v>0.019297521122359006</v>
      </c>
      <c r="U92" s="377">
        <f ca="1">Model!U200</f>
        <v>0.018876422897387602</v>
      </c>
      <c r="V92" s="377">
        <f ca="1">Model!V200</f>
        <v>0.013964454116793616</v>
      </c>
      <c r="W92" s="377">
        <f ca="1">Model!W200</f>
        <v>0.017889868225848676</v>
      </c>
      <c r="X92" s="379">
        <f ca="1">IF(Case_Scenario="Bull",X93,IF(Case_Scenario="Base",X94,IF(Case_Scenario="bear",X95,"N/A")))</f>
        <v>0.017</v>
      </c>
      <c r="Y92" s="378">
        <f ca="1">Model!Y200</f>
        <v>0.016819304711006483</v>
      </c>
      <c r="Z92" s="379">
        <f ca="1">IF(Case_Scenario="Bull",Z93,IF(Case_Scenario="Base",Z94,IF(Case_Scenario="bear",Z95,"N/A")))</f>
        <v>0.024</v>
      </c>
      <c r="AA92" s="379">
        <f ca="1">IF(Case_Scenario="Bull",AA93,IF(Case_Scenario="Base",AA94,IF(Case_Scenario="bear",AA95,"N/A")))</f>
        <v>0.022</v>
      </c>
      <c r="AB92" s="379">
        <f ca="1">IF(Case_Scenario="Bull",AB93,IF(Case_Scenario="Base",AB94,IF(Case_Scenario="bear",AB95,"N/A")))</f>
        <v>0.017</v>
      </c>
      <c r="AC92" s="379">
        <f ca="1">IF(Case_Scenario="Bull",AC93,IF(Case_Scenario="Base",AC94,IF(Case_Scenario="bear",AC95,"N/A")))</f>
        <v>0.017</v>
      </c>
      <c r="AD92" s="378">
        <f ca="1">Model!AD200</f>
        <v>0.02010040427318712</v>
      </c>
      <c r="AE92" s="378">
        <f ca="1">IF(Case_Scenario="Bull",AE93,IF(Case_Scenario="Base",AE94,IF(Case_Scenario="bear",AE95,"N/A")))</f>
        <v>0.02</v>
      </c>
      <c r="AF92" s="378">
        <f ca="1">IF(Case_Scenario="Bull",AF93,IF(Case_Scenario="Base",AF94,IF(Case_Scenario="bear",AF95,"N/A")))</f>
        <v>0.02</v>
      </c>
      <c r="AG92" s="378">
        <f ca="1">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 ca="1">Model!C84</f>
        <v>Proceeds From/(Acquisitions of) Businesses</v>
      </c>
      <c r="D97" s="16"/>
      <c r="E97" s="16"/>
      <c r="F97" s="325">
        <f ca="1">Model!F84</f>
        <v>1e-12</v>
      </c>
      <c r="G97" s="325">
        <f ca="1">Model!G84</f>
        <v>1e-12</v>
      </c>
      <c r="H97" s="325">
        <f ca="1">Model!H84</f>
        <v>1e-12</v>
      </c>
      <c r="I97" s="325">
        <f ca="1">Model!I84</f>
        <v>1e-12</v>
      </c>
      <c r="J97" s="326">
        <f ca="1">Model!J84</f>
        <v>1e-12</v>
      </c>
      <c r="K97" s="325">
        <f ca="1">Model!K84</f>
        <v>1e-12</v>
      </c>
      <c r="L97" s="325">
        <f ca="1">Model!L84</f>
        <v>1e-12</v>
      </c>
      <c r="M97" s="325">
        <f ca="1">Model!M84</f>
        <v>1e-12</v>
      </c>
      <c r="N97" s="325">
        <f ca="1">Model!N84</f>
        <v>1e-12</v>
      </c>
      <c r="O97" s="326">
        <f ca="1">Model!O84</f>
        <v>1e-12</v>
      </c>
      <c r="P97" s="325">
        <f ca="1">Model!P84</f>
        <v>1e-12</v>
      </c>
      <c r="Q97" s="325">
        <f ca="1">Model!Q84</f>
        <v>1e-12</v>
      </c>
      <c r="R97" s="325">
        <f ca="1">Model!R84</f>
        <v>1e-12</v>
      </c>
      <c r="S97" s="325">
        <f ca="1">Model!S84</f>
        <v>1e-12</v>
      </c>
      <c r="T97" s="326">
        <f ca="1">Model!T84</f>
        <v>1e-12</v>
      </c>
      <c r="U97" s="325">
        <f ca="1">Model!U84</f>
        <v>1e-12</v>
      </c>
      <c r="V97" s="325">
        <f ca="1">Model!V84</f>
        <v>1e-12</v>
      </c>
      <c r="W97" s="325">
        <f ca="1">Model!W84</f>
        <v>1e-12</v>
      </c>
      <c r="X97" s="517">
        <v>0</v>
      </c>
      <c r="Y97" s="326">
        <f ca="1">Model!Y84</f>
        <v>1e-12</v>
      </c>
      <c r="Z97" s="517">
        <v>0</v>
      </c>
      <c r="AA97" s="517">
        <v>0</v>
      </c>
      <c r="AB97" s="517">
        <v>0</v>
      </c>
      <c r="AC97" s="517">
        <v>0</v>
      </c>
      <c r="AD97" s="326">
        <f ca="1">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486</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 ca="1">Model!C273</f>
        <v>Dividends YoY Growth Rate</v>
      </c>
      <c r="D101" s="16"/>
      <c r="E101" s="16"/>
      <c r="F101" s="377"/>
      <c r="G101" s="377"/>
      <c r="H101" s="377"/>
      <c r="I101" s="377"/>
      <c r="J101" s="378"/>
      <c r="K101" s="377">
        <f ca="1">Model!K273</f>
        <v>0.13235294117647056</v>
      </c>
      <c r="L101" s="377">
        <f ca="1">Model!L273</f>
        <v>0.1301775147928994</v>
      </c>
      <c r="M101" s="377">
        <f ca="1">Model!M273</f>
        <v>0.09743589743589753</v>
      </c>
      <c r="N101" s="377">
        <f ca="1">Model!N273</f>
        <v>0.09302325581395343</v>
      </c>
      <c r="O101" s="378"/>
      <c r="P101" s="377">
        <f ca="1">Model!P273</f>
        <v>0.09090909090909083</v>
      </c>
      <c r="Q101" s="377">
        <f ca="1">Model!Q273</f>
        <v>0.08900523560209428</v>
      </c>
      <c r="R101" s="377">
        <f ca="1">Model!R273</f>
        <v>-0.028037383177570097</v>
      </c>
      <c r="S101" s="377">
        <f ca="1">Model!S273</f>
        <v>0.0685579196217494</v>
      </c>
      <c r="T101" s="378"/>
      <c r="U101" s="377">
        <f ca="1">Model!U273</f>
        <v>0.04761904761904767</v>
      </c>
      <c r="V101" s="377">
        <f ca="1">Model!V273</f>
        <v>0.033653846153846256</v>
      </c>
      <c r="W101" s="377">
        <f ca="1">Model!W273</f>
        <v>0.3533653846153846</v>
      </c>
      <c r="X101" s="379">
        <f ca="1">IF(Case_Scenario="Bull",X102,IF(Case_Scenario="Base",X103,IF(Case_Scenario="bear",X104,"N/A")))</f>
        <v>0.15</v>
      </c>
      <c r="Y101" s="378"/>
      <c r="Z101" s="379">
        <f ca="1">IF(Case_Scenario="Bull",Z102,IF(Case_Scenario="Base",Z103,IF(Case_Scenario="bear",Z104,"N/A")))</f>
        <v>0.15</v>
      </c>
      <c r="AA101" s="379">
        <f ca="1">IF(Case_Scenario="Bull",AA102,IF(Case_Scenario="Base",AA103,IF(Case_Scenario="bear",AA104,"N/A")))</f>
        <v>0.15</v>
      </c>
      <c r="AB101" s="379">
        <f ca="1">IF(Case_Scenario="Bull",AB102,IF(Case_Scenario="Base",AB103,IF(Case_Scenario="bear",AB104,"N/A")))</f>
        <v>0.15</v>
      </c>
      <c r="AC101" s="379">
        <f ca="1">IF(Case_Scenario="Bull",AC102,IF(Case_Scenario="Base",AC103,IF(Case_Scenario="bear",AC104,"N/A")))</f>
        <v>0.15</v>
      </c>
      <c r="AD101" s="378"/>
      <c r="AE101" s="378">
        <f ca="1">IF(Case_Scenario="Bull",AE102,IF(Case_Scenario="Base",AE103,IF(Case_Scenario="bear",AE104,"N/A")))</f>
        <v>0.1</v>
      </c>
      <c r="AF101" s="378">
        <f ca="1">IF(Case_Scenario="Bull",AF102,IF(Case_Scenario="Base",AF103,IF(Case_Scenario="bear",AF104,"N/A")))</f>
        <v>0.1</v>
      </c>
      <c r="AG101" s="378">
        <f ca="1">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 ca="1">Model!C95</f>
        <v>Change in Noncontrolling Interests</v>
      </c>
      <c r="D106" s="16"/>
      <c r="E106" s="16"/>
      <c r="F106" s="325">
        <f ca="1">Model!F95</f>
        <v>1e-12</v>
      </c>
      <c r="G106" s="325">
        <f ca="1">Model!G95</f>
        <v>1e-12</v>
      </c>
      <c r="H106" s="325">
        <f ca="1">Model!H95</f>
        <v>1e-12</v>
      </c>
      <c r="I106" s="325">
        <f ca="1">Model!I95</f>
        <v>1e-12</v>
      </c>
      <c r="J106" s="326">
        <f ca="1">Model!J95</f>
        <v>1e-12</v>
      </c>
      <c r="K106" s="325">
        <f ca="1">Model!K95</f>
        <v>1e-12</v>
      </c>
      <c r="L106" s="325">
        <f ca="1">Model!L95</f>
        <v>1e-12</v>
      </c>
      <c r="M106" s="325">
        <f ca="1">Model!M95</f>
        <v>1e-12</v>
      </c>
      <c r="N106" s="325">
        <f ca="1">Model!N95</f>
        <v>1e-12</v>
      </c>
      <c r="O106" s="326">
        <f ca="1">Model!O95</f>
        <v>1e-12</v>
      </c>
      <c r="P106" s="325">
        <f ca="1">Model!P95</f>
        <v>1e-12</v>
      </c>
      <c r="Q106" s="325">
        <f ca="1">Model!Q95</f>
        <v>1e-12</v>
      </c>
      <c r="R106" s="325">
        <f ca="1">Model!R95</f>
        <v>1e-12</v>
      </c>
      <c r="S106" s="325">
        <f ca="1">Model!S95</f>
        <v>1e-12</v>
      </c>
      <c r="T106" s="326">
        <f ca="1">Model!T95</f>
        <v>1e-12</v>
      </c>
      <c r="U106" s="325">
        <f ca="1">Model!U95</f>
        <v>1e-12</v>
      </c>
      <c r="V106" s="325">
        <f ca="1">Model!V95</f>
        <v>1e-12</v>
      </c>
      <c r="W106" s="325">
        <f ca="1">Model!W95</f>
        <v>1e-12</v>
      </c>
      <c r="X106" s="517">
        <v>0</v>
      </c>
      <c r="Y106" s="326">
        <f ca="1">Model!Y95</f>
        <v>1e-12</v>
      </c>
      <c r="Z106" s="517">
        <v>0</v>
      </c>
      <c r="AA106" s="517">
        <v>0</v>
      </c>
      <c r="AB106" s="517">
        <v>0</v>
      </c>
      <c r="AC106" s="517">
        <v>0</v>
      </c>
      <c r="AD106" s="326">
        <f ca="1">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 ca="1">Model!C98</f>
        <v>Effect of FX Rate Changes on Cash</v>
      </c>
      <c r="D108" s="16"/>
      <c r="E108" s="16"/>
      <c r="F108" s="325">
        <f ca="1">Model!F98</f>
        <v>1e-12</v>
      </c>
      <c r="G108" s="325">
        <f ca="1">Model!G98</f>
        <v>1e-12</v>
      </c>
      <c r="H108" s="325">
        <f ca="1">Model!H98</f>
        <v>1e-12</v>
      </c>
      <c r="I108" s="325">
        <f ca="1">Model!I98</f>
        <v>1e-12</v>
      </c>
      <c r="J108" s="326">
        <f ca="1">Model!J98</f>
        <v>1e-12</v>
      </c>
      <c r="K108" s="325">
        <f ca="1">Model!K98</f>
        <v>1e-12</v>
      </c>
      <c r="L108" s="325">
        <f ca="1">Model!L98</f>
        <v>1e-12</v>
      </c>
      <c r="M108" s="325">
        <f ca="1">Model!M98</f>
        <v>1e-12</v>
      </c>
      <c r="N108" s="325">
        <f ca="1">Model!N98</f>
        <v>1e-12</v>
      </c>
      <c r="O108" s="326">
        <f ca="1">Model!O98</f>
        <v>1e-12</v>
      </c>
      <c r="P108" s="325">
        <f ca="1">Model!P98</f>
        <v>1e-12</v>
      </c>
      <c r="Q108" s="325">
        <f ca="1">Model!Q98</f>
        <v>1e-12</v>
      </c>
      <c r="R108" s="325">
        <f ca="1">Model!R98</f>
        <v>1e-12</v>
      </c>
      <c r="S108" s="325">
        <f ca="1">Model!S98</f>
        <v>1e-12</v>
      </c>
      <c r="T108" s="326">
        <f ca="1">Model!T98</f>
        <v>1e-12</v>
      </c>
      <c r="U108" s="325">
        <f ca="1">Model!U98</f>
        <v>1e-12</v>
      </c>
      <c r="V108" s="325">
        <f ca="1">Model!V98</f>
        <v>1e-12</v>
      </c>
      <c r="W108" s="325">
        <f ca="1">Model!W98</f>
        <v>1e-12</v>
      </c>
      <c r="X108" s="517">
        <v>0</v>
      </c>
      <c r="Y108" s="326">
        <f ca="1">Model!Y98</f>
        <v>1e-12</v>
      </c>
      <c r="Z108" s="517">
        <v>0</v>
      </c>
      <c r="AA108" s="517">
        <v>0</v>
      </c>
      <c r="AB108" s="517">
        <v>0</v>
      </c>
      <c r="AC108" s="517">
        <v>0</v>
      </c>
      <c r="AD108" s="326">
        <f ca="1">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487</v>
      </c>
      <c r="D110" s="373"/>
      <c r="E110" s="373"/>
      <c r="F110" s="351" t="str">
        <f ca="1">Model!F$25</f>
        <v>1Q23</v>
      </c>
      <c r="G110" s="194" t="str">
        <f ca="1">Model!G$25</f>
        <v>2Q23</v>
      </c>
      <c r="H110" s="194" t="str">
        <f ca="1">Model!H$25</f>
        <v>3Q23</v>
      </c>
      <c r="I110" s="194" t="str">
        <f ca="1">Model!I$25</f>
        <v>4Q23</v>
      </c>
      <c r="J110" s="194">
        <f ca="1">Model!J$25</f>
        <v>2023</v>
      </c>
      <c r="K110" s="194" t="str">
        <f ca="1">Model!K$25</f>
        <v>1Q24</v>
      </c>
      <c r="L110" s="194" t="str">
        <f ca="1">Model!L$25</f>
        <v>2Q24</v>
      </c>
      <c r="M110" s="194" t="str">
        <f ca="1">Model!M$25</f>
        <v>3Q24</v>
      </c>
      <c r="N110" s="194" t="str">
        <f ca="1">Model!N$25</f>
        <v>4Q24</v>
      </c>
      <c r="O110" s="194">
        <f ca="1">Model!O$25</f>
        <v>2024</v>
      </c>
      <c r="P110" s="194" t="str">
        <f ca="1">Model!P$25</f>
        <v>1Q25</v>
      </c>
      <c r="Q110" s="194" t="str">
        <f ca="1">Model!Q$25</f>
        <v>2Q25</v>
      </c>
      <c r="R110" s="194" t="str">
        <f ca="1">Model!R$25</f>
        <v>3Q25</v>
      </c>
      <c r="S110" s="194" t="str">
        <f ca="1">Model!S$25</f>
        <v>4Q25</v>
      </c>
      <c r="T110" s="194">
        <f ca="1">Model!T$25</f>
        <v>2025</v>
      </c>
      <c r="U110" s="194" t="str">
        <f ca="1">Model!U$25</f>
        <v>1Q26</v>
      </c>
      <c r="V110" s="194" t="str">
        <f ca="1">Model!V$25</f>
        <v>2Q26</v>
      </c>
      <c r="W110" s="194" t="str">
        <f ca="1">Model!W$25</f>
        <v>3Q26e</v>
      </c>
      <c r="X110" s="194" t="str">
        <f ca="1">Model!X$25</f>
        <v>4Q26e</v>
      </c>
      <c r="Y110" s="194" t="str">
        <f ca="1">Model!Y$25</f>
        <v>2026e</v>
      </c>
      <c r="Z110" s="194" t="str">
        <f ca="1">Model!Z$25</f>
        <v>1Q27e</v>
      </c>
      <c r="AA110" s="194" t="str">
        <f ca="1">Model!AA$25</f>
        <v>2Q27e</v>
      </c>
      <c r="AB110" s="194" t="str">
        <f ca="1">Model!AB$25</f>
        <v>3Q27e</v>
      </c>
      <c r="AC110" s="194" t="str">
        <f ca="1">Model!AC$25</f>
        <v>4Q27e</v>
      </c>
      <c r="AD110" s="194" t="str">
        <f ca="1">Model!AD$25</f>
        <v>2027e</v>
      </c>
      <c r="AE110" s="194" t="str">
        <f ca="1">Model!AE$25</f>
        <v>2028e</v>
      </c>
      <c r="AF110" s="194" t="str">
        <f ca="1">Model!AF$25</f>
        <v>2029e</v>
      </c>
      <c r="AG110" s="352" t="str">
        <f ca="1">Model!AG$25</f>
        <v>2030e</v>
      </c>
      <c r="AH110" s="16"/>
      <c r="AI110" s="16"/>
    </row>
    <row r="111" ht="12.75" customHeight="1" spans="1:35" x14ac:dyDescent="0.25">
      <c r="A111" s="16"/>
      <c r="B111" s="16"/>
      <c r="C111" s="507" t="s">
        <v>488</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 ca="1">Model!C182</f>
        <v>Days Sales Outstanding</v>
      </c>
      <c r="D113" s="16"/>
      <c r="E113" s="16"/>
      <c r="F113" s="377"/>
      <c r="G113" s="325">
        <f ca="1">Model!G182</f>
        <v>1e-12</v>
      </c>
      <c r="H113" s="325">
        <f ca="1">Model!H182</f>
        <v>1e-12</v>
      </c>
      <c r="I113" s="325">
        <f ca="1">Model!I182</f>
        <v>1e-12</v>
      </c>
      <c r="J113" s="326">
        <f ca="1">Model!J182</f>
        <v>1e-12</v>
      </c>
      <c r="K113" s="325">
        <f ca="1">Model!K182</f>
        <v>1e-12</v>
      </c>
      <c r="L113" s="325">
        <f ca="1">Model!L182</f>
        <v>1e-12</v>
      </c>
      <c r="M113" s="325">
        <f ca="1">Model!M182</f>
        <v>1e-12</v>
      </c>
      <c r="N113" s="325">
        <f ca="1">Model!N182</f>
        <v>1e-12</v>
      </c>
      <c r="O113" s="326">
        <f ca="1">Model!O182</f>
        <v>1e-12</v>
      </c>
      <c r="P113" s="325">
        <f ca="1">Model!P182</f>
        <v>1e-12</v>
      </c>
      <c r="Q113" s="325">
        <f ca="1">Model!Q182</f>
        <v>1e-12</v>
      </c>
      <c r="R113" s="325">
        <f ca="1">Model!R182</f>
        <v>1e-12</v>
      </c>
      <c r="S113" s="325">
        <f ca="1">Model!S182</f>
        <v>1e-12</v>
      </c>
      <c r="T113" s="326">
        <f ca="1">Model!T182</f>
        <v>1e-12</v>
      </c>
      <c r="U113" s="325">
        <f ca="1">Model!U182</f>
        <v>1e-12</v>
      </c>
      <c r="V113" s="325">
        <f ca="1">Model!V182</f>
        <v>1e-12</v>
      </c>
      <c r="W113" s="325">
        <f ca="1">Model!W182</f>
        <v>1e-12</v>
      </c>
      <c r="X113" s="327">
        <f ca="1">IF(Case_Scenario="Bull",X114,IF(Case_Scenario="Base",X115,IF(Case_Scenario="bear",X116,"N/A")))</f>
        <v>0</v>
      </c>
      <c r="Y113" s="326">
        <f ca="1">Model!Y182</f>
        <v>1e-12</v>
      </c>
      <c r="Z113" s="327">
        <f ca="1">IF(Case_Scenario="Bull",Z114,IF(Case_Scenario="Base",Z115,IF(Case_Scenario="bear",Z116,"N/A")))</f>
        <v>0</v>
      </c>
      <c r="AA113" s="327">
        <f ca="1">IF(Case_Scenario="Bull",AA114,IF(Case_Scenario="Base",AA115,IF(Case_Scenario="bear",AA116,"N/A")))</f>
        <v>0</v>
      </c>
      <c r="AB113" s="327">
        <f ca="1">IF(Case_Scenario="Bull",AB114,IF(Case_Scenario="Base",AB115,IF(Case_Scenario="bear",AB116,"N/A")))</f>
        <v>0</v>
      </c>
      <c r="AC113" s="327">
        <f ca="1">IF(Case_Scenario="Bull",AC114,IF(Case_Scenario="Base",AC115,IF(Case_Scenario="bear",AC116,"N/A")))</f>
        <v>0</v>
      </c>
      <c r="AD113" s="326">
        <f ca="1">Model!AD182</f>
        <v>1e-12</v>
      </c>
      <c r="AE113" s="326">
        <f ca="1">IF(Case_Scenario="Bull",AE114,IF(Case_Scenario="Base",AE115,IF(Case_Scenario="bear",AE116,"N/A")))</f>
        <v>0</v>
      </c>
      <c r="AF113" s="326">
        <f ca="1">IF(Case_Scenario="Bull",AF114,IF(Case_Scenario="Base",AF115,IF(Case_Scenario="bear",AF116,"N/A")))</f>
        <v>0</v>
      </c>
      <c r="AG113" s="326">
        <f ca="1">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 ca="1">Model!C183</f>
        <v>Days Inventory Outstanding</v>
      </c>
      <c r="D118" s="16"/>
      <c r="E118" s="16"/>
      <c r="F118" s="377"/>
      <c r="G118" s="325">
        <f ca="1">Model!G183</f>
        <v>83.39173789173789</v>
      </c>
      <c r="H118" s="325">
        <f ca="1">Model!H183</f>
        <v>94.8957890259464</v>
      </c>
      <c r="I118" s="325">
        <f ca="1">Model!I183</f>
        <v>98.76785252821087</v>
      </c>
      <c r="J118" s="326">
        <f ca="1">Model!J183</f>
        <v>94.5511972893122</v>
      </c>
      <c r="K118" s="325">
        <f ca="1">Model!K183</f>
        <v>102.09004934210527</v>
      </c>
      <c r="L118" s="325">
        <f ca="1">Model!L183</f>
        <v>91.80451866404715</v>
      </c>
      <c r="M118" s="325">
        <f ca="1">Model!M183</f>
        <v>107.46646237657474</v>
      </c>
      <c r="N118" s="325">
        <f ca="1">Model!N183</f>
        <v>112.01177003168854</v>
      </c>
      <c r="O118" s="326">
        <f ca="1">Model!O183</f>
        <v>95.46895640686921</v>
      </c>
      <c r="P118" s="325">
        <f ca="1">Model!P183</f>
        <v>93.89074608722079</v>
      </c>
      <c r="Q118" s="325">
        <f ca="1">Model!Q183</f>
        <v>71.07384153794867</v>
      </c>
      <c r="R118" s="325">
        <f ca="1">Model!R183</f>
        <v>90.54420680924778</v>
      </c>
      <c r="S118" s="325">
        <f ca="1">Model!S183</f>
        <v>106.00433369447454</v>
      </c>
      <c r="T118" s="326">
        <f ca="1">Model!T183</f>
        <v>89.31899223514513</v>
      </c>
      <c r="U118" s="325">
        <f ca="1">Model!U183</f>
        <v>95.49932482199853</v>
      </c>
      <c r="V118" s="325">
        <f ca="1">Model!V183</f>
        <v>88.97644868003067</v>
      </c>
      <c r="W118" s="325">
        <f ca="1">Model!W183</f>
        <v>102.03652729763225</v>
      </c>
      <c r="X118" s="327">
        <f ca="1">IF(Case_Scenario="Bull",X119,IF(Case_Scenario="Base",X120,IF(Case_Scenario="bear",X121,"N/A")))</f>
        <v>90</v>
      </c>
      <c r="Y118" s="326">
        <f ca="1">Model!Y183</f>
        <v>92.07624734938022</v>
      </c>
      <c r="Z118" s="327">
        <f ca="1">IF(Case_Scenario="Bull",Z119,IF(Case_Scenario="Base",Z120,IF(Case_Scenario="bear",Z121,"N/A")))</f>
        <v>95</v>
      </c>
      <c r="AA118" s="327">
        <f ca="1">IF(Case_Scenario="Bull",AA119,IF(Case_Scenario="Base",AA120,IF(Case_Scenario="bear",AA121,"N/A")))</f>
        <v>80</v>
      </c>
      <c r="AB118" s="327">
        <f ca="1">IF(Case_Scenario="Bull",AB119,IF(Case_Scenario="Base",AB120,IF(Case_Scenario="bear",AB121,"N/A")))</f>
        <v>85</v>
      </c>
      <c r="AC118" s="327">
        <f ca="1">IF(Case_Scenario="Bull",AC119,IF(Case_Scenario="Base",AC120,IF(Case_Scenario="bear",AC121,"N/A")))</f>
        <v>90</v>
      </c>
      <c r="AD118" s="326">
        <f ca="1">Model!AD183</f>
        <v>78.93300806770992</v>
      </c>
      <c r="AE118" s="326">
        <f ca="1">IF(Case_Scenario="Bull",AE119,IF(Case_Scenario="Base",AE120,IF(Case_Scenario="bear",AE121,"N/A")))</f>
        <v>84</v>
      </c>
      <c r="AF118" s="326">
        <f ca="1">IF(Case_Scenario="Bull",AF119,IF(Case_Scenario="Base",AF120,IF(Case_Scenario="bear",AF121,"N/A")))</f>
        <v>84</v>
      </c>
      <c r="AG118" s="326">
        <f ca="1">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 ca="1">Model!C186</f>
        <v>Prepaid &amp; Other Current Assets as a % of Sales</v>
      </c>
      <c r="D123" s="16"/>
      <c r="E123" s="16"/>
      <c r="F123" s="377">
        <f ca="1">Model!F186</f>
        <v>0.015250576036866359</v>
      </c>
      <c r="G123" s="377">
        <f ca="1">Model!G186</f>
        <v>0.011441976254308693</v>
      </c>
      <c r="H123" s="377">
        <f ca="1">Model!H186</f>
        <v>0.012876830318690784</v>
      </c>
      <c r="I123" s="377">
        <f ca="1">Model!I186</f>
        <v>0.014987856321104435</v>
      </c>
      <c r="J123" s="378">
        <f ca="1">Model!J186</f>
        <v>0.01315401982919407</v>
      </c>
      <c r="K123" s="377">
        <f ca="1">Model!K186</f>
        <v>0.016149033312665578</v>
      </c>
      <c r="L123" s="377">
        <f ca="1">Model!L186</f>
        <v>0.011849752286585366</v>
      </c>
      <c r="M123" s="377">
        <f ca="1">Model!M186</f>
        <v>0.01473717506326202</v>
      </c>
      <c r="N123" s="377">
        <f ca="1">Model!N186</f>
        <v>0.01970112934423161</v>
      </c>
      <c r="O123" s="378">
        <f ca="1">Model!O186</f>
        <v>0.01750568276320896</v>
      </c>
      <c r="P123" s="377">
        <f ca="1">Model!P186</f>
        <v>0.018894536213468868</v>
      </c>
      <c r="Q123" s="377">
        <f ca="1">Model!Q186</f>
        <v>0.010621932459160502</v>
      </c>
      <c r="R123" s="377">
        <f ca="1">Model!R186</f>
        <v>0.012360482316553857</v>
      </c>
      <c r="S123" s="377">
        <f ca="1">Model!S186</f>
        <v>0.011533159371768992</v>
      </c>
      <c r="T123" s="378">
        <f ca="1">Model!T186</f>
        <v>0.010457939439936606</v>
      </c>
      <c r="U123" s="377">
        <f ca="1">Model!U186</f>
        <v>0.01318483334698223</v>
      </c>
      <c r="V123" s="377">
        <f ca="1">Model!V186</f>
        <v>0.013656147986942329</v>
      </c>
      <c r="W123" s="377">
        <f ca="1">Model!W186</f>
        <v>0.016264508246792913</v>
      </c>
      <c r="X123" s="379">
        <f ca="1">IF(Case_Scenario="Bull",X124,IF(Case_Scenario="Base",X125,IF(Case_Scenario="bear",X126,"N/A")))</f>
        <v>0</v>
      </c>
      <c r="Y123" s="378">
        <f ca="1">Model!Y186</f>
        <v>1e-12</v>
      </c>
      <c r="Z123" s="379">
        <f ca="1">IF(Case_Scenario="Bull",Z124,IF(Case_Scenario="Base",Z125,IF(Case_Scenario="bear",Z126,"N/A")))</f>
        <v>0.018</v>
      </c>
      <c r="AA123" s="379">
        <f ca="1">IF(Case_Scenario="Bull",AA124,IF(Case_Scenario="Base",AA125,IF(Case_Scenario="bear",AA126,"N/A")))</f>
        <v>0.018</v>
      </c>
      <c r="AB123" s="379">
        <f ca="1">IF(Case_Scenario="Bull",AB124,IF(Case_Scenario="Base",AB125,IF(Case_Scenario="bear",AB126,"N/A")))</f>
        <v>0.018</v>
      </c>
      <c r="AC123" s="379">
        <f ca="1">IF(Case_Scenario="Bull",AC124,IF(Case_Scenario="Base",AC125,IF(Case_Scenario="bear",AC126,"N/A")))</f>
        <v>0.018</v>
      </c>
      <c r="AD123" s="378">
        <f ca="1">Model!AD186</f>
        <v>0.016751674706560162</v>
      </c>
      <c r="AE123" s="378">
        <f ca="1">IF(Case_Scenario="Bull",AE124,IF(Case_Scenario="Base",AE125,IF(Case_Scenario="bear",AE126,"N/A")))</f>
        <v>0.018</v>
      </c>
      <c r="AF123" s="378">
        <f ca="1">IF(Case_Scenario="Bull",AF124,IF(Case_Scenario="Base",AF125,IF(Case_Scenario="bear",AF126,"N/A")))</f>
        <v>0.018</v>
      </c>
      <c r="AG123" s="378">
        <f ca="1">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 ca="1">W125</f>
        <v>1e-12</v>
      </c>
      <c r="Y125" s="378"/>
      <c r="Z125" s="320">
        <v>0.018</v>
      </c>
      <c r="AA125" s="320">
        <f t="shared" ref="AA125:AC125" si="0" ca="1">Z125</f>
        <v>0.018</v>
      </c>
      <c r="AB125" s="320">
        <f ca="1">AA125</f>
        <v>0.018</v>
      </c>
      <c r="AC125" s="320">
        <f ca="1">AB125</f>
        <v>0.018</v>
      </c>
      <c r="AD125" s="378"/>
      <c r="AE125" s="321">
        <f ca="1">AC125</f>
        <v>0.018</v>
      </c>
      <c r="AF125" s="321">
        <f t="shared" ref="AF125:AG125" si="1" ca="1">AE125</f>
        <v>0.018</v>
      </c>
      <c r="AG125" s="321">
        <f ca="1">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 ca="1">Model!C232</f>
        <v>% Change in LT Assets</v>
      </c>
      <c r="D128" s="16"/>
      <c r="E128" s="16"/>
      <c r="F128" s="377">
        <f ca="1">Model!F232</f>
        <v>1e-12</v>
      </c>
      <c r="G128" s="377">
        <f ca="1">Model!G232</f>
        <v>-0.1673728813559322</v>
      </c>
      <c r="H128" s="377">
        <f ca="1">Model!H232</f>
        <v>0.17048346055979646</v>
      </c>
      <c r="I128" s="377">
        <f ca="1">Model!I232</f>
        <v>0.11956521739130443</v>
      </c>
      <c r="J128" s="378">
        <f ca="1">Model!J232</f>
        <v>1e-12</v>
      </c>
      <c r="K128" s="377">
        <f ca="1">Model!K232</f>
        <v>2.515210355987055</v>
      </c>
      <c r="L128" s="377">
        <f ca="1">Model!L232</f>
        <v>-0.00699686982139569</v>
      </c>
      <c r="M128" s="377">
        <f ca="1">Model!M232</f>
        <v>0.0064898943074356286</v>
      </c>
      <c r="N128" s="377">
        <f ca="1">Model!N232</f>
        <v>-0.045504789977892424</v>
      </c>
      <c r="O128" s="378">
        <f ca="1">Model!O232</f>
        <v>2.353398058252427</v>
      </c>
      <c r="P128" s="377">
        <f ca="1">Model!P232</f>
        <v>0.04323489673808134</v>
      </c>
      <c r="Q128" s="377">
        <f ca="1">Model!Q232</f>
        <v>0.005365402405180353</v>
      </c>
      <c r="R128" s="377">
        <f ca="1">Model!R232</f>
        <v>-0.028156054471843994</v>
      </c>
      <c r="S128" s="377">
        <f ca="1">Model!S232</f>
        <v>-0.7896231774285173</v>
      </c>
      <c r="T128" s="378">
        <f ca="1">Model!T232</f>
        <v>-0.7855626326963907</v>
      </c>
      <c r="U128" s="377">
        <f ca="1">Model!U232</f>
        <v>3.7929792979297927</v>
      </c>
      <c r="V128" s="377">
        <f ca="1">Model!V232</f>
        <v>-0.0065727699530516714</v>
      </c>
      <c r="W128" s="377">
        <f ca="1">Model!W232</f>
        <v>0.06351606805293009</v>
      </c>
      <c r="X128" s="379">
        <f ca="1">IF(Case_Scenario="Bull",X129,IF(Case_Scenario="Base",X130,IF(Case_Scenario="bear",X131,"N/A")))</f>
        <v>0.02</v>
      </c>
      <c r="Y128" s="378">
        <f ca="1">Model!Y232</f>
        <v>4.165184518451846</v>
      </c>
      <c r="Z128" s="379">
        <f ca="1">IF(Case_Scenario="Bull",Z129,IF(Case_Scenario="Base",Z130,IF(Case_Scenario="bear",Z131,"N/A")))</f>
        <v>0.02</v>
      </c>
      <c r="AA128" s="379">
        <f ca="1">IF(Case_Scenario="Bull",AA129,IF(Case_Scenario="Base",AA130,IF(Case_Scenario="bear",AA131,"N/A")))</f>
        <v>0.02</v>
      </c>
      <c r="AB128" s="379">
        <f ca="1">IF(Case_Scenario="Bull",AB129,IF(Case_Scenario="Base",AB130,IF(Case_Scenario="bear",AB131,"N/A")))</f>
        <v>0.02</v>
      </c>
      <c r="AC128" s="379">
        <f ca="1">IF(Case_Scenario="Bull",AC129,IF(Case_Scenario="Base",AC130,IF(Case_Scenario="bear",AC131,"N/A")))</f>
        <v>0.02</v>
      </c>
      <c r="AD128" s="378">
        <f ca="1">Model!AD232</f>
        <v>0.0824321600000002</v>
      </c>
      <c r="AE128" s="378">
        <f ca="1">IF(Case_Scenario="Bull",AE129,IF(Case_Scenario="Base",AE130,IF(Case_Scenario="bear",AE131,"N/A")))</f>
        <v>0.02</v>
      </c>
      <c r="AF128" s="378">
        <f ca="1">IF(Case_Scenario="Bull",AF129,IF(Case_Scenario="Base",AF130,IF(Case_Scenario="bear",AF131,"N/A")))</f>
        <v>0.02</v>
      </c>
      <c r="AG128" s="378">
        <f ca="1">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489</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 ca="1">Model!C184</f>
        <v>Days Payables Outstanding</v>
      </c>
      <c r="D135" s="16"/>
      <c r="E135" s="16"/>
      <c r="F135" s="377"/>
      <c r="G135" s="325">
        <f ca="1">Model!G184</f>
        <v>63.44539411206078</v>
      </c>
      <c r="H135" s="325">
        <f ca="1">Model!H184</f>
        <v>71.48294342832837</v>
      </c>
      <c r="I135" s="325">
        <f ca="1">Model!I184</f>
        <v>69.58842277543286</v>
      </c>
      <c r="J135" s="326">
        <f ca="1">Model!J184</f>
        <v>69.28524204045371</v>
      </c>
      <c r="K135" s="325">
        <f ca="1">Model!K184</f>
        <v>73.13980263157895</v>
      </c>
      <c r="L135" s="325">
        <f ca="1">Model!L184</f>
        <v>66.99214145383104</v>
      </c>
      <c r="M135" s="325">
        <f ca="1">Model!M184</f>
        <v>71.73697650663944</v>
      </c>
      <c r="N135" s="325">
        <f ca="1">Model!N184</f>
        <v>68.63974649162517</v>
      </c>
      <c r="O135" s="326">
        <f ca="1">Model!O184</f>
        <v>59.11360634081902</v>
      </c>
      <c r="P135" s="325">
        <f ca="1">Model!P184</f>
        <v>63.250265917033886</v>
      </c>
      <c r="Q135" s="325">
        <f ca="1">Model!Q184</f>
        <v>60.05908989887765</v>
      </c>
      <c r="R135" s="325">
        <f ca="1">Model!R184</f>
        <v>78.68945299486974</v>
      </c>
      <c r="S135" s="325">
        <f ca="1">Model!S184</f>
        <v>78.55384615384615</v>
      </c>
      <c r="T135" s="326">
        <f ca="1">Model!T184</f>
        <v>56.38846769087213</v>
      </c>
      <c r="U135" s="325">
        <f ca="1">Model!U184</f>
        <v>68.63245764792536</v>
      </c>
      <c r="V135" s="325">
        <f ca="1">Model!V184</f>
        <v>64.7312137145361</v>
      </c>
      <c r="W135" s="325">
        <f ca="1">Model!W184</f>
        <v>70.04565912204032</v>
      </c>
      <c r="X135" s="327">
        <f ca="1">IF(Case_Scenario="Bull",X136,IF(Case_Scenario="Base",X137,IF(Case_Scenario="bear",X138,"N/A")))</f>
        <v>55</v>
      </c>
      <c r="Y135" s="326">
        <f ca="1">Model!Y184</f>
        <v>58.889473853616515</v>
      </c>
      <c r="Z135" s="327">
        <f ca="1">IF(Case_Scenario="Bull",Z136,IF(Case_Scenario="Base",Z137,IF(Case_Scenario="bear",Z138,"N/A")))</f>
        <v>58</v>
      </c>
      <c r="AA135" s="327">
        <f ca="1">IF(Case_Scenario="Bull",AA136,IF(Case_Scenario="Base",AA137,IF(Case_Scenario="bear",AA138,"N/A")))</f>
        <v>48</v>
      </c>
      <c r="AB135" s="327">
        <f ca="1">IF(Case_Scenario="Bull",AB136,IF(Case_Scenario="Base",AB137,IF(Case_Scenario="bear",AB138,"N/A")))</f>
        <v>53</v>
      </c>
      <c r="AC135" s="327">
        <f ca="1">IF(Case_Scenario="Bull",AC136,IF(Case_Scenario="Base",AC137,IF(Case_Scenario="bear",AC138,"N/A")))</f>
        <v>55</v>
      </c>
      <c r="AD135" s="326">
        <f ca="1">Model!AD184</f>
        <v>48.236838263600504</v>
      </c>
      <c r="AE135" s="326">
        <f ca="1">IF(Case_Scenario="Bull",AE136,IF(Case_Scenario="Base",AE137,IF(Case_Scenario="bear",AE138,"N/A")))</f>
        <v>54</v>
      </c>
      <c r="AF135" s="326">
        <f ca="1">IF(Case_Scenario="Bull",AF136,IF(Case_Scenario="Base",AF137,IF(Case_Scenario="bear",AF138,"N/A")))</f>
        <v>54</v>
      </c>
      <c r="AG135" s="326">
        <f ca="1">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 ca="1">Model!C187</f>
        <v>Accrued Liabilities as a % of COGS</v>
      </c>
      <c r="D140" s="16"/>
      <c r="E140" s="16"/>
      <c r="F140" s="377">
        <f ca="1">Model!F187</f>
        <v>0.015751674303842087</v>
      </c>
      <c r="G140" s="377">
        <f ca="1">Model!G187</f>
        <v>0.012254364818467383</v>
      </c>
      <c r="H140" s="377">
        <f ca="1">Model!H187</f>
        <v>0.017141641854529988</v>
      </c>
      <c r="I140" s="377">
        <f ca="1">Model!I187</f>
        <v>0.014256180549573607</v>
      </c>
      <c r="J140" s="378">
        <f ca="1">Model!J187</f>
        <v>0.013677403359434723</v>
      </c>
      <c r="K140" s="377">
        <f ca="1">Model!K187</f>
        <v>0.015810032894736842</v>
      </c>
      <c r="L140" s="377">
        <f ca="1">Model!L187</f>
        <v>0.012577182149873701</v>
      </c>
      <c r="M140" s="377">
        <f ca="1">Model!M187</f>
        <v>0.016577289751447056</v>
      </c>
      <c r="N140" s="377">
        <f ca="1">Model!N187</f>
        <v>0.015482118605703938</v>
      </c>
      <c r="O140" s="378">
        <f ca="1">Model!O187</f>
        <v>0.01390102631846357</v>
      </c>
      <c r="P140" s="377">
        <f ca="1">Model!P187</f>
        <v>0.01865218051967786</v>
      </c>
      <c r="Q140" s="377">
        <f ca="1">Model!Q187</f>
        <v>0.015821202355817313</v>
      </c>
      <c r="R140" s="377">
        <f ca="1">Model!R187</f>
        <v>0.018605503364647877</v>
      </c>
      <c r="S140" s="377">
        <f ca="1">Model!S187</f>
        <v>0.04353557240881185</v>
      </c>
      <c r="T140" s="378">
        <f ca="1">Model!T187</f>
        <v>0.040173959409471126</v>
      </c>
      <c r="U140" s="377">
        <f ca="1">Model!U187</f>
        <v>0.020132580407561995</v>
      </c>
      <c r="V140" s="377">
        <f ca="1">Model!V187</f>
        <v>0.01822488772045131</v>
      </c>
      <c r="W140" s="377">
        <f ca="1">Model!W187</f>
        <v>0.02206314004305003</v>
      </c>
      <c r="X140" s="379">
        <f ca="1">IF(Case_Scenario="Bull",X141,IF(Case_Scenario="Base",X142,IF(Case_Scenario="bear",X143,"N/A")))</f>
        <v>0.0125</v>
      </c>
      <c r="Y140" s="378">
        <f ca="1">Model!Y187</f>
        <v>0.013761244159941528</v>
      </c>
      <c r="Z140" s="379">
        <f ca="1">IF(Case_Scenario="Bull",Z141,IF(Case_Scenario="Base",Z142,IF(Case_Scenario="bear",Z143,"N/A")))</f>
        <v>0.0125</v>
      </c>
      <c r="AA140" s="379">
        <f ca="1">IF(Case_Scenario="Bull",AA141,IF(Case_Scenario="Base",AA142,IF(Case_Scenario="bear",AA143,"N/A")))</f>
        <v>0.0125</v>
      </c>
      <c r="AB140" s="379">
        <f ca="1">IF(Case_Scenario="Bull",AB141,IF(Case_Scenario="Base",AB142,IF(Case_Scenario="bear",AB143,"N/A")))</f>
        <v>0.0125</v>
      </c>
      <c r="AC140" s="379">
        <f ca="1">IF(Case_Scenario="Bull",AC141,IF(Case_Scenario="Base",AC142,IF(Case_Scenario="bear",AC143,"N/A")))</f>
        <v>0.0125</v>
      </c>
      <c r="AD140" s="378">
        <f ca="1">Model!AD187</f>
        <v>0.01163754798419242</v>
      </c>
      <c r="AE140" s="378">
        <f ca="1">IF(Case_Scenario="Bull",AE141,IF(Case_Scenario="Base",AE142,IF(Case_Scenario="bear",AE143,"N/A")))</f>
        <v>0.013</v>
      </c>
      <c r="AF140" s="378">
        <f ca="1">IF(Case_Scenario="Bull",AF141,IF(Case_Scenario="Base",AF142,IF(Case_Scenario="bear",AF143,"N/A")))</f>
        <v>0.013</v>
      </c>
      <c r="AG140" s="378">
        <f ca="1">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 ca="1">Model!C188</f>
        <v>Other Current Liabilities as a % of COGS</v>
      </c>
      <c r="D145" s="16"/>
      <c r="E145" s="16"/>
      <c r="F145" s="377">
        <f ca="1">Model!F188</f>
        <v>0.08942104335565738</v>
      </c>
      <c r="G145" s="377">
        <f ca="1">Model!G188</f>
        <v>0.07363576594345825</v>
      </c>
      <c r="H145" s="377">
        <f ca="1">Model!H188</f>
        <v>0.08215652913653765</v>
      </c>
      <c r="I145" s="377">
        <f ca="1">Model!I188</f>
        <v>0.09574468085106383</v>
      </c>
      <c r="J145" s="378">
        <f ca="1">Model!J188</f>
        <v>0.0918576062478048</v>
      </c>
      <c r="K145" s="377">
        <f ca="1">Model!K188</f>
        <v>0.09290707236842105</v>
      </c>
      <c r="L145" s="377">
        <f ca="1">Model!L188</f>
        <v>0.08086584339040134</v>
      </c>
      <c r="M145" s="377">
        <f ca="1">Model!M188</f>
        <v>0.10401770514130065</v>
      </c>
      <c r="N145" s="377">
        <f ca="1">Model!N188</f>
        <v>0.1412856496152105</v>
      </c>
      <c r="O145" s="378">
        <f ca="1">Model!O188</f>
        <v>0.12685702672492633</v>
      </c>
      <c r="P145" s="377">
        <f ca="1">Model!P188</f>
        <v>0.11202704756116091</v>
      </c>
      <c r="Q145" s="377">
        <f ca="1">Model!Q188</f>
        <v>0.09314923880431158</v>
      </c>
      <c r="R145" s="377">
        <f ca="1">Model!R188</f>
        <v>0.08459924045572656</v>
      </c>
      <c r="S145" s="377">
        <f ca="1">Model!S188</f>
        <v>0.06525821596244132</v>
      </c>
      <c r="T145" s="378">
        <f ca="1">Model!T188</f>
        <v>0.060219282167494254</v>
      </c>
      <c r="U145" s="377">
        <f ca="1">Model!U188</f>
        <v>0.09633562484655045</v>
      </c>
      <c r="V145" s="377">
        <f ca="1">Model!V188</f>
        <v>0.09554715741045021</v>
      </c>
      <c r="W145" s="377">
        <f ca="1">Model!W188</f>
        <v>0.11080490509425348</v>
      </c>
      <c r="X145" s="379">
        <f ca="1">IF(Case_Scenario="Bull",X146,IF(Case_Scenario="Base",X147,IF(Case_Scenario="bear",X148,"N/A")))</f>
        <v>0.125</v>
      </c>
      <c r="Y145" s="378">
        <f ca="1">Model!Y188</f>
        <v>0.13761244159941527</v>
      </c>
      <c r="Z145" s="379">
        <f ca="1">IF(Case_Scenario="Bull",Z146,IF(Case_Scenario="Base",Z147,IF(Case_Scenario="bear",Z148,"N/A")))</f>
        <v>0.11</v>
      </c>
      <c r="AA145" s="379">
        <f ca="1">IF(Case_Scenario="Bull",AA146,IF(Case_Scenario="Base",AA147,IF(Case_Scenario="bear",AA148,"N/A")))</f>
        <v>0.11</v>
      </c>
      <c r="AB145" s="379">
        <f ca="1">IF(Case_Scenario="Bull",AB146,IF(Case_Scenario="Base",AB147,IF(Case_Scenario="bear",AB148,"N/A")))</f>
        <v>0.125</v>
      </c>
      <c r="AC145" s="379">
        <f ca="1">IF(Case_Scenario="Bull",AC146,IF(Case_Scenario="Base",AC147,IF(Case_Scenario="bear",AC148,"N/A")))</f>
        <v>0.125</v>
      </c>
      <c r="AD145" s="378">
        <f ca="1">Model!AD188</f>
        <v>0.11637547984192419</v>
      </c>
      <c r="AE145" s="378">
        <f ca="1">IF(Case_Scenario="Bull",AE146,IF(Case_Scenario="Base",AE147,IF(Case_Scenario="bear",AE148,"N/A")))</f>
        <v>0.12</v>
      </c>
      <c r="AF145" s="378">
        <f ca="1">IF(Case_Scenario="Bull",AF146,IF(Case_Scenario="Base",AF147,IF(Case_Scenario="bear",AF148,"N/A")))</f>
        <v>0.12</v>
      </c>
      <c r="AG145" s="378">
        <f ca="1">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490</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 ca="1">Model!C308</f>
        <v>Issuance of Debt</v>
      </c>
      <c r="D152" s="16"/>
      <c r="E152" s="16"/>
      <c r="F152" s="353">
        <f ca="1">Model!F308</f>
        <v>15844</v>
      </c>
      <c r="G152" s="353">
        <f ca="1">Model!G308</f>
        <v>1e-12</v>
      </c>
      <c r="H152" s="353">
        <f ca="1">Model!H308</f>
        <v>1e-12</v>
      </c>
      <c r="I152" s="353">
        <f ca="1">Model!I308</f>
        <v>1e-12</v>
      </c>
      <c r="J152" s="282">
        <f ca="1">F152</f>
        <v>15844</v>
      </c>
      <c r="K152" s="353">
        <f ca="1">Model!K308</f>
        <v>2049</v>
      </c>
      <c r="L152" s="353">
        <f ca="1">Model!L308</f>
        <v>1e-12</v>
      </c>
      <c r="M152" s="353">
        <f ca="1">Model!M308</f>
        <v>1e-12</v>
      </c>
      <c r="N152" s="353">
        <f ca="1">Model!N308</f>
        <v>156</v>
      </c>
      <c r="O152" s="282">
        <f ca="1">K152</f>
        <v>2049</v>
      </c>
      <c r="P152" s="353">
        <f ca="1">Model!P308</f>
        <v>3439</v>
      </c>
      <c r="Q152" s="353">
        <f ca="1">Model!Q308</f>
        <v>2</v>
      </c>
      <c r="R152" s="353">
        <f ca="1">Model!R308</f>
        <v>988</v>
      </c>
      <c r="S152" s="353">
        <f ca="1">Model!S308</f>
        <v>4417</v>
      </c>
      <c r="T152" s="282">
        <f ca="1">P152</f>
        <v>3439</v>
      </c>
      <c r="U152" s="353">
        <f ca="1">Model!U308</f>
        <v>1e-12</v>
      </c>
      <c r="V152" s="353">
        <f ca="1">Model!V308</f>
        <v>67</v>
      </c>
      <c r="W152" s="353">
        <f ca="1">Model!W308</f>
        <v>1922</v>
      </c>
      <c r="X152" s="525">
        <f ca="1">IF(Case_Scenario="Bull",X153,IF(Case_Scenario="Base",X154,IF(Case_Scenario="bear",X155,"N/A")))</f>
        <v>0</v>
      </c>
      <c r="Y152" s="282">
        <f ca="1">SUM(U152:X152)</f>
        <v>1989</v>
      </c>
      <c r="Z152" s="525">
        <f ca="1">IF(Case_Scenario="Bull",Z153,IF(Case_Scenario="Base",Z154,IF(Case_Scenario="bear",Z155,"N/A")))</f>
        <v>0</v>
      </c>
      <c r="AA152" s="525">
        <f ca="1">IF(Case_Scenario="Bull",AA153,IF(Case_Scenario="Base",AA154,IF(Case_Scenario="bear",AA155,"N/A")))</f>
        <v>0</v>
      </c>
      <c r="AB152" s="525">
        <f ca="1">IF(Case_Scenario="Bull",AB153,IF(Case_Scenario="Base",AB154,IF(Case_Scenario="bear",AB155,"N/A")))</f>
        <v>0</v>
      </c>
      <c r="AC152" s="525">
        <f ca="1">IF(Case_Scenario="Bull",AC153,IF(Case_Scenario="Base",AC154,IF(Case_Scenario="bear",AC155,"N/A")))</f>
        <v>0</v>
      </c>
      <c r="AD152" s="282">
        <f ca="1">SUM(Z152:AC152)</f>
        <v>1e-12</v>
      </c>
      <c r="AE152" s="526">
        <f ca="1">IF(Case_Scenario="Bull",AE153,IF(Case_Scenario="Base",AE154,IF(Case_Scenario="bear",AE155,"N/A")))</f>
        <v>0</v>
      </c>
      <c r="AF152" s="526">
        <f ca="1">IF(Case_Scenario="Bull",AF153,IF(Case_Scenario="Base",AF154,IF(Case_Scenario="bear",AF155,"N/A")))</f>
        <v>0</v>
      </c>
      <c r="AG152" s="526">
        <f ca="1">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 ca="1">Model!C309</f>
        <v>Repayment of Debt</v>
      </c>
      <c r="D157" s="16"/>
      <c r="E157" s="16"/>
      <c r="F157" s="353">
        <f ca="1">Model!F309</f>
        <v>1e-12</v>
      </c>
      <c r="G157" s="353">
        <f ca="1">Model!G309</f>
        <v>-13</v>
      </c>
      <c r="H157" s="353">
        <f ca="1">Model!H309</f>
        <v>-254</v>
      </c>
      <c r="I157" s="353">
        <f ca="1">Model!I309</f>
        <v>-76</v>
      </c>
      <c r="J157" s="282">
        <f ca="1">Model!J309</f>
        <v>1e-12</v>
      </c>
      <c r="K157" s="353">
        <f ca="1">Model!K309</f>
        <v>1e-12</v>
      </c>
      <c r="L157" s="353">
        <f ca="1">Model!L309</f>
        <v>-3</v>
      </c>
      <c r="M157" s="353">
        <f ca="1">Model!M309</f>
        <v>-338</v>
      </c>
      <c r="N157" s="353">
        <f ca="1">Model!N309</f>
        <v>1e-12</v>
      </c>
      <c r="O157" s="282">
        <f ca="1">Model!O309</f>
        <v>1e-12</v>
      </c>
      <c r="P157" s="353">
        <f ca="1">Model!P309</f>
        <v>1e-12</v>
      </c>
      <c r="Q157" s="353">
        <f ca="1">Model!Q309</f>
        <v>1e-12</v>
      </c>
      <c r="R157" s="353">
        <f ca="1">Model!R309</f>
        <v>1e-12</v>
      </c>
      <c r="S157" s="353">
        <f ca="1">Model!S309</f>
        <v>1e-12</v>
      </c>
      <c r="T157" s="282">
        <f ca="1">Model!T309</f>
        <v>1e-12</v>
      </c>
      <c r="U157" s="353">
        <f ca="1">Model!U309</f>
        <v>-2967</v>
      </c>
      <c r="V157" s="353">
        <f ca="1">Model!V309</f>
        <v>1e-12</v>
      </c>
      <c r="W157" s="353">
        <f ca="1">Model!W309</f>
        <v>1e-12</v>
      </c>
      <c r="X157" s="286">
        <f ca="1">IF(Case_Scenario="Bull",X158,IF(Case_Scenario="Base",X159,IF(Case_Scenario="bear",X160,"N/A")))</f>
        <v>-500</v>
      </c>
      <c r="Y157" s="282">
        <f ca="1">SUM(U157:X157)</f>
        <v>-3467</v>
      </c>
      <c r="Z157" s="286">
        <f ca="1">IF(Case_Scenario="Bull",Z158,IF(Case_Scenario="Base",Z159,IF(Case_Scenario="bear",Z160,"N/A")))</f>
        <v>-500</v>
      </c>
      <c r="AA157" s="286">
        <f ca="1">IF(Case_Scenario="Bull",AA158,IF(Case_Scenario="Base",AA159,IF(Case_Scenario="bear",AA160,"N/A")))</f>
        <v>-500</v>
      </c>
      <c r="AB157" s="286">
        <f ca="1">IF(Case_Scenario="Bull",AB158,IF(Case_Scenario="Base",AB159,IF(Case_Scenario="bear",AB160,"N/A")))</f>
        <v>-500</v>
      </c>
      <c r="AC157" s="286">
        <f ca="1">IF(Case_Scenario="Bull",AC158,IF(Case_Scenario="Base",AC159,IF(Case_Scenario="bear",AC160,"N/A")))</f>
        <v>-500</v>
      </c>
      <c r="AD157" s="282">
        <f ca="1">SUM(Z157:AC157)</f>
        <v>-2000</v>
      </c>
      <c r="AE157" s="287">
        <f ca="1">IF(Case_Scenario="Bull",AE158,IF(Case_Scenario="Base",AE159,IF(Case_Scenario="bear",AE160,"N/A")))</f>
        <v>-1400</v>
      </c>
      <c r="AF157" s="287">
        <f ca="1">IF(Case_Scenario="Bull",AF158,IF(Case_Scenario="Base",AF159,IF(Case_Scenario="bear",AF160,"N/A")))</f>
        <v>-1300</v>
      </c>
      <c r="AG157" s="287">
        <f ca="1">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491</v>
      </c>
      <c r="D162" s="373"/>
      <c r="E162" s="373"/>
      <c r="F162" s="351" t="str">
        <f ca="1">Model!F$25</f>
        <v>1Q23</v>
      </c>
      <c r="G162" s="194" t="str">
        <f ca="1">Model!G$25</f>
        <v>2Q23</v>
      </c>
      <c r="H162" s="194" t="str">
        <f ca="1">Model!H$25</f>
        <v>3Q23</v>
      </c>
      <c r="I162" s="194" t="str">
        <f ca="1">Model!I$25</f>
        <v>4Q23</v>
      </c>
      <c r="J162" s="194">
        <f ca="1">Model!J$25</f>
        <v>2023</v>
      </c>
      <c r="K162" s="194" t="str">
        <f ca="1">Model!K$25</f>
        <v>1Q24</v>
      </c>
      <c r="L162" s="194" t="str">
        <f ca="1">Model!L$25</f>
        <v>2Q24</v>
      </c>
      <c r="M162" s="194" t="str">
        <f ca="1">Model!M$25</f>
        <v>3Q24</v>
      </c>
      <c r="N162" s="194" t="str">
        <f ca="1">Model!N$25</f>
        <v>4Q24</v>
      </c>
      <c r="O162" s="194">
        <f ca="1">Model!O$25</f>
        <v>2024</v>
      </c>
      <c r="P162" s="194" t="str">
        <f ca="1">Model!P$25</f>
        <v>1Q25</v>
      </c>
      <c r="Q162" s="194" t="str">
        <f ca="1">Model!Q$25</f>
        <v>2Q25</v>
      </c>
      <c r="R162" s="194" t="str">
        <f ca="1">Model!R$25</f>
        <v>3Q25</v>
      </c>
      <c r="S162" s="194" t="str">
        <f ca="1">Model!S$25</f>
        <v>4Q25</v>
      </c>
      <c r="T162" s="194">
        <f ca="1">Model!T$25</f>
        <v>2025</v>
      </c>
      <c r="U162" s="194" t="str">
        <f ca="1">Model!U$25</f>
        <v>1Q26</v>
      </c>
      <c r="V162" s="194" t="str">
        <f ca="1">Model!V$25</f>
        <v>2Q26</v>
      </c>
      <c r="W162" s="194" t="str">
        <f ca="1">Model!W$25</f>
        <v>3Q26e</v>
      </c>
      <c r="X162" s="194" t="str">
        <f ca="1">Model!X$25</f>
        <v>4Q26e</v>
      </c>
      <c r="Y162" s="194" t="str">
        <f ca="1">Model!Y$25</f>
        <v>2026e</v>
      </c>
      <c r="Z162" s="194" t="str">
        <f ca="1">Model!Z$25</f>
        <v>1Q27e</v>
      </c>
      <c r="AA162" s="194" t="str">
        <f ca="1">Model!AA$25</f>
        <v>2Q27e</v>
      </c>
      <c r="AB162" s="194" t="str">
        <f ca="1">Model!AB$25</f>
        <v>3Q27e</v>
      </c>
      <c r="AC162" s="194" t="str">
        <f ca="1">Model!AC$25</f>
        <v>4Q27e</v>
      </c>
      <c r="AD162" s="194" t="str">
        <f ca="1">Model!AD$25</f>
        <v>2027e</v>
      </c>
      <c r="AE162" s="194" t="str">
        <f ca="1">Model!AE$25</f>
        <v>2028e</v>
      </c>
      <c r="AF162" s="194" t="str">
        <f ca="1">Model!AF$25</f>
        <v>2029e</v>
      </c>
      <c r="AG162" s="352" t="str">
        <f ca="1">Model!AG$25</f>
        <v>2030e</v>
      </c>
      <c r="AH162" s="16"/>
      <c r="AI162" s="16"/>
    </row>
    <row r="163" ht="12.75" customHeight="1" spans="1:35" x14ac:dyDescent="0.25">
      <c r="A163" s="16"/>
      <c r="B163" s="16"/>
      <c r="C163" s="512" t="s">
        <v>492</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 ca="1">Model!C272</f>
        <v>Share Repurchase Guidance</v>
      </c>
      <c r="D165" s="16"/>
      <c r="E165" s="16"/>
      <c r="F165" s="353">
        <f ca="1">Model!F272</f>
        <v>728</v>
      </c>
      <c r="G165" s="353">
        <f ca="1">Model!G272</f>
        <v>1118</v>
      </c>
      <c r="H165" s="353">
        <f ca="1">Model!H272</f>
        <v>652</v>
      </c>
      <c r="I165" s="353">
        <f ca="1">Model!I272</f>
        <v>539</v>
      </c>
      <c r="J165" s="282">
        <f ca="1">Model!J272</f>
        <v>3037</v>
      </c>
      <c r="K165" s="353">
        <f ca="1">Model!K272</f>
        <v>826</v>
      </c>
      <c r="L165" s="353">
        <f ca="1">Model!L272</f>
        <v>1944</v>
      </c>
      <c r="M165" s="353">
        <f ca="1">Model!M272</f>
        <v>879</v>
      </c>
      <c r="N165" s="353">
        <f ca="1">Model!N272</f>
        <v>664</v>
      </c>
      <c r="O165" s="282">
        <f ca="1">Model!O272</f>
        <v>4313</v>
      </c>
      <c r="P165" s="353">
        <f ca="1">Model!P272</f>
        <v>966</v>
      </c>
      <c r="Q165" s="353">
        <f ca="1">Model!Q272</f>
        <v>1e-12</v>
      </c>
      <c r="R165" s="353">
        <f ca="1">Model!R272</f>
        <v>562</v>
      </c>
      <c r="S165" s="353">
        <f ca="1">Model!S272</f>
        <v>3443</v>
      </c>
      <c r="T165" s="282">
        <f ca="1">Model!T272</f>
        <v>4971</v>
      </c>
      <c r="U165" s="353">
        <f ca="1">Model!U272</f>
        <v>3038</v>
      </c>
      <c r="V165" s="353">
        <f ca="1">Model!V272</f>
        <v>3136</v>
      </c>
      <c r="W165" s="353">
        <f ca="1">Model!W272</f>
        <v>2825</v>
      </c>
      <c r="X165" s="525">
        <f ca="1">IF(Case_Scenario="Bull",X166,IF(Case_Scenario="Base",X167,IF(Case_Scenario="bear",X168,"N/A")))</f>
        <v>500</v>
      </c>
      <c r="Y165" s="282">
        <f ca="1">SUM(U165:X165)</f>
        <v>9499</v>
      </c>
      <c r="Z165" s="525">
        <f ca="1">IF(Case_Scenario="Bull",Z166,IF(Case_Scenario="Base",Z167,IF(Case_Scenario="bear",Z168,"N/A")))</f>
        <v>500</v>
      </c>
      <c r="AA165" s="525">
        <f ca="1">IF(Case_Scenario="Bull",AA166,IF(Case_Scenario="Base",AA167,IF(Case_Scenario="bear",AA168,"N/A")))</f>
        <v>500</v>
      </c>
      <c r="AB165" s="525">
        <f ca="1">IF(Case_Scenario="Bull",AB166,IF(Case_Scenario="Base",AB167,IF(Case_Scenario="bear",AB168,"N/A")))</f>
        <v>500</v>
      </c>
      <c r="AC165" s="525">
        <f ca="1">IF(Case_Scenario="Bull",AC166,IF(Case_Scenario="Base",AC167,IF(Case_Scenario="bear",AC168,"N/A")))</f>
        <v>500</v>
      </c>
      <c r="AD165" s="282">
        <f ca="1">SUM(Z165:AC165)</f>
        <v>2000</v>
      </c>
      <c r="AE165" s="287">
        <f ca="1">IF(Case_Scenario="Bull",AE166,IF(Case_Scenario="Base",AE167,IF(Case_Scenario="bear",AE168,"N/A")))</f>
        <v>3000</v>
      </c>
      <c r="AF165" s="287">
        <f ca="1">IF(Case_Scenario="Bull",AF166,IF(Case_Scenario="Base",AF167,IF(Case_Scenario="bear",AF168,"N/A")))</f>
        <v>3000</v>
      </c>
      <c r="AG165" s="287">
        <f ca="1">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E44" sqref="E4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3.5" customHeight="1" spans="1:66" x14ac:dyDescent="0.25">
      <c r="A1" s="11"/>
      <c r="B1" s="11"/>
      <c r="C1" s="532"/>
      <c r="D1" s="12" t="str">
        <f ca="1">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 ca="1">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 ca="1">$D$86</f>
        <v>Primary Peer Group</v>
      </c>
      <c r="E4" s="22"/>
      <c r="F4" s="22"/>
      <c r="G4" s="22"/>
      <c r="H4" s="22"/>
      <c r="I4" s="22"/>
      <c r="J4" s="22"/>
      <c r="K4" s="22"/>
      <c r="L4" s="22"/>
      <c r="M4" s="22"/>
      <c r="N4" s="22"/>
      <c r="O4" s="22"/>
      <c r="P4" s="22"/>
      <c r="Q4" s="22"/>
      <c r="R4" s="22"/>
      <c r="S4" s="22"/>
      <c r="T4" s="22"/>
      <c r="U4" s="22"/>
      <c r="V4" s="7"/>
      <c r="W4" s="16"/>
      <c r="X4" s="4"/>
      <c r="Y4" s="47"/>
      <c r="Z4" s="534" t="str">
        <f ca="1">$G$86</f>
        <v>Defense Peer Group</v>
      </c>
      <c r="AA4" s="22"/>
      <c r="AB4" s="22"/>
      <c r="AC4" s="22"/>
      <c r="AD4" s="22"/>
      <c r="AE4" s="22"/>
      <c r="AF4" s="22"/>
      <c r="AG4" s="22"/>
      <c r="AH4" s="22"/>
      <c r="AI4" s="22"/>
      <c r="AJ4" s="22"/>
      <c r="AK4" s="22"/>
      <c r="AL4" s="22"/>
      <c r="AM4" s="22"/>
      <c r="AN4" s="22"/>
      <c r="AO4" s="22"/>
      <c r="AP4" s="22"/>
      <c r="AQ4" s="22"/>
      <c r="AR4" s="7"/>
      <c r="AS4" s="4"/>
      <c r="AT4" s="4"/>
      <c r="AU4" s="47"/>
      <c r="AV4" s="534" t="str">
        <f ca="1">$L$86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493</v>
      </c>
      <c r="R6" s="66"/>
      <c r="S6" s="66"/>
      <c r="T6" s="66"/>
      <c r="U6" s="16"/>
      <c r="V6" s="16"/>
      <c r="W6" s="16"/>
      <c r="X6" s="4"/>
      <c r="Y6" s="47"/>
      <c r="Z6" s="16"/>
      <c r="AA6" s="16"/>
      <c r="AB6" s="16"/>
      <c r="AC6" s="16"/>
      <c r="AD6" s="16"/>
      <c r="AE6" s="16"/>
      <c r="AF6" s="16"/>
      <c r="AG6" s="16"/>
      <c r="AH6" s="16"/>
      <c r="AI6" s="16"/>
      <c r="AJ6" s="16"/>
      <c r="AK6" s="16"/>
      <c r="AL6" s="16"/>
      <c r="AM6" s="538" t="s">
        <v>493</v>
      </c>
      <c r="AN6" s="66"/>
      <c r="AO6" s="66"/>
      <c r="AP6" s="66"/>
      <c r="AQ6" s="16"/>
      <c r="AR6" s="16"/>
      <c r="AS6" s="4"/>
      <c r="AT6" s="4"/>
      <c r="AU6" s="47"/>
      <c r="AV6" s="16"/>
      <c r="AW6" s="16"/>
      <c r="AX6" s="16"/>
      <c r="AY6" s="16"/>
      <c r="AZ6" s="16"/>
      <c r="BA6" s="16"/>
      <c r="BB6" s="16"/>
      <c r="BC6" s="16"/>
      <c r="BD6" s="16"/>
      <c r="BE6" s="16"/>
      <c r="BF6" s="16"/>
      <c r="BG6" s="16"/>
      <c r="BH6" s="16"/>
      <c r="BI6" s="538" t="s">
        <v>493</v>
      </c>
      <c r="BJ6" s="66"/>
      <c r="BK6" s="66"/>
      <c r="BL6" s="66"/>
      <c r="BM6" s="16"/>
      <c r="BN6" s="16"/>
    </row>
    <row r="7" ht="13.5" customHeight="1" spans="1:66" x14ac:dyDescent="0.25">
      <c r="A7" s="4"/>
      <c r="B7" s="4"/>
      <c r="C7" s="47"/>
      <c r="D7" s="84"/>
      <c r="E7" s="84"/>
      <c r="F7" s="84"/>
      <c r="G7" s="84" t="s">
        <v>494</v>
      </c>
      <c r="H7" s="84" t="s">
        <v>495</v>
      </c>
      <c r="I7" s="538" t="s">
        <v>496</v>
      </c>
      <c r="J7" s="66"/>
      <c r="K7" s="538" t="s">
        <v>397</v>
      </c>
      <c r="L7" s="66"/>
      <c r="M7" s="538" t="s">
        <v>113</v>
      </c>
      <c r="N7" s="66"/>
      <c r="O7" s="538" t="s">
        <v>497</v>
      </c>
      <c r="P7" s="66"/>
      <c r="Q7" s="538" t="s">
        <v>292</v>
      </c>
      <c r="R7" s="66"/>
      <c r="S7" s="538" t="s">
        <v>496</v>
      </c>
      <c r="T7" s="66"/>
      <c r="U7" s="538" t="s">
        <v>498</v>
      </c>
      <c r="V7" s="66"/>
      <c r="W7" s="16"/>
      <c r="X7" s="4"/>
      <c r="Y7" s="47"/>
      <c r="Z7" s="84"/>
      <c r="AA7" s="84"/>
      <c r="AB7" s="84"/>
      <c r="AC7" s="84" t="s">
        <v>494</v>
      </c>
      <c r="AD7" s="84" t="s">
        <v>495</v>
      </c>
      <c r="AE7" s="538" t="s">
        <v>496</v>
      </c>
      <c r="AF7" s="66"/>
      <c r="AG7" s="538" t="s">
        <v>397</v>
      </c>
      <c r="AH7" s="66"/>
      <c r="AI7" s="538" t="s">
        <v>113</v>
      </c>
      <c r="AJ7" s="66"/>
      <c r="AK7" s="538" t="s">
        <v>497</v>
      </c>
      <c r="AL7" s="66"/>
      <c r="AM7" s="538" t="s">
        <v>292</v>
      </c>
      <c r="AN7" s="66"/>
      <c r="AO7" s="538" t="s">
        <v>496</v>
      </c>
      <c r="AP7" s="66"/>
      <c r="AQ7" s="538" t="s">
        <v>498</v>
      </c>
      <c r="AR7" s="66"/>
      <c r="AS7" s="4"/>
      <c r="AT7" s="4"/>
      <c r="AU7" s="47"/>
      <c r="AV7" s="84"/>
      <c r="AW7" s="84"/>
      <c r="AX7" s="84"/>
      <c r="AY7" s="84" t="s">
        <v>494</v>
      </c>
      <c r="AZ7" s="84" t="s">
        <v>495</v>
      </c>
      <c r="BA7" s="538" t="s">
        <v>496</v>
      </c>
      <c r="BB7" s="66"/>
      <c r="BC7" s="538" t="s">
        <v>397</v>
      </c>
      <c r="BD7" s="66"/>
      <c r="BE7" s="538" t="s">
        <v>113</v>
      </c>
      <c r="BF7" s="66"/>
      <c r="BG7" s="538" t="s">
        <v>497</v>
      </c>
      <c r="BH7" s="66"/>
      <c r="BI7" s="538" t="s">
        <v>292</v>
      </c>
      <c r="BJ7" s="66"/>
      <c r="BK7" s="538" t="s">
        <v>496</v>
      </c>
      <c r="BL7" s="66"/>
      <c r="BM7" s="538" t="s">
        <v>498</v>
      </c>
      <c r="BN7" s="66"/>
    </row>
    <row r="8" ht="13.5" customHeight="1" spans="1:66" x14ac:dyDescent="0.25">
      <c r="A8" s="4"/>
      <c r="B8" s="4"/>
      <c r="C8" s="47"/>
      <c r="D8" s="139"/>
      <c r="E8" s="84"/>
      <c r="F8" s="538" t="s">
        <v>25</v>
      </c>
      <c r="G8" s="538" t="s">
        <v>499</v>
      </c>
      <c r="H8" s="538" t="s">
        <v>66</v>
      </c>
      <c r="I8" s="538" t="s">
        <v>500</v>
      </c>
      <c r="J8" s="539">
        <f ca="1">Next_FYE</f>
        <v>46387</v>
      </c>
      <c r="K8" s="538" t="s">
        <v>500</v>
      </c>
      <c r="L8" s="539">
        <f ca="1">Next_FYE</f>
        <v>46387</v>
      </c>
      <c r="M8" s="538" t="s">
        <v>500</v>
      </c>
      <c r="N8" s="539">
        <f ca="1">Next_FYE</f>
        <v>46387</v>
      </c>
      <c r="O8" s="538" t="s">
        <v>500</v>
      </c>
      <c r="P8" s="539">
        <f ca="1">Next_FYE</f>
        <v>46387</v>
      </c>
      <c r="Q8" s="538" t="s">
        <v>500</v>
      </c>
      <c r="R8" s="539">
        <f ca="1">Next_FYE</f>
        <v>46387</v>
      </c>
      <c r="S8" s="538" t="s">
        <v>500</v>
      </c>
      <c r="T8" s="539">
        <f ca="1">Next_FYE</f>
        <v>46387</v>
      </c>
      <c r="U8" s="538" t="s">
        <v>500</v>
      </c>
      <c r="V8" s="539">
        <f ca="1">Next_FYE</f>
        <v>46387</v>
      </c>
      <c r="W8" s="16"/>
      <c r="X8" s="4"/>
      <c r="Y8" s="47"/>
      <c r="Z8" s="139"/>
      <c r="AA8" s="84"/>
      <c r="AB8" s="538" t="s">
        <v>25</v>
      </c>
      <c r="AC8" s="538" t="s">
        <v>499</v>
      </c>
      <c r="AD8" s="538" t="s">
        <v>66</v>
      </c>
      <c r="AE8" s="538" t="s">
        <v>500</v>
      </c>
      <c r="AF8" s="539">
        <f ca="1">Next_FYE</f>
        <v>46387</v>
      </c>
      <c r="AG8" s="538" t="str">
        <f ca="1">$I$8</f>
        <v>LTM</v>
      </c>
      <c r="AH8" s="539">
        <f ca="1">$J$8</f>
        <v>46387</v>
      </c>
      <c r="AI8" s="538" t="str">
        <f ca="1">$I$8</f>
        <v>LTM</v>
      </c>
      <c r="AJ8" s="539">
        <f ca="1">$J$8</f>
        <v>46387</v>
      </c>
      <c r="AK8" s="538" t="str">
        <f ca="1">$I$8</f>
        <v>LTM</v>
      </c>
      <c r="AL8" s="539">
        <f ca="1">$J$8</f>
        <v>46387</v>
      </c>
      <c r="AM8" s="538" t="str">
        <f ca="1">$I$8</f>
        <v>LTM</v>
      </c>
      <c r="AN8" s="539">
        <f ca="1">$J$8</f>
        <v>46387</v>
      </c>
      <c r="AO8" s="538" t="str">
        <f ca="1">$I$8</f>
        <v>LTM</v>
      </c>
      <c r="AP8" s="539">
        <f ca="1">$J$8</f>
        <v>46387</v>
      </c>
      <c r="AQ8" s="538" t="str">
        <f ca="1">$I$8</f>
        <v>LTM</v>
      </c>
      <c r="AR8" s="539">
        <f ca="1">$J$8</f>
        <v>46387</v>
      </c>
      <c r="AS8" s="4"/>
      <c r="AT8" s="4"/>
      <c r="AU8" s="47"/>
      <c r="AV8" s="139"/>
      <c r="AW8" s="84"/>
      <c r="AX8" s="538" t="s">
        <v>25</v>
      </c>
      <c r="AY8" s="538" t="s">
        <v>499</v>
      </c>
      <c r="AZ8" s="538" t="s">
        <v>66</v>
      </c>
      <c r="BA8" s="538" t="s">
        <v>500</v>
      </c>
      <c r="BB8" s="539">
        <f ca="1">Next_FYE</f>
        <v>46387</v>
      </c>
      <c r="BC8" s="538" t="str">
        <f ca="1">$I$8</f>
        <v>LTM</v>
      </c>
      <c r="BD8" s="539">
        <f ca="1">$J$8</f>
        <v>46387</v>
      </c>
      <c r="BE8" s="538" t="str">
        <f ca="1">$I$8</f>
        <v>LTM</v>
      </c>
      <c r="BF8" s="539">
        <f ca="1">$J$8</f>
        <v>46387</v>
      </c>
      <c r="BG8" s="538" t="str">
        <f ca="1">$I$8</f>
        <v>LTM</v>
      </c>
      <c r="BH8" s="539">
        <f ca="1">$J$8</f>
        <v>46387</v>
      </c>
      <c r="BI8" s="538" t="str">
        <f ca="1">$I$8</f>
        <v>LTM</v>
      </c>
      <c r="BJ8" s="539">
        <f ca="1">$J$8</f>
        <v>46387</v>
      </c>
      <c r="BK8" s="538" t="str">
        <f ca="1">$I$8</f>
        <v>LTM</v>
      </c>
      <c r="BL8" s="539">
        <f ca="1">$J$8</f>
        <v>46387</v>
      </c>
      <c r="BM8" s="538" t="str">
        <f ca="1">$I$8</f>
        <v>LTM</v>
      </c>
      <c r="BN8" s="539">
        <f ca="1">$J$8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f ca="1">D51</f>
        <v>1e-12</v>
      </c>
      <c r="E10" s="19"/>
      <c r="F10" s="63" t="s">
        <v>501</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 ca="1">Z51</f>
        <v>Lowe's Companies, Inc.</v>
      </c>
      <c r="AA10" s="19"/>
      <c r="AB10" s="63" t="s">
        <v>501</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 ca="1">Company_Name</f>
        <v>Lowe's Companies, Inc.</v>
      </c>
      <c r="AW10" s="19"/>
      <c r="AX10" s="63" t="s">
        <v>501</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f ca="1">D53</f>
        <v>1e-12</v>
      </c>
      <c r="E12" s="16"/>
      <c r="F12" s="84" t="s">
        <v>502</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f ca="1">Z72</f>
        <v>1e-12</v>
      </c>
      <c r="AA12" s="16"/>
      <c r="AB12" s="84" t="s">
        <v>503</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f ca="1">AV53</f>
        <v>1e-12</v>
      </c>
      <c r="AW12" s="16"/>
      <c r="AX12" s="84" t="s">
        <v>504</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f ca="1">D54</f>
        <v>1e-12</v>
      </c>
      <c r="E13" s="16"/>
      <c r="F13" s="84" t="s">
        <v>505</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f ca="1">Z73</f>
        <v>1e-12</v>
      </c>
      <c r="AA13" s="16"/>
      <c r="AB13" s="84" t="s">
        <v>506</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507</v>
      </c>
      <c r="AN13" s="551">
        <v>30.819232691225288</v>
      </c>
      <c r="AO13" s="551">
        <v>2.82676</v>
      </c>
      <c r="AP13" s="551">
        <v>2.3372126615773308</v>
      </c>
      <c r="AQ13" s="551" t="s">
        <v>507</v>
      </c>
      <c r="AR13" s="551" t="s">
        <v>507</v>
      </c>
      <c r="AS13" s="4"/>
      <c r="AT13" s="4"/>
      <c r="AU13" s="47"/>
      <c r="AV13" s="16">
        <f ca="1">AV54</f>
        <v>1e-12</v>
      </c>
      <c r="AW13" s="16"/>
      <c r="AX13" s="84" t="s">
        <v>508</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507</v>
      </c>
      <c r="BN13" s="551">
        <v>54.20820989547334</v>
      </c>
    </row>
    <row r="14" ht="13.5" customHeight="1" spans="1:66" x14ac:dyDescent="0.25">
      <c r="A14" s="4"/>
      <c r="B14" s="4"/>
      <c r="C14" s="47"/>
      <c r="D14" s="16">
        <f ca="1">D55</f>
        <v>1e-12</v>
      </c>
      <c r="E14" s="16"/>
      <c r="F14" s="84" t="s">
        <v>509</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f ca="1">Z74</f>
        <v>1e-12</v>
      </c>
      <c r="AA14" s="16"/>
      <c r="AB14" s="84" t="s">
        <v>510</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f ca="1">AV55</f>
        <v>1e-12</v>
      </c>
      <c r="AW14" s="16"/>
      <c r="AX14" s="84" t="s">
        <v>511</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f ca="1">D56</f>
        <v>1e-12</v>
      </c>
      <c r="E15" s="16"/>
      <c r="F15" s="84" t="s">
        <v>512</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507</v>
      </c>
      <c r="R15" s="551">
        <v>211.94604401245059</v>
      </c>
      <c r="S15" s="551">
        <v>34.64642</v>
      </c>
      <c r="T15" s="551">
        <v>27.278614119410697</v>
      </c>
      <c r="U15" s="551" t="s">
        <v>507</v>
      </c>
      <c r="V15" s="551">
        <v>214.40286086833686</v>
      </c>
      <c r="W15" s="16"/>
      <c r="X15" s="4"/>
      <c r="Y15" s="47"/>
      <c r="Z15" s="16">
        <f ca="1">Z75</f>
        <v>1e-12</v>
      </c>
      <c r="AA15" s="16"/>
      <c r="AB15" s="84" t="s">
        <v>513</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f ca="1">AV56</f>
        <v>1e-12</v>
      </c>
      <c r="AW15" s="16"/>
      <c r="AX15" s="84" t="s">
        <v>514</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f ca="1">D57</f>
        <v>1e-12</v>
      </c>
      <c r="E16" s="16"/>
      <c r="F16" s="84" t="s">
        <v>515</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f ca="1">Z76</f>
        <v>1e-12</v>
      </c>
      <c r="AA16" s="16"/>
      <c r="AB16" s="84" t="s">
        <v>516</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f ca="1">AV57</f>
        <v>1e-12</v>
      </c>
      <c r="AW16" s="16"/>
      <c r="AX16" s="84" t="s">
        <v>517</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0" ca="1">MAX(G10:G16)</f>
        <v>2456382.6676</v>
      </c>
      <c r="H18" s="556">
        <f ca="1">MAX(H10:H16)</f>
        <v>2398229.6676</v>
      </c>
      <c r="I18" s="557">
        <f ca="1">MAX(I10:I16)</f>
        <v>0.737091</v>
      </c>
      <c r="J18" s="557">
        <f ca="1">MAX(J10:J16)</f>
        <v>0.6779071109930239</v>
      </c>
      <c r="K18" s="557">
        <f ca="1">MAX(K10:K16)</f>
        <v>1.026417</v>
      </c>
      <c r="L18" s="557">
        <f ca="1">MAX(L10:L16)</f>
        <v>0.7232146680627087</v>
      </c>
      <c r="M18" s="557">
        <f ca="1">MAX(M10:M16)</f>
        <v>0.496984</v>
      </c>
      <c r="N18" s="557">
        <f ca="1">MAX(N10:N16)</f>
        <v>0.5518203814847791</v>
      </c>
      <c r="O18" s="557">
        <f ca="1">MAX(O10:O16)</f>
        <v>0.37176200000000004</v>
      </c>
      <c r="P18" s="557">
        <f ca="1">MAX(P10:P16)</f>
        <v>0.3457313702483525</v>
      </c>
      <c r="Q18" s="558">
        <f ca="1">MAX(Q10:Q16)</f>
        <v>25.97822</v>
      </c>
      <c r="R18" s="559">
        <f ca="1">MAX(R10:R16)</f>
        <v>211.94604401245059</v>
      </c>
      <c r="S18" s="559">
        <f ca="1">MAX(S10:S16)</f>
        <v>34.64642</v>
      </c>
      <c r="T18" s="559">
        <f ca="1">MAX(T10:T16)</f>
        <v>27.278614119410697</v>
      </c>
      <c r="U18" s="559">
        <f ca="1">MAX(U10:U16)</f>
        <v>36.41118</v>
      </c>
      <c r="V18" s="560">
        <f ca="1">MAX(V10:V16)</f>
        <v>214.40286086833686</v>
      </c>
      <c r="W18" s="16"/>
      <c r="X18" s="4"/>
      <c r="Y18" s="47"/>
      <c r="Z18" s="553" t="s">
        <v>167</v>
      </c>
      <c r="AA18" s="554"/>
      <c r="AB18" s="555"/>
      <c r="AC18" s="556">
        <f t="shared" ref="AC18:AR18" si="1" ca="1">MAX(AC10:AC16)</f>
        <v>129979.18471</v>
      </c>
      <c r="AD18" s="556">
        <f ca="1">MAX(AD10:AD16)</f>
        <v>172393.18471</v>
      </c>
      <c r="AE18" s="561">
        <f ca="1">MAX(AE10:AE16)</f>
        <v>0.284792</v>
      </c>
      <c r="AF18" s="561">
        <f ca="1">MAX(AF10:AF16)</f>
        <v>0.2682719844217478</v>
      </c>
      <c r="AG18" s="561">
        <f ca="1">MAX(AG10:AG16)</f>
        <v>0.940674</v>
      </c>
      <c r="AH18" s="561">
        <f ca="1">MAX(AH10:AH16)</f>
        <v>0.3097719390436151</v>
      </c>
      <c r="AI18" s="561">
        <f ca="1">MAX(AI10:AI16)</f>
        <v>0.28053100000000003</v>
      </c>
      <c r="AJ18" s="561">
        <f ca="1">MAX(AJ10:AJ16)</f>
        <v>0.29106114754641993</v>
      </c>
      <c r="AK18" s="561">
        <f ca="1">MAX(AK10:AK16)</f>
        <v>0.152468</v>
      </c>
      <c r="AL18" s="561">
        <f ca="1">MAX(AL10:AL16)</f>
        <v>0.20242258666034044</v>
      </c>
      <c r="AM18" s="558">
        <f ca="1">MAX(AM10:AM16)</f>
        <v>16.46107</v>
      </c>
      <c r="AN18" s="559">
        <f ca="1">MAX(AN10:AN16)</f>
        <v>30.819232691225288</v>
      </c>
      <c r="AO18" s="559">
        <f ca="1">MAX(AO10:AO16)</f>
        <v>2.82676</v>
      </c>
      <c r="AP18" s="559">
        <f ca="1">MAX(AP10:AP16)</f>
        <v>7.093838002749867</v>
      </c>
      <c r="AQ18" s="559">
        <f ca="1">MAX(AQ10:AQ16)</f>
        <v>63.46893</v>
      </c>
      <c r="AR18" s="560">
        <f ca="1">MAX(AR10:AR16)</f>
        <v>38.06344748498806</v>
      </c>
      <c r="AS18" s="4"/>
      <c r="AT18" s="4"/>
      <c r="AU18" s="47"/>
      <c r="AV18" s="553" t="s">
        <v>167</v>
      </c>
      <c r="AW18" s="554"/>
      <c r="AX18" s="555"/>
      <c r="AY18" s="556">
        <f t="shared" ref="AY18:BN18" si="2" ca="1">MAX(AY10:AY16)</f>
        <v>159578.88611</v>
      </c>
      <c r="AZ18" s="556">
        <f ca="1">MAX(AZ10:AZ16)</f>
        <v>169888.88611</v>
      </c>
      <c r="BA18" s="561">
        <f ca="1">MAX(BA10:BA16)</f>
        <v>0.19067</v>
      </c>
      <c r="BB18" s="561">
        <f ca="1">MAX(BB10:BB16)</f>
        <v>0.16134879412350056</v>
      </c>
      <c r="BC18" s="561">
        <f ca="1">MAX(BC10:BC16)</f>
        <v>0.22055499999999997</v>
      </c>
      <c r="BD18" s="561">
        <f ca="1">MAX(BD10:BD16)</f>
        <v>0.6838775055679285</v>
      </c>
      <c r="BE18" s="561">
        <f ca="1">MAX(BE10:BE16)</f>
        <v>0.362131</v>
      </c>
      <c r="BF18" s="561">
        <f ca="1">MAX(BF10:BF16)</f>
        <v>0.36653876959791054</v>
      </c>
      <c r="BG18" s="561">
        <f ca="1">MAX(BG10:BG16)</f>
        <v>0.17795100000000003</v>
      </c>
      <c r="BH18" s="561">
        <f ca="1">MAX(BH10:BH16)</f>
        <v>0.25151357300210986</v>
      </c>
      <c r="BI18" s="558">
        <f ca="1">MAX(BI10:BI16)</f>
        <v>25.12855</v>
      </c>
      <c r="BJ18" s="559">
        <f ca="1">MAX(BJ10:BJ16)</f>
        <v>24.998032555108455</v>
      </c>
      <c r="BK18" s="559">
        <f ca="1">MAX(BK10:BK16)</f>
        <v>9.38733</v>
      </c>
      <c r="BL18" s="559">
        <f ca="1">MAX(BL10:BL16)</f>
        <v>9.162748095117964</v>
      </c>
      <c r="BM18" s="559">
        <f ca="1">MAX(BM10:BM16)</f>
        <v>45.20111</v>
      </c>
      <c r="BN18" s="560">
        <f ca="1">MAX(BN10:BN16)</f>
        <v>54.20820989547334</v>
      </c>
    </row>
    <row r="19" ht="13.5" customHeight="1" spans="1:66" x14ac:dyDescent="0.25">
      <c r="A19" s="4"/>
      <c r="B19" s="4"/>
      <c r="C19" s="47"/>
      <c r="D19" s="562" t="s">
        <v>518</v>
      </c>
      <c r="E19" s="441"/>
      <c r="F19" s="563"/>
      <c r="G19" s="564">
        <f t="shared" ref="G19:V19" si="3" ca="1">AVERAGE(G10:G16)</f>
        <v>1323504.3030483332</v>
      </c>
      <c r="H19" s="564">
        <f ca="1">AVERAGE(H10:H16)</f>
        <v>1282820.167215</v>
      </c>
      <c r="I19" s="565">
        <f ca="1">AVERAGE(I10:I16)</f>
        <v>0.3463151666666667</v>
      </c>
      <c r="J19" s="565">
        <f ca="1">AVERAGE(J10:J16)</f>
        <v>0.32548700852351536</v>
      </c>
      <c r="K19" s="565">
        <f ca="1">AVERAGE(K10:K16)</f>
        <v>0.5492003333333333</v>
      </c>
      <c r="L19" s="565">
        <f ca="1">AVERAGE(L10:L16)</f>
        <v>0.13784868746689205</v>
      </c>
      <c r="M19" s="565">
        <f ca="1">AVERAGE(M10:M16)</f>
        <v>0.26566</v>
      </c>
      <c r="N19" s="565">
        <f ca="1">AVERAGE(N10:N16)</f>
        <v>0.3391890318647466</v>
      </c>
      <c r="O19" s="565">
        <f ca="1">AVERAGE(O10:O16)</f>
        <v>0.18686966666666668</v>
      </c>
      <c r="P19" s="565">
        <f ca="1">AVERAGE(P10:P16)</f>
        <v>0.2374291169624134</v>
      </c>
      <c r="Q19" s="566">
        <f ca="1">AVERAGE(Q10:Q16)</f>
        <v>19.18922</v>
      </c>
      <c r="R19" s="567">
        <f ca="1">AVERAGE(R10:R16)</f>
        <v>50.23798816361842</v>
      </c>
      <c r="S19" s="567">
        <f ca="1">AVERAGE(S10:S16)</f>
        <v>12.017526666666667</v>
      </c>
      <c r="T19" s="567">
        <f ca="1">AVERAGE(T10:T16)</f>
        <v>10.450720939371331</v>
      </c>
      <c r="U19" s="567">
        <f ca="1">AVERAGE(U10:U16)</f>
        <v>28.027836</v>
      </c>
      <c r="V19" s="568">
        <f ca="1">AVERAGE(V10:V16)</f>
        <v>57.79707316613341</v>
      </c>
      <c r="W19" s="16"/>
      <c r="X19" s="4"/>
      <c r="Y19" s="47"/>
      <c r="Z19" s="562" t="s">
        <v>518</v>
      </c>
      <c r="AA19" s="441"/>
      <c r="AB19" s="563"/>
      <c r="AC19" s="564">
        <f t="shared" ref="AC19:AR19" si="4" ca="1">AVERAGE(AC10:AC16)</f>
        <v>71835.782455</v>
      </c>
      <c r="AD19" s="564">
        <f ca="1">AVERAGE(AD10:AD16)</f>
        <v>86720.26628833334</v>
      </c>
      <c r="AE19" s="569">
        <f ca="1">AVERAGE(AE10:AE16)</f>
        <v>0.10343183333333333</v>
      </c>
      <c r="AF19" s="569">
        <f ca="1">AVERAGE(AF10:AF16)</f>
        <v>0.09008317651654629</v>
      </c>
      <c r="AG19" s="569">
        <f ca="1">AVERAGE(AG10:AG16)</f>
        <v>0.4146725</v>
      </c>
      <c r="AH19" s="569">
        <f ca="1">AVERAGE(AH10:AH16)</f>
        <v>-0.583637050724687</v>
      </c>
      <c r="AI19" s="569">
        <f ca="1">AVERAGE(AI10:AI16)</f>
        <v>0.13695283333333333</v>
      </c>
      <c r="AJ19" s="569">
        <f ca="1">AVERAGE(AJ10:AJ16)</f>
        <v>0.15539560335187066</v>
      </c>
      <c r="AK19" s="569">
        <f ca="1">AVERAGE(AK10:AK16)</f>
        <v>0.058402333333333334</v>
      </c>
      <c r="AL19" s="569">
        <f ca="1">AVERAGE(AL10:AL16)</f>
        <v>0.08502516239369384</v>
      </c>
      <c r="AM19" s="566">
        <f ca="1">AVERAGE(AM10:AM16)</f>
        <v>9.106754</v>
      </c>
      <c r="AN19" s="567">
        <f ca="1">AVERAGE(AN10:AN16)</f>
        <v>17.257650750172328</v>
      </c>
      <c r="AO19" s="567">
        <f ca="1">AVERAGE(AO10:AO16)</f>
        <v>1.6406083333333334</v>
      </c>
      <c r="AP19" s="567">
        <f ca="1">AVERAGE(AP10:AP16)</f>
        <v>2.713906375995124</v>
      </c>
      <c r="AQ19" s="567">
        <f ca="1">AVERAGE(AQ10:AQ16)</f>
        <v>20.281439999999996</v>
      </c>
      <c r="AR19" s="568">
        <f ca="1">AVERAGE(AR10:AR16)</f>
        <v>21.594515789762383</v>
      </c>
      <c r="AS19" s="4"/>
      <c r="AT19" s="4"/>
      <c r="AU19" s="47"/>
      <c r="AV19" s="562" t="s">
        <v>518</v>
      </c>
      <c r="AW19" s="441"/>
      <c r="AX19" s="563"/>
      <c r="AY19" s="564">
        <f t="shared" ref="AY19:BN19" si="5" ca="1">AVERAGE(AY10:AY16)</f>
        <v>84668.2197</v>
      </c>
      <c r="AZ19" s="564">
        <f ca="1">AVERAGE(AZ10:AZ16)</f>
        <v>98970.55353333335</v>
      </c>
      <c r="BA19" s="569">
        <f ca="1">AVERAGE(BA10:BA16)</f>
        <v>0.05737416666666667</v>
      </c>
      <c r="BB19" s="569">
        <f ca="1">AVERAGE(BB10:BB16)</f>
        <v>0.07035394134444851</v>
      </c>
      <c r="BC19" s="569">
        <f ca="1">AVERAGE(BC10:BC16)</f>
        <v>0.024313833333333337</v>
      </c>
      <c r="BD19" s="569">
        <f ca="1">AVERAGE(BD10:BD16)</f>
        <v>0.08195950023741272</v>
      </c>
      <c r="BE19" s="569">
        <f ca="1">AVERAGE(BE10:BE16)</f>
        <v>0.2477345</v>
      </c>
      <c r="BF19" s="569">
        <f ca="1">AVERAGE(BF10:BF16)</f>
        <v>0.25115620759480345</v>
      </c>
      <c r="BG19" s="569">
        <f ca="1">AVERAGE(BG10:BG16)</f>
        <v>0.12470983333333334</v>
      </c>
      <c r="BH19" s="569">
        <f ca="1">AVERAGE(BH10:BH16)</f>
        <v>0.15695896203933532</v>
      </c>
      <c r="BI19" s="566">
        <f ca="1">AVERAGE(BI10:BI16)</f>
        <v>15.054556666666665</v>
      </c>
      <c r="BJ19" s="567">
        <f ca="1">AVERAGE(BJ10:BJ16)</f>
        <v>19.917704743955753</v>
      </c>
      <c r="BK19" s="567">
        <f ca="1">AVERAGE(BK10:BK16)</f>
        <v>3.837745</v>
      </c>
      <c r="BL19" s="567">
        <f ca="1">AVERAGE(BL10:BL16)</f>
        <v>5.089001130045863</v>
      </c>
      <c r="BM19" s="567">
        <f ca="1">AVERAGE(BM10:BM16)</f>
        <v>23.62187</v>
      </c>
      <c r="BN19" s="568">
        <f ca="1">AVERAGE(BN10:BN16)</f>
        <v>32.78685306050986</v>
      </c>
    </row>
    <row r="20" ht="13.5" customHeight="1" spans="1:66" x14ac:dyDescent="0.25">
      <c r="A20" s="4"/>
      <c r="B20" s="4"/>
      <c r="C20" s="47"/>
      <c r="D20" s="562" t="s">
        <v>519</v>
      </c>
      <c r="E20" s="441"/>
      <c r="F20" s="441"/>
      <c r="G20" s="564">
        <f t="shared" ref="G20:V20" si="6" ca="1">MEDIAN(G10:G16)</f>
        <v>1487208.2549649999</v>
      </c>
      <c r="H20" s="564">
        <f ca="1">MEDIAN(H10:H16)</f>
        <v>1407273.254965</v>
      </c>
      <c r="I20" s="565">
        <f ca="1">MEDIAN(I10:I16)</f>
        <v>0.2971535</v>
      </c>
      <c r="J20" s="565">
        <f ca="1">MEDIAN(J10:J16)</f>
        <v>0.35417054656504277</v>
      </c>
      <c r="K20" s="565">
        <f ca="1">MEDIAN(K10:K16)</f>
        <v>0.47425249999999997</v>
      </c>
      <c r="L20" s="565">
        <f ca="1">MEDIAN(L10:L16)</f>
        <v>0.4306721493653889</v>
      </c>
      <c r="M20" s="565">
        <f ca="1">MEDIAN(M10:M16)</f>
        <v>0.3312815</v>
      </c>
      <c r="N20" s="565">
        <f ca="1">MEDIAN(N10:N16)</f>
        <v>0.36327035105917194</v>
      </c>
      <c r="O20" s="565">
        <f ca="1">MEDIAN(O10:O16)</f>
        <v>0.26786699999999997</v>
      </c>
      <c r="P20" s="565">
        <f ca="1">MEDIAN(P10:P16)</f>
        <v>0.2630604389175104</v>
      </c>
      <c r="Q20" s="566">
        <f ca="1">MEDIAN(Q10:Q16)</f>
        <v>20.63488</v>
      </c>
      <c r="R20" s="567">
        <f ca="1">MEDIAN(R10:R16)</f>
        <v>19.07395532064387</v>
      </c>
      <c r="S20" s="567">
        <f ca="1">MEDIAN(S10:S16)</f>
        <v>8.157734999999999</v>
      </c>
      <c r="T20" s="567">
        <f ca="1">MEDIAN(T10:T16)</f>
        <v>7.800438822852892</v>
      </c>
      <c r="U20" s="567">
        <f ca="1">MEDIAN(U10:U16)</f>
        <v>27.79788</v>
      </c>
      <c r="V20" s="568">
        <f ca="1">MEDIAN(V10:V16)</f>
        <v>27.29665087668582</v>
      </c>
      <c r="W20" s="16"/>
      <c r="X20" s="4"/>
      <c r="Y20" s="47"/>
      <c r="Z20" s="562" t="s">
        <v>519</v>
      </c>
      <c r="AA20" s="441"/>
      <c r="AB20" s="441"/>
      <c r="AC20" s="564">
        <f t="shared" ref="AC20:AR20" si="7" ca="1">MEDIAN(AC10:AC16)</f>
        <v>79327.60286</v>
      </c>
      <c r="AD20" s="564">
        <f ca="1">MEDIAN(AD10:AD16)</f>
        <v>88943.10286000001</v>
      </c>
      <c r="AE20" s="569">
        <f ca="1">MEDIAN(AE10:AE16)</f>
        <v>0.07876449999999999</v>
      </c>
      <c r="AF20" s="569">
        <f ca="1">MEDIAN(AF10:AF16)</f>
        <v>0.050245350288697144</v>
      </c>
      <c r="AG20" s="569">
        <f ca="1">MEDIAN(AG10:AG16)</f>
        <v>0.43208399999999997</v>
      </c>
      <c r="AH20" s="569">
        <f ca="1">MEDIAN(AH10:AH16)</f>
        <v>-0.18521987642728777</v>
      </c>
      <c r="AI20" s="569">
        <f ca="1">MEDIAN(AI10:AI16)</f>
        <v>0.14764</v>
      </c>
      <c r="AJ20" s="569">
        <f ca="1">MEDIAN(AJ10:AJ16)</f>
        <v>0.15568117318519226</v>
      </c>
      <c r="AK20" s="569">
        <f ca="1">MEDIAN(AK10:AK16)</f>
        <v>0.09248599999999998</v>
      </c>
      <c r="AL20" s="569">
        <f ca="1">MEDIAN(AL10:AL16)</f>
        <v>0.10152294620790997</v>
      </c>
      <c r="AM20" s="566">
        <f ca="1">MEDIAN(AM10:AM16)</f>
        <v>10.01997</v>
      </c>
      <c r="AN20" s="567">
        <f ca="1">MEDIAN(AN10:AN16)</f>
        <v>13.415392350311915</v>
      </c>
      <c r="AO20" s="567">
        <f ca="1">MEDIAN(AO10:AO16)</f>
        <v>1.7294399999999999</v>
      </c>
      <c r="AP20" s="567">
        <f ca="1">MEDIAN(AP10:AP16)</f>
        <v>2.1093364343746774</v>
      </c>
      <c r="AQ20" s="567">
        <f ca="1">MEDIAN(AQ10:AQ16)</f>
        <v>13.61295</v>
      </c>
      <c r="AR20" s="568">
        <f ca="1">MEDIAN(AR10:AR16)</f>
        <v>20.919526956583937</v>
      </c>
      <c r="AS20" s="4"/>
      <c r="AT20" s="4"/>
      <c r="AU20" s="47"/>
      <c r="AV20" s="562" t="s">
        <v>519</v>
      </c>
      <c r="AW20" s="441"/>
      <c r="AX20" s="441"/>
      <c r="AY20" s="564">
        <f t="shared" ref="AY20:BN20" si="8" ca="1">MEDIAN(AY10:AY16)</f>
        <v>87747.448625</v>
      </c>
      <c r="AZ20" s="564">
        <f ca="1">MEDIAN(AZ10:AZ16)</f>
        <v>97098.44862499999</v>
      </c>
      <c r="BA20" s="569">
        <f ca="1">MEDIAN(BA10:BA16)</f>
        <v>0.07276250000000001</v>
      </c>
      <c r="BB20" s="569">
        <f ca="1">MEDIAN(BB10:BB16)</f>
        <v>0.08415272317348965</v>
      </c>
      <c r="BC20" s="569">
        <f ca="1">MEDIAN(BC10:BC16)</f>
        <v>0.131942</v>
      </c>
      <c r="BD20" s="569">
        <f ca="1">MEDIAN(BD10:BD16)</f>
        <v>0.13611629906692402</v>
      </c>
      <c r="BE20" s="569">
        <f ca="1">MEDIAN(BE10:BE16)</f>
        <v>0.26306050000000003</v>
      </c>
      <c r="BF20" s="569">
        <f ca="1">MEDIAN(BF10:BF16)</f>
        <v>0.25971190764599195</v>
      </c>
      <c r="BG20" s="569">
        <f ca="1">MEDIAN(BG10:BG16)</f>
        <v>0.149469</v>
      </c>
      <c r="BH20" s="569">
        <f ca="1">MEDIAN(BH10:BH16)</f>
        <v>0.16356126932180767</v>
      </c>
      <c r="BI20" s="566">
        <f ca="1">MEDIAN(BI10:BI16)</f>
        <v>16.63175</v>
      </c>
      <c r="BJ20" s="567">
        <f ca="1">MEDIAN(BJ10:BJ16)</f>
        <v>20.342638651042556</v>
      </c>
      <c r="BK20" s="567">
        <f ca="1">MEDIAN(BK10:BK16)</f>
        <v>3.42533</v>
      </c>
      <c r="BL20" s="567">
        <f ca="1">MEDIAN(BL10:BL16)</f>
        <v>4.264131592108762</v>
      </c>
      <c r="BM20" s="567">
        <f ca="1">MEDIAN(BM10:BM16)</f>
        <v>24.43376</v>
      </c>
      <c r="BN20" s="568">
        <f ca="1">MEDIAN(BN10:BN16)</f>
        <v>29.67121723202159</v>
      </c>
    </row>
    <row r="21" ht="13.5" customHeight="1" spans="1:66" x14ac:dyDescent="0.25">
      <c r="A21" s="4"/>
      <c r="B21" s="4"/>
      <c r="C21" s="47"/>
      <c r="D21" s="570" t="s">
        <v>168</v>
      </c>
      <c r="E21" s="571"/>
      <c r="F21" s="571"/>
      <c r="G21" s="572">
        <f t="shared" ref="G21:V21" si="9" ca="1">MIN(G10:G16)</f>
        <v>115291.54504</v>
      </c>
      <c r="H21" s="572">
        <f ca="1">MIN(H10:H16)</f>
        <v>114730.73004</v>
      </c>
      <c r="I21" s="573">
        <f ca="1">MIN(I10:I16)</f>
        <v>0.175317</v>
      </c>
      <c r="J21" s="573">
        <f ca="1">MIN(J10:J16)</f>
        <v>0.03688944339654232</v>
      </c>
      <c r="K21" s="573">
        <f ca="1">MIN(K10:K16)</f>
        <v>0.275987</v>
      </c>
      <c r="L21" s="573">
        <f ca="1">MIN(L10:L16)</f>
        <v>-1.5530767571565032</v>
      </c>
      <c r="M21" s="573">
        <f ca="1">MIN(M10:M16)</f>
        <v>-0.195959</v>
      </c>
      <c r="N21" s="573">
        <f ca="1">MIN(N10:N16)</f>
        <v>0.1287054648578779</v>
      </c>
      <c r="O21" s="573">
        <f ca="1">MIN(O10:O16)</f>
        <v>-0.22488600000000003</v>
      </c>
      <c r="P21" s="573">
        <f ca="1">MIN(P10:P16)</f>
        <v>0.08599256295671137</v>
      </c>
      <c r="Q21" s="574">
        <f ca="1">MIN(Q10:Q16)</f>
        <v>10.87254</v>
      </c>
      <c r="R21" s="575">
        <f ca="1">MIN(R10:R16)</f>
        <v>12.5309555137087</v>
      </c>
      <c r="S21" s="575">
        <f ca="1">MIN(S10:S16)</f>
        <v>1.73035</v>
      </c>
      <c r="T21" s="575">
        <f ca="1">MIN(T10:T16)</f>
        <v>1.7763725751510986</v>
      </c>
      <c r="U21" s="575">
        <f ca="1">MIN(U10:U16)</f>
        <v>21.30913</v>
      </c>
      <c r="V21" s="576">
        <f ca="1">MIN(V10:V16)</f>
        <v>17.846255042276262</v>
      </c>
      <c r="W21" s="16"/>
      <c r="X21" s="4"/>
      <c r="Y21" s="47"/>
      <c r="Z21" s="570" t="s">
        <v>168</v>
      </c>
      <c r="AA21" s="571"/>
      <c r="AB21" s="571"/>
      <c r="AC21" s="572">
        <f t="shared" ref="AC21:AR21" si="10" ca="1">MIN(AC10:AC16)</f>
        <v>6040.93556</v>
      </c>
      <c r="AD21" s="572">
        <f ca="1">MIN(AD10:AD16)</f>
        <v>5561.83856</v>
      </c>
      <c r="AE21" s="577">
        <f ca="1">MIN(AE10:AE16)</f>
        <v>-0.07428799999999999</v>
      </c>
      <c r="AF21" s="577">
        <f ca="1">MIN(AF10:AF16)</f>
        <v>-0.014799398896709226</v>
      </c>
      <c r="AG21" s="577">
        <f ca="1">MIN(AG10:AG16)</f>
        <v>0.124316</v>
      </c>
      <c r="AH21" s="577">
        <f ca="1">MIN(AH10:AH16)</f>
        <v>-2.5665133721199402</v>
      </c>
      <c r="AI21" s="577">
        <f ca="1">MIN(AI10:AI16)</f>
        <v>-0.029095</v>
      </c>
      <c r="AJ21" s="577">
        <f ca="1">MIN(AJ10:AJ16)</f>
        <v>0.07583617298307273</v>
      </c>
      <c r="AK21" s="577">
        <f ca="1">MIN(AK10:AK16)</f>
        <v>-0.14303000000000002</v>
      </c>
      <c r="AL21" s="577">
        <f ca="1">MIN(AL10:AL16)</f>
        <v>-0.005421097632900035</v>
      </c>
      <c r="AM21" s="574">
        <f ca="1">MIN(AM10:AM16)</f>
      </c>
      <c r="AN21" s="575">
        <f ca="1">MIN(AN10:AN16)</f>
        <v>10.442453685118846</v>
      </c>
      <c r="AO21" s="575">
        <f ca="1">MIN(AO10:AO16)</f>
      </c>
      <c r="AP21" s="575">
        <f ca="1">MIN(AP10:AP16)</f>
        <v>0.993771663980303</v>
      </c>
      <c r="AQ21" s="575">
        <f ca="1">MIN(AQ10:AQ16)</f>
      </c>
      <c r="AR21" s="576">
        <f ca="1">MIN(AR10:AR16)</f>
        <v>13.436305184315913</v>
      </c>
      <c r="AS21" s="4"/>
      <c r="AT21" s="4"/>
      <c r="AU21" s="47"/>
      <c r="AV21" s="570" t="s">
        <v>168</v>
      </c>
      <c r="AW21" s="571"/>
      <c r="AX21" s="571"/>
      <c r="AY21" s="572">
        <f t="shared" ref="AY21:BN21" si="11" ca="1">MIN(AY10:AY16)</f>
        <v>6040.93556</v>
      </c>
      <c r="AZ21" s="572">
        <f ca="1">MIN(AZ10:AZ16)</f>
        <v>5561.83856</v>
      </c>
      <c r="BA21" s="577">
        <f ca="1">MIN(BA10:BA16)</f>
        <v>-0.083477</v>
      </c>
      <c r="BB21" s="577">
        <f ca="1">MIN(BB10:BB16)</f>
        <v>-0.036353036963538865</v>
      </c>
      <c r="BC21" s="577">
        <f ca="1">MIN(BC10:BC16)</f>
        <v>-0.342387</v>
      </c>
      <c r="BD21" s="577">
        <f ca="1">MIN(BD10:BD16)</f>
        <v>-0.5777118713986096</v>
      </c>
      <c r="BE21" s="577">
        <f ca="1">MIN(BE10:BE16)</f>
        <v>0.08612500000000001</v>
      </c>
      <c r="BF21" s="577">
        <f ca="1">MIN(BF10:BF16)</f>
        <v>0.10098877292986558</v>
      </c>
      <c r="BG21" s="577">
        <f ca="1">MIN(BG10:BG16)</f>
        <v>-0.03102</v>
      </c>
      <c r="BH21" s="577">
        <f ca="1">MIN(BH10:BH16)</f>
        <v>0.027997383350577984</v>
      </c>
      <c r="BI21" s="574">
        <f ca="1">MIN(BI10:BI16)</f>
      </c>
      <c r="BJ21" s="575">
        <f ca="1">MIN(BJ10:BJ16)</f>
        <v>13.364261803244904</v>
      </c>
      <c r="BK21" s="575">
        <f ca="1">MIN(BK10:BK16)</f>
      </c>
      <c r="BL21" s="575">
        <f ca="1">MIN(BL10:BL16)</f>
        <v>2.1552540183700164</v>
      </c>
      <c r="BM21" s="575">
        <f ca="1">MIN(BM10:BM16)</f>
      </c>
      <c r="BN21" s="576">
        <f ca="1">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520</v>
      </c>
      <c r="E23" s="66"/>
      <c r="F23" s="66"/>
      <c r="G23" s="538" t="s">
        <v>521</v>
      </c>
      <c r="H23" s="66"/>
      <c r="I23" s="66"/>
      <c r="J23" s="538" t="s">
        <v>522</v>
      </c>
      <c r="K23" s="66"/>
      <c r="L23" s="66"/>
      <c r="M23" s="538" t="str">
        <f ca="1">TEXT(Last_FYE,"yyyy")&amp;"A"&amp;" Leverage Analysis"</f>
        <v>2025A Leverage Analysis</v>
      </c>
      <c r="N23" s="66"/>
      <c r="O23" s="66"/>
      <c r="P23" s="538" t="str">
        <f ca="1">TEXT(Last_FYE,"yyyy")&amp;"A"&amp;" Coverage Analysis"</f>
        <v>2025A Coverage Analysis</v>
      </c>
      <c r="Q23" s="66"/>
      <c r="R23" s="66"/>
      <c r="S23" s="538" t="s">
        <v>523</v>
      </c>
      <c r="T23" s="66"/>
      <c r="U23" s="538" t="s">
        <v>524</v>
      </c>
      <c r="V23" s="66"/>
      <c r="W23" s="16"/>
      <c r="X23" s="4"/>
      <c r="Y23" s="47" t="s">
        <v>1</v>
      </c>
      <c r="Z23" s="538" t="s">
        <v>520</v>
      </c>
      <c r="AA23" s="66"/>
      <c r="AB23" s="66"/>
      <c r="AC23" s="538" t="s">
        <v>521</v>
      </c>
      <c r="AD23" s="66"/>
      <c r="AE23" s="66"/>
      <c r="AF23" s="538" t="s">
        <v>522</v>
      </c>
      <c r="AG23" s="66"/>
      <c r="AH23" s="66"/>
      <c r="AI23" s="538" t="str">
        <f ca="1">TEXT(Last_FYE,"yyyy")&amp;"A"&amp;" Leverage Analysis"</f>
        <v>2025A Leverage Analysis</v>
      </c>
      <c r="AJ23" s="66"/>
      <c r="AK23" s="66"/>
      <c r="AL23" s="538" t="str">
        <f ca="1">TEXT(Last_FYE,"yyyy")&amp;"A"&amp;" Coverage Analysis"</f>
        <v>2025A Coverage Analysis</v>
      </c>
      <c r="AM23" s="66"/>
      <c r="AN23" s="66"/>
      <c r="AO23" s="538" t="s">
        <v>523</v>
      </c>
      <c r="AP23" s="66"/>
      <c r="AQ23" s="538" t="s">
        <v>524</v>
      </c>
      <c r="AR23" s="66"/>
      <c r="AS23" s="4"/>
      <c r="AT23" s="4"/>
      <c r="AU23" s="47" t="s">
        <v>1</v>
      </c>
      <c r="AV23" s="538" t="s">
        <v>520</v>
      </c>
      <c r="AW23" s="66"/>
      <c r="AX23" s="66"/>
      <c r="AY23" s="538" t="s">
        <v>521</v>
      </c>
      <c r="AZ23" s="66"/>
      <c r="BA23" s="66"/>
      <c r="BB23" s="538" t="s">
        <v>522</v>
      </c>
      <c r="BC23" s="66"/>
      <c r="BD23" s="66"/>
      <c r="BE23" s="538" t="str">
        <f ca="1">TEXT(Last_FYE,"yyyy")&amp;"A"&amp;" Leverage Analysis"</f>
        <v>2025A Leverage Analysis</v>
      </c>
      <c r="BF23" s="66"/>
      <c r="BG23" s="66"/>
      <c r="BH23" s="538" t="str">
        <f ca="1">TEXT(Last_FYE,"yyyy")&amp;"A"&amp;" Coverage Analysis"</f>
        <v>2025A Coverage Analysis</v>
      </c>
      <c r="BI23" s="66"/>
      <c r="BJ23" s="66"/>
      <c r="BK23" s="538" t="s">
        <v>523</v>
      </c>
      <c r="BL23" s="66"/>
      <c r="BM23" s="538" t="s">
        <v>524</v>
      </c>
      <c r="BN23" s="66"/>
    </row>
    <row r="24" ht="13.5" customHeight="1" spans="1:66" x14ac:dyDescent="0.25">
      <c r="A24" s="4"/>
      <c r="B24" s="4"/>
      <c r="C24" s="47"/>
      <c r="D24" s="16"/>
      <c r="E24" s="16"/>
      <c r="F24" s="16"/>
      <c r="G24" s="16"/>
      <c r="H24" s="16"/>
      <c r="I24" s="16"/>
      <c r="J24" s="16"/>
      <c r="K24" s="16"/>
      <c r="L24" s="16"/>
      <c r="M24" s="538" t="s">
        <v>525</v>
      </c>
      <c r="N24" s="66"/>
      <c r="O24" s="66"/>
      <c r="P24" s="16"/>
      <c r="Q24" s="16"/>
      <c r="R24" s="16"/>
      <c r="S24" s="16"/>
      <c r="T24" s="16"/>
      <c r="U24" s="16"/>
      <c r="V24" s="16"/>
      <c r="W24" s="16"/>
      <c r="X24" s="4"/>
      <c r="Y24" s="47"/>
      <c r="Z24" s="16"/>
      <c r="AA24" s="16"/>
      <c r="AB24" s="16"/>
      <c r="AC24" s="16"/>
      <c r="AD24" s="16"/>
      <c r="AE24" s="16"/>
      <c r="AF24" s="16"/>
      <c r="AG24" s="16"/>
      <c r="AH24" s="16"/>
      <c r="AI24" s="538" t="s">
        <v>525</v>
      </c>
      <c r="AJ24" s="66"/>
      <c r="AK24" s="66"/>
      <c r="AL24" s="16"/>
      <c r="AM24" s="16"/>
      <c r="AN24" s="16"/>
      <c r="AO24" s="16"/>
      <c r="AP24" s="16"/>
      <c r="AQ24" s="16"/>
      <c r="AR24" s="16"/>
      <c r="AS24" s="4"/>
      <c r="AT24" s="4"/>
      <c r="AU24" s="47"/>
      <c r="AV24" s="16"/>
      <c r="AW24" s="16"/>
      <c r="AX24" s="16"/>
      <c r="AY24" s="16"/>
      <c r="AZ24" s="16"/>
      <c r="BA24" s="16"/>
      <c r="BB24" s="16"/>
      <c r="BC24" s="16"/>
      <c r="BD24" s="16"/>
      <c r="BE24" s="538" t="s">
        <v>525</v>
      </c>
      <c r="BF24" s="66"/>
      <c r="BG24" s="66"/>
      <c r="BH24" s="16"/>
      <c r="BI24" s="16"/>
      <c r="BJ24" s="16"/>
      <c r="BK24" s="16"/>
      <c r="BL24" s="16"/>
      <c r="BM24" s="16"/>
      <c r="BN24" s="16"/>
    </row>
    <row r="25" ht="13.5" customHeight="1" spans="1:66" x14ac:dyDescent="0.25">
      <c r="A25" s="4"/>
      <c r="B25" s="4"/>
      <c r="C25" s="47"/>
      <c r="D25" s="84"/>
      <c r="E25" s="84"/>
      <c r="F25" s="84"/>
      <c r="G25" s="84"/>
      <c r="H25" s="84"/>
      <c r="I25" s="84" t="s">
        <v>526</v>
      </c>
      <c r="J25" s="84"/>
      <c r="K25" s="84"/>
      <c r="L25" s="84"/>
      <c r="M25" s="84"/>
      <c r="N25" s="84"/>
      <c r="O25" s="84"/>
      <c r="P25" s="84" t="s">
        <v>527</v>
      </c>
      <c r="Q25" s="345" t="s">
        <v>528</v>
      </c>
      <c r="R25" s="84" t="s">
        <v>529</v>
      </c>
      <c r="S25" s="84" t="s">
        <v>530</v>
      </c>
      <c r="T25" s="84" t="s">
        <v>531</v>
      </c>
      <c r="U25" s="84"/>
      <c r="V25" s="84"/>
      <c r="W25" s="16"/>
      <c r="X25" s="4"/>
      <c r="Y25" s="47"/>
      <c r="Z25" s="84"/>
      <c r="AA25" s="84"/>
      <c r="AB25" s="84"/>
      <c r="AC25" s="84"/>
      <c r="AD25" s="84"/>
      <c r="AE25" s="84" t="s">
        <v>526</v>
      </c>
      <c r="AF25" s="84"/>
      <c r="AG25" s="84"/>
      <c r="AH25" s="84"/>
      <c r="AI25" s="84"/>
      <c r="AJ25" s="84"/>
      <c r="AK25" s="84"/>
      <c r="AL25" s="84" t="s">
        <v>527</v>
      </c>
      <c r="AM25" s="345" t="s">
        <v>528</v>
      </c>
      <c r="AN25" s="84" t="s">
        <v>529</v>
      </c>
      <c r="AO25" s="84" t="s">
        <v>530</v>
      </c>
      <c r="AP25" s="84" t="s">
        <v>531</v>
      </c>
      <c r="AQ25" s="84"/>
      <c r="AR25" s="84"/>
      <c r="AS25" s="4"/>
      <c r="AT25" s="4"/>
      <c r="AU25" s="47"/>
      <c r="AV25" s="84"/>
      <c r="AW25" s="84"/>
      <c r="AX25" s="84"/>
      <c r="AY25" s="84"/>
      <c r="AZ25" s="84"/>
      <c r="BA25" s="84" t="s">
        <v>526</v>
      </c>
      <c r="BB25" s="84"/>
      <c r="BC25" s="84"/>
      <c r="BD25" s="84"/>
      <c r="BE25" s="84"/>
      <c r="BF25" s="84"/>
      <c r="BG25" s="84"/>
      <c r="BH25" s="84" t="s">
        <v>527</v>
      </c>
      <c r="BI25" s="345" t="s">
        <v>528</v>
      </c>
      <c r="BJ25" s="84" t="s">
        <v>529</v>
      </c>
      <c r="BK25" s="84" t="s">
        <v>530</v>
      </c>
      <c r="BL25" s="84" t="s">
        <v>531</v>
      </c>
      <c r="BM25" s="84"/>
      <c r="BN25" s="84"/>
    </row>
    <row r="26" ht="13.5" customHeight="1" spans="1:66" x14ac:dyDescent="0.25">
      <c r="A26" s="4"/>
      <c r="B26" s="4"/>
      <c r="C26" s="47"/>
      <c r="D26" s="139"/>
      <c r="E26" s="84"/>
      <c r="F26" s="538" t="s">
        <v>25</v>
      </c>
      <c r="G26" s="538" t="s">
        <v>298</v>
      </c>
      <c r="H26" s="538" t="s">
        <v>532</v>
      </c>
      <c r="I26" s="538" t="s">
        <v>533</v>
      </c>
      <c r="J26" s="538" t="s">
        <v>534</v>
      </c>
      <c r="K26" s="538" t="s">
        <v>535</v>
      </c>
      <c r="L26" s="538" t="s">
        <v>536</v>
      </c>
      <c r="M26" s="538" t="s">
        <v>499</v>
      </c>
      <c r="N26" s="538" t="s">
        <v>292</v>
      </c>
      <c r="O26" s="538" t="s">
        <v>537</v>
      </c>
      <c r="P26" s="538" t="s">
        <v>538</v>
      </c>
      <c r="Q26" s="578" t="s">
        <v>539</v>
      </c>
      <c r="R26" s="538" t="s">
        <v>538</v>
      </c>
      <c r="S26" s="538" t="s">
        <v>540</v>
      </c>
      <c r="T26" s="538" t="s">
        <v>540</v>
      </c>
      <c r="U26" s="538" t="s">
        <v>541</v>
      </c>
      <c r="V26" s="538" t="s">
        <v>542</v>
      </c>
      <c r="W26" s="16"/>
      <c r="X26" s="4"/>
      <c r="Y26" s="47"/>
      <c r="Z26" s="139"/>
      <c r="AA26" s="84"/>
      <c r="AB26" s="538" t="s">
        <v>25</v>
      </c>
      <c r="AC26" s="538" t="s">
        <v>298</v>
      </c>
      <c r="AD26" s="538" t="s">
        <v>532</v>
      </c>
      <c r="AE26" s="538" t="s">
        <v>533</v>
      </c>
      <c r="AF26" s="538" t="s">
        <v>534</v>
      </c>
      <c r="AG26" s="538" t="s">
        <v>535</v>
      </c>
      <c r="AH26" s="538" t="s">
        <v>536</v>
      </c>
      <c r="AI26" s="538" t="s">
        <v>499</v>
      </c>
      <c r="AJ26" s="538" t="s">
        <v>292</v>
      </c>
      <c r="AK26" s="538" t="s">
        <v>537</v>
      </c>
      <c r="AL26" s="538" t="s">
        <v>538</v>
      </c>
      <c r="AM26" s="578" t="s">
        <v>539</v>
      </c>
      <c r="AN26" s="538" t="s">
        <v>538</v>
      </c>
      <c r="AO26" s="538" t="s">
        <v>540</v>
      </c>
      <c r="AP26" s="538" t="s">
        <v>540</v>
      </c>
      <c r="AQ26" s="538" t="s">
        <v>541</v>
      </c>
      <c r="AR26" s="538" t="s">
        <v>542</v>
      </c>
      <c r="AS26" s="4"/>
      <c r="AT26" s="4"/>
      <c r="AU26" s="47"/>
      <c r="AV26" s="139"/>
      <c r="AW26" s="84"/>
      <c r="AX26" s="538" t="s">
        <v>25</v>
      </c>
      <c r="AY26" s="538" t="s">
        <v>298</v>
      </c>
      <c r="AZ26" s="538" t="s">
        <v>532</v>
      </c>
      <c r="BA26" s="538" t="s">
        <v>533</v>
      </c>
      <c r="BB26" s="538" t="s">
        <v>534</v>
      </c>
      <c r="BC26" s="538" t="s">
        <v>535</v>
      </c>
      <c r="BD26" s="538" t="s">
        <v>536</v>
      </c>
      <c r="BE26" s="538" t="s">
        <v>499</v>
      </c>
      <c r="BF26" s="538" t="s">
        <v>292</v>
      </c>
      <c r="BG26" s="538" t="s">
        <v>537</v>
      </c>
      <c r="BH26" s="538" t="s">
        <v>538</v>
      </c>
      <c r="BI26" s="578" t="s">
        <v>539</v>
      </c>
      <c r="BJ26" s="538" t="s">
        <v>538</v>
      </c>
      <c r="BK26" s="538" t="s">
        <v>540</v>
      </c>
      <c r="BL26" s="538" t="s">
        <v>540</v>
      </c>
      <c r="BM26" s="538" t="s">
        <v>541</v>
      </c>
      <c r="BN26" s="538" t="s">
        <v>542</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 ca="1">Company_Name</f>
        <v>Lowe's Companies, Inc.</v>
      </c>
      <c r="E28" s="19"/>
      <c r="F28" s="63" t="s">
        <v>501</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543</v>
      </c>
      <c r="V28" s="64" t="s">
        <v>544</v>
      </c>
      <c r="W28" s="16"/>
      <c r="X28" s="4"/>
      <c r="Y28" s="47"/>
      <c r="Z28" s="18" t="str">
        <f ca="1">Company_Name</f>
        <v>Lowe's Companies, Inc.</v>
      </c>
      <c r="AA28" s="19"/>
      <c r="AB28" s="63" t="s">
        <v>501</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543</v>
      </c>
      <c r="AR28" s="64" t="s">
        <v>544</v>
      </c>
      <c r="AS28" s="4"/>
      <c r="AT28" s="4"/>
      <c r="AU28" s="47"/>
      <c r="AV28" s="18" t="str">
        <f ca="1">Company_Name</f>
        <v>Lowe's Companies, Inc.</v>
      </c>
      <c r="AW28" s="19"/>
      <c r="AX28" s="63" t="s">
        <v>501</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543</v>
      </c>
      <c r="BN28" s="64" t="s">
        <v>544</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f ca="1">D53</f>
        <v>1e-12</v>
      </c>
      <c r="E30" s="16"/>
      <c r="F30" s="84" t="s">
        <v>502</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545</v>
      </c>
      <c r="V30" s="84" t="s">
        <v>544</v>
      </c>
      <c r="W30" s="16"/>
      <c r="X30" s="4"/>
      <c r="Y30" s="47"/>
      <c r="Z30" s="16">
        <f ca="1">Z53</f>
        <v>1e-12</v>
      </c>
      <c r="AA30" s="16"/>
      <c r="AB30" s="84" t="s">
        <v>503</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546</v>
      </c>
      <c r="AR30" s="84" t="s">
        <v>547</v>
      </c>
      <c r="AS30" s="4"/>
      <c r="AT30" s="4"/>
      <c r="AU30" s="47"/>
      <c r="AV30" s="16">
        <f ca="1">AV53</f>
        <v>1e-12</v>
      </c>
      <c r="AW30" s="16"/>
      <c r="AX30" s="84" t="s">
        <v>504</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548</v>
      </c>
      <c r="BN30" s="84" t="s">
        <v>547</v>
      </c>
    </row>
    <row r="31" ht="13.5" customHeight="1" spans="1:66" x14ac:dyDescent="0.25">
      <c r="A31" s="4"/>
      <c r="B31" s="4"/>
      <c r="C31" s="47"/>
      <c r="D31" s="16">
        <f ca="1">D54</f>
        <v>1e-12</v>
      </c>
      <c r="E31" s="16"/>
      <c r="F31" s="84" t="s">
        <v>505</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549</v>
      </c>
      <c r="V31" s="84" t="s">
        <v>544</v>
      </c>
      <c r="W31" s="16"/>
      <c r="X31" s="4"/>
      <c r="Y31" s="47"/>
      <c r="Z31" s="16">
        <f ca="1">Z54</f>
        <v>1e-12</v>
      </c>
      <c r="AA31" s="16"/>
      <c r="AB31" s="84" t="s">
        <v>506</v>
      </c>
      <c r="AC31" s="547">
        <v>0.14074</v>
      </c>
      <c r="AD31" s="581">
        <v>1.62028</v>
      </c>
      <c r="AE31" s="547">
        <v>0</v>
      </c>
      <c r="AF31" s="547">
        <v>0.21877749021799892</v>
      </c>
      <c r="AG31" s="547">
        <v>0.032482000000000004</v>
      </c>
      <c r="AH31" s="547">
        <v>-0.016131</v>
      </c>
      <c r="AI31" s="551">
        <v>138.5723</v>
      </c>
      <c r="AJ31" s="551" t="s">
        <v>507</v>
      </c>
      <c r="AK31" s="551" t="s">
        <v>507</v>
      </c>
      <c r="AL31" s="551" t="s">
        <v>507</v>
      </c>
      <c r="AM31" s="551" t="s">
        <v>507</v>
      </c>
      <c r="AN31" s="551" t="s">
        <v>507</v>
      </c>
      <c r="AO31" s="581">
        <v>0.40835</v>
      </c>
      <c r="AP31" s="581">
        <v>1.3937</v>
      </c>
      <c r="AQ31" s="84" t="s">
        <v>550</v>
      </c>
      <c r="AR31" s="84" t="s">
        <v>547</v>
      </c>
      <c r="AS31" s="4"/>
      <c r="AT31" s="4"/>
      <c r="AU31" s="47"/>
      <c r="AV31" s="16">
        <f ca="1">AV54</f>
        <v>1e-12</v>
      </c>
      <c r="AW31" s="16"/>
      <c r="AX31" s="84" t="s">
        <v>508</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507</v>
      </c>
      <c r="BK31" s="581">
        <v>1.21993</v>
      </c>
      <c r="BL31" s="581">
        <v>1.57684</v>
      </c>
      <c r="BM31" s="84" t="s">
        <v>543</v>
      </c>
      <c r="BN31" s="84" t="s">
        <v>551</v>
      </c>
    </row>
    <row r="32" ht="13.5" customHeight="1" spans="1:66" x14ac:dyDescent="0.25">
      <c r="A32" s="4"/>
      <c r="B32" s="4"/>
      <c r="C32" s="47"/>
      <c r="D32" s="16">
        <f ca="1">D55</f>
        <v>1e-12</v>
      </c>
      <c r="E32" s="16"/>
      <c r="F32" s="84" t="s">
        <v>509</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549</v>
      </c>
      <c r="V32" s="84" t="s">
        <v>544</v>
      </c>
      <c r="W32" s="16"/>
      <c r="X32" s="4"/>
      <c r="Y32" s="47"/>
      <c r="Z32" s="16">
        <f ca="1">Z55</f>
        <v>1e-12</v>
      </c>
      <c r="AA32" s="16"/>
      <c r="AB32" s="84" t="s">
        <v>510</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550</v>
      </c>
      <c r="AR32" s="84" t="s">
        <v>547</v>
      </c>
      <c r="AS32" s="4"/>
      <c r="AT32" s="4"/>
      <c r="AU32" s="47"/>
      <c r="AV32" s="16">
        <f ca="1">AV55</f>
        <v>1e-12</v>
      </c>
      <c r="AW32" s="16"/>
      <c r="AX32" s="84" t="s">
        <v>511</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552</v>
      </c>
      <c r="BN32" s="84" t="s">
        <v>544</v>
      </c>
    </row>
    <row r="33" ht="13.5" customHeight="1" spans="1:66" x14ac:dyDescent="0.25">
      <c r="A33" s="4"/>
      <c r="B33" s="4"/>
      <c r="C33" s="47"/>
      <c r="D33" s="16">
        <f ca="1">D56</f>
        <v>1e-12</v>
      </c>
      <c r="E33" s="16"/>
      <c r="F33" s="84" t="s">
        <v>512</v>
      </c>
      <c r="G33" s="550">
        <v>0.138266</v>
      </c>
      <c r="H33" s="581">
        <v>1.27315</v>
      </c>
      <c r="I33" s="550">
        <v>0</v>
      </c>
      <c r="J33" s="550">
        <v>0.2868426045457575</v>
      </c>
      <c r="K33" s="550">
        <v>-0.294551</v>
      </c>
      <c r="L33" s="550">
        <v>-0.081478</v>
      </c>
      <c r="M33" s="551">
        <v>0.462335</v>
      </c>
      <c r="N33" s="551" t="s">
        <v>507</v>
      </c>
      <c r="O33" s="551">
        <v>0.859896</v>
      </c>
      <c r="P33" s="551" t="s">
        <v>507</v>
      </c>
      <c r="Q33" s="551" t="s">
        <v>507</v>
      </c>
      <c r="R33" s="551" t="s">
        <v>507</v>
      </c>
      <c r="S33" s="581">
        <v>4.91787</v>
      </c>
      <c r="T33" s="581">
        <v>5.00201</v>
      </c>
      <c r="U33" s="84" t="s">
        <v>549</v>
      </c>
      <c r="V33" s="84" t="s">
        <v>544</v>
      </c>
      <c r="W33" s="16"/>
      <c r="X33" s="4"/>
      <c r="Y33" s="47"/>
      <c r="Z33" s="16">
        <f ca="1">Z56</f>
        <v>1e-12</v>
      </c>
      <c r="AA33" s="16"/>
      <c r="AB33" s="84" t="s">
        <v>513</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546</v>
      </c>
      <c r="AR33" s="84" t="s">
        <v>544</v>
      </c>
      <c r="AS33" s="4"/>
      <c r="AT33" s="4"/>
      <c r="AU33" s="47"/>
      <c r="AV33" s="16">
        <f ca="1">AV56</f>
        <v>1e-12</v>
      </c>
      <c r="AW33" s="16"/>
      <c r="AX33" s="84" t="s">
        <v>514</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543</v>
      </c>
      <c r="BN33" s="84" t="s">
        <v>544</v>
      </c>
    </row>
    <row r="34" ht="13.5" customHeight="1" spans="1:66" x14ac:dyDescent="0.25">
      <c r="A34" s="4"/>
      <c r="B34" s="4"/>
      <c r="C34" s="47"/>
      <c r="D34" s="16">
        <f ca="1">D57</f>
        <v>1e-12</v>
      </c>
      <c r="E34" s="16"/>
      <c r="F34" s="84" t="s">
        <v>515</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545</v>
      </c>
      <c r="V34" s="84" t="s">
        <v>544</v>
      </c>
      <c r="W34" s="16"/>
      <c r="X34" s="4"/>
      <c r="Y34" s="47"/>
      <c r="Z34" s="16">
        <f ca="1">Z57</f>
        <v>1e-12</v>
      </c>
      <c r="AA34" s="16"/>
      <c r="AB34" s="84" t="s">
        <v>516</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543</v>
      </c>
      <c r="AR34" s="84" t="s">
        <v>544</v>
      </c>
      <c r="AS34" s="4"/>
      <c r="AT34" s="4"/>
      <c r="AU34" s="47"/>
      <c r="AV34" s="16">
        <f ca="1">AV57</f>
        <v>1e-12</v>
      </c>
      <c r="AW34" s="16"/>
      <c r="AX34" s="84" t="s">
        <v>517</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552</v>
      </c>
      <c r="BN34" s="84" t="s">
        <v>544</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2" ca="1">D18</f>
        <v>High</v>
      </c>
      <c r="E36" s="554"/>
      <c r="F36" s="555"/>
      <c r="G36" s="557">
        <f t="shared" ref="G36:T36" si="13" ca="1">MAX(G28:G34)</f>
        <v>0.246026</v>
      </c>
      <c r="H36" s="583">
        <f ca="1">MAX(H28:H34)</f>
        <v>1.32679</v>
      </c>
      <c r="I36" s="557">
        <f ca="1">MAX(I28:I34)</f>
        <v>0.015541000000000001</v>
      </c>
      <c r="J36" s="557">
        <f ca="1">MAX(J28:J34)</f>
        <v>0.5160410896748149</v>
      </c>
      <c r="K36" s="557">
        <f ca="1">MAX(K28:K34)</f>
        <v>3.353264</v>
      </c>
      <c r="L36" s="557">
        <f ca="1">MAX(L28:L34)</f>
        <v>0.19302399999999997</v>
      </c>
      <c r="M36" s="559">
        <f ca="1">MAX(M28:M34)</f>
        <v>0.9480249999999999</v>
      </c>
      <c r="N36" s="559">
        <f ca="1">MAX(N28:N34)</f>
        <v>1.9578</v>
      </c>
      <c r="O36" s="559">
        <f ca="1">MAX(O28:O34)</f>
        <v>18.240083</v>
      </c>
      <c r="P36" s="559">
        <f ca="1">MAX(P28:P34)</f>
        <v>428.06667</v>
      </c>
      <c r="Q36" s="559">
        <f ca="1">MAX(Q28:Q34)</f>
        <v>263.02222</v>
      </c>
      <c r="R36" s="559">
        <f ca="1">MAX(R28:R34)</f>
        <v>305.36296</v>
      </c>
      <c r="S36" s="583">
        <f ca="1">MAX(S28:S34)</f>
        <v>4.91787</v>
      </c>
      <c r="T36" s="583">
        <f ca="1">MAX(T28:T34)</f>
        <v>5.05106</v>
      </c>
      <c r="U36" s="555"/>
      <c r="V36" s="584"/>
      <c r="W36" s="16"/>
      <c r="X36" s="4"/>
      <c r="Y36" s="47"/>
      <c r="Z36" s="553" t="str">
        <f t="shared" ref="Z36:Z39" si="14" ca="1">Z18</f>
        <v>High</v>
      </c>
      <c r="AA36" s="554"/>
      <c r="AB36" s="555"/>
      <c r="AC36" s="561">
        <f t="shared" ref="AC36:AP36" si="15" ca="1">MAX(AC28:AC34)</f>
        <v>0.246026</v>
      </c>
      <c r="AD36" s="583">
        <f ca="1">MAX(AD28:AD34)</f>
        <v>1.62028</v>
      </c>
      <c r="AE36" s="561">
        <f ca="1">MAX(AE28:AE34)</f>
        <v>0.028730000000000002</v>
      </c>
      <c r="AF36" s="561">
        <f ca="1">MAX(AF28:AF34)</f>
        <v>0.47399097894209075</v>
      </c>
      <c r="AG36" s="561">
        <f ca="1">MAX(AG28:AG34)</f>
        <v>3.353264</v>
      </c>
      <c r="AH36" s="561">
        <f ca="1">MAX(AH28:AH34)</f>
        <v>0.153199</v>
      </c>
      <c r="AI36" s="559">
        <f ca="1">MAX(AI28:AI34)</f>
        <v>138.5723</v>
      </c>
      <c r="AJ36" s="559">
        <f ca="1">MAX(AJ28:AJ34)</f>
        <v>4.73816</v>
      </c>
      <c r="AK36" s="559">
        <f ca="1">MAX(AK28:AK34)</f>
        <v>1824.0083</v>
      </c>
      <c r="AL36" s="559">
        <f ca="1">MAX(AL28:AL34)</f>
        <v>17.29949</v>
      </c>
      <c r="AM36" s="559">
        <f ca="1">MAX(AM28:AM34)</f>
        <v>14.31134</v>
      </c>
      <c r="AN36" s="559">
        <f ca="1">MAX(AN28:AN34)</f>
        <v>15.0203</v>
      </c>
      <c r="AO36" s="583">
        <f ca="1">MAX(AO28:AO34)</f>
        <v>1.2881</v>
      </c>
      <c r="AP36" s="583">
        <f ca="1">MAX(AP28:AP34)</f>
        <v>1.60167</v>
      </c>
      <c r="AQ36" s="555"/>
      <c r="AR36" s="584"/>
      <c r="AS36" s="4"/>
      <c r="AT36" s="4"/>
      <c r="AU36" s="47"/>
      <c r="AV36" s="553" t="str">
        <f t="shared" ref="AV36:AV39" si="16" ca="1">AV18</f>
        <v>High</v>
      </c>
      <c r="AW36" s="554"/>
      <c r="AX36" s="555"/>
      <c r="AY36" s="561">
        <f t="shared" ref="AY36:BL36" si="17" ca="1">MAX(AY28:AY34)</f>
        <v>0.246026</v>
      </c>
      <c r="AZ36" s="583">
        <f ca="1">MAX(AZ28:AZ34)</f>
        <v>1.53469</v>
      </c>
      <c r="BA36" s="561">
        <f ca="1">MAX(BA28:BA34)</f>
        <v>0.030351</v>
      </c>
      <c r="BB36" s="561">
        <f ca="1">MAX(BB28:BB34)</f>
        <v>0.39441918935110964</v>
      </c>
      <c r="BC36" s="561">
        <f ca="1">MAX(BC28:BC34)</f>
        <v>3.353264</v>
      </c>
      <c r="BD36" s="561">
        <f ca="1">MAX(BD28:BD34)</f>
        <v>0.153199</v>
      </c>
      <c r="BE36" s="559">
        <f ca="1">MAX(BE28:BE34)</f>
        <v>94.8025</v>
      </c>
      <c r="BF36" s="559">
        <f ca="1">MAX(BF28:BF34)</f>
        <v>11.46958</v>
      </c>
      <c r="BG36" s="559">
        <f ca="1">MAX(BG28:BG34)</f>
        <v>1824.0083</v>
      </c>
      <c r="BH36" s="559">
        <f ca="1">MAX(BH28:BH34)</f>
        <v>22.0195</v>
      </c>
      <c r="BI36" s="559">
        <f ca="1">MAX(BI28:BI34)</f>
        <v>19.49582</v>
      </c>
      <c r="BJ36" s="559">
        <f ca="1">MAX(BJ28:BJ34)</f>
        <v>18.53482</v>
      </c>
      <c r="BK36" s="583">
        <f ca="1">MAX(BK28:BK34)</f>
        <v>1.24245</v>
      </c>
      <c r="BL36" s="583">
        <f ca="1">MAX(BL28:BL34)</f>
        <v>1.885</v>
      </c>
      <c r="BM36" s="555"/>
      <c r="BN36" s="584"/>
    </row>
    <row r="37" ht="13.5" customHeight="1" spans="1:66" x14ac:dyDescent="0.25">
      <c r="A37" s="4"/>
      <c r="B37" s="4"/>
      <c r="C37" s="47"/>
      <c r="D37" s="562" t="str">
        <f ca="1">D19</f>
        <v>Mean</v>
      </c>
      <c r="E37" s="441"/>
      <c r="F37" s="563"/>
      <c r="G37" s="565">
        <f t="shared" ref="G37:T37" si="18" ca="1">AVERAGE(G28:G34)</f>
        <v>0.15848516666666665</v>
      </c>
      <c r="H37" s="585">
        <f ca="1">AVERAGE(H28:H34)</f>
        <v>1.14496</v>
      </c>
      <c r="I37" s="565">
        <f ca="1">AVERAGE(I28:I34)</f>
        <v>0.0048225</v>
      </c>
      <c r="J37" s="565">
        <f ca="1">AVERAGE(J28:J34)</f>
        <v>0.3319615293846772</v>
      </c>
      <c r="K37" s="565">
        <f ca="1">AVERAGE(K28:K34)</f>
        <v>0.8994933333333334</v>
      </c>
      <c r="L37" s="565">
        <f ca="1">AVERAGE(L28:L34)</f>
        <v>0.118242</v>
      </c>
      <c r="M37" s="567">
        <f ca="1">AVERAGE(M28:M34)</f>
        <v>0.4367366666666666</v>
      </c>
      <c r="N37" s="567">
        <f ca="1">AVERAGE(N28:N34)</f>
        <v>1.018134</v>
      </c>
      <c r="O37" s="567">
        <f ca="1">AVERAGE(O28:O34)</f>
        <v>3.627208833333333</v>
      </c>
      <c r="P37" s="567">
        <f ca="1">AVERAGE(P28:P34)</f>
        <v>101.939572</v>
      </c>
      <c r="Q37" s="567">
        <f ca="1">AVERAGE(Q28:Q34)</f>
        <v>66.240966</v>
      </c>
      <c r="R37" s="567">
        <f ca="1">AVERAGE(R28:R34)</f>
        <v>74.18668199999999</v>
      </c>
      <c r="S37" s="585">
        <f ca="1">AVERAGE(S28:S34)</f>
        <v>2.6935466666666663</v>
      </c>
      <c r="T37" s="585">
        <f ca="1">AVERAGE(T28:T34)</f>
        <v>2.959235</v>
      </c>
      <c r="U37" s="563"/>
      <c r="V37" s="586"/>
      <c r="W37" s="16"/>
      <c r="X37" s="4"/>
      <c r="Y37" s="47"/>
      <c r="Z37" s="562" t="str">
        <f ca="1">Z19</f>
        <v>Mean</v>
      </c>
      <c r="AA37" s="441"/>
      <c r="AB37" s="563"/>
      <c r="AC37" s="569">
        <f t="shared" ref="AC37:AP37" si="19" ca="1">AVERAGE(AC28:AC34)</f>
        <v>0.16273283333333333</v>
      </c>
      <c r="AD37" s="585">
        <f ca="1">AVERAGE(AD28:AD34)</f>
        <v>1.1378366666666666</v>
      </c>
      <c r="AE37" s="569">
        <f ca="1">AVERAGE(AE28:AE34)</f>
        <v>0.017900166666666665</v>
      </c>
      <c r="AF37" s="569">
        <f ca="1">AVERAGE(AF28:AF34)</f>
        <v>0.282891019565845</v>
      </c>
      <c r="AG37" s="569">
        <f ca="1">AVERAGE(AG28:AG34)</f>
        <v>0.9414248333333334</v>
      </c>
      <c r="AH37" s="569">
        <f ca="1">AVERAGE(AH28:AH34)</f>
        <v>0.0664525</v>
      </c>
      <c r="AI37" s="567">
        <f ca="1">AVERAGE(AI28:AI34)</f>
        <v>74.05641666666666</v>
      </c>
      <c r="AJ37" s="567">
        <f ca="1">AVERAGE(AJ28:AJ34)</f>
        <v>2.4642519999999997</v>
      </c>
      <c r="AK37" s="567">
        <f ca="1">AVERAGE(AK28:AK34)</f>
        <v>469.13713999999993</v>
      </c>
      <c r="AL37" s="567">
        <f ca="1">AVERAGE(AL28:AL34)</f>
        <v>11.704714</v>
      </c>
      <c r="AM37" s="567">
        <f ca="1">AVERAGE(AM28:AM34)</f>
        <v>9.343114</v>
      </c>
      <c r="AN37" s="567">
        <f ca="1">AVERAGE(AN28:AN34)</f>
        <v>8.835899999999999</v>
      </c>
      <c r="AO37" s="585">
        <f ca="1">AVERAGE(AO28:AO34)</f>
        <v>0.7941383333333333</v>
      </c>
      <c r="AP37" s="585">
        <f ca="1">AVERAGE(AP28:AP34)</f>
        <v>1.3143483333333335</v>
      </c>
      <c r="AQ37" s="563"/>
      <c r="AR37" s="586"/>
      <c r="AS37" s="4"/>
      <c r="AT37" s="4"/>
      <c r="AU37" s="47"/>
      <c r="AV37" s="562" t="str">
        <f ca="1">AV19</f>
        <v>Mean</v>
      </c>
      <c r="AW37" s="441"/>
      <c r="AX37" s="563"/>
      <c r="AY37" s="569">
        <f t="shared" ref="AY37:BL37" si="20" ca="1">AVERAGE(AY28:AY34)</f>
        <v>0.1987185</v>
      </c>
      <c r="AZ37" s="585">
        <f ca="1">AVERAGE(AZ28:AZ34)</f>
        <v>1.1878633333333333</v>
      </c>
      <c r="BA37" s="569">
        <f ca="1">AVERAGE(BA28:BA34)</f>
        <v>0.014830500000000002</v>
      </c>
      <c r="BB37" s="569">
        <f ca="1">AVERAGE(BB28:BB34)</f>
        <v>0.21634205863305597</v>
      </c>
      <c r="BC37" s="569">
        <f ca="1">AVERAGE(BC28:BC34)</f>
        <v>0.7460788333333334</v>
      </c>
      <c r="BD37" s="569">
        <f ca="1">AVERAGE(BD28:BD34)</f>
        <v>0.0776135</v>
      </c>
      <c r="BE37" s="567">
        <f ca="1">AVERAGE(BE28:BE34)</f>
        <v>62.79613333333332</v>
      </c>
      <c r="BF37" s="567">
        <f ca="1">AVERAGE(BF28:BF34)</f>
        <v>4.239505</v>
      </c>
      <c r="BG37" s="567">
        <f ca="1">AVERAGE(BG28:BG34)</f>
        <v>417.7743</v>
      </c>
      <c r="BH37" s="567">
        <f ca="1">AVERAGE(BH28:BH34)</f>
        <v>15.218965000000003</v>
      </c>
      <c r="BI37" s="567">
        <f ca="1">AVERAGE(BI28:BI34)</f>
        <v>13.040391666666666</v>
      </c>
      <c r="BJ37" s="567">
        <f ca="1">AVERAGE(BJ28:BJ34)</f>
        <v>13.441250000000002</v>
      </c>
      <c r="BK37" s="585">
        <f ca="1">AVERAGE(BK28:BK34)</f>
        <v>0.9369216666666667</v>
      </c>
      <c r="BL37" s="585">
        <f ca="1">AVERAGE(BL28:BL34)</f>
        <v>1.3934300000000002</v>
      </c>
      <c r="BM37" s="563"/>
      <c r="BN37" s="586"/>
    </row>
    <row r="38" ht="13.5" customHeight="1" spans="1:66" x14ac:dyDescent="0.25">
      <c r="A38" s="4"/>
      <c r="B38" s="4"/>
      <c r="C38" s="47"/>
      <c r="D38" s="562" t="str">
        <f ca="1">D20</f>
        <v>Median</v>
      </c>
      <c r="E38" s="441"/>
      <c r="F38" s="441"/>
      <c r="G38" s="565">
        <f t="shared" ref="G38:T38" si="21" ca="1">MEDIAN(G28:G34)</f>
        <v>0.1412735</v>
      </c>
      <c r="H38" s="585">
        <f ca="1">MEDIAN(H28:H34)</f>
        <v>1.23796</v>
      </c>
      <c r="I38" s="565">
        <f ca="1">MEDIAN(I28:I34)</f>
        <v>0.0029604999999999996</v>
      </c>
      <c r="J38" s="565">
        <f ca="1">MEDIAN(J28:J34)</f>
        <v>0.28881980365470994</v>
      </c>
      <c r="K38" s="565">
        <f ca="1">MEDIAN(K28:K34)</f>
        <v>0.3920515</v>
      </c>
      <c r="L38" s="565">
        <f ca="1">MEDIAN(L28:L34)</f>
        <v>0.1454045</v>
      </c>
      <c r="M38" s="567">
        <f ca="1">MEDIAN(M28:M34)</f>
        <v>0.4146055</v>
      </c>
      <c r="N38" s="567">
        <f ca="1">MEDIAN(N28:N34)</f>
        <v>0.99198</v>
      </c>
      <c r="O38" s="567">
        <f ca="1">MEDIAN(O28:O34)</f>
        <v>0.7196834999999999</v>
      </c>
      <c r="P38" s="567">
        <f ca="1">MEDIAN(P28:P34)</f>
        <v>30.68013</v>
      </c>
      <c r="Q38" s="567">
        <f ca="1">MEDIAN(Q28:Q34)</f>
        <v>26.74721</v>
      </c>
      <c r="R38" s="567">
        <f ca="1">MEDIAN(R28:R34)</f>
        <v>23.07275</v>
      </c>
      <c r="S38" s="585">
        <f ca="1">MEDIAN(S28:S34)</f>
        <v>2.427835</v>
      </c>
      <c r="T38" s="585">
        <f ca="1">MEDIAN(T28:T34)</f>
        <v>2.573375</v>
      </c>
      <c r="U38" s="563"/>
      <c r="V38" s="586"/>
      <c r="W38" s="16"/>
      <c r="X38" s="4"/>
      <c r="Y38" s="47"/>
      <c r="Z38" s="562" t="str">
        <f ca="1">Z20</f>
        <v>Median</v>
      </c>
      <c r="AA38" s="441"/>
      <c r="AB38" s="441"/>
      <c r="AC38" s="569">
        <f t="shared" ref="AC38:AP38" si="22" ca="1">MEDIAN(AC28:AC34)</f>
        <v>0.1426605</v>
      </c>
      <c r="AD38" s="585">
        <f ca="1">MEDIAN(AD28:AD34)</f>
        <v>1.030815</v>
      </c>
      <c r="AE38" s="569">
        <f ca="1">MEDIAN(AE28:AE34)</f>
        <v>0.0196215</v>
      </c>
      <c r="AF38" s="569">
        <f ca="1">MEDIAN(AF28:AF34)</f>
        <v>0.21877749021799892</v>
      </c>
      <c r="AG38" s="569">
        <f ca="1">MEDIAN(AG28:AG34)</f>
        <v>0.4175065</v>
      </c>
      <c r="AH38" s="569">
        <f ca="1">MEDIAN(AH28:AH34)</f>
        <v>0.06629850000000001</v>
      </c>
      <c r="AI38" s="567">
        <f ca="1">MEDIAN(AI28:AI34)</f>
        <v>64.92</v>
      </c>
      <c r="AJ38" s="567">
        <f ca="1">MEDIAN(AJ28:AJ34)</f>
        <v>1.9578</v>
      </c>
      <c r="AK38" s="567">
        <f ca="1">MEDIAN(AK28:AK34)</f>
        <v>156.9997</v>
      </c>
      <c r="AL38" s="567">
        <f ca="1">MEDIAN(AL28:AL34)</f>
        <v>10.78947</v>
      </c>
      <c r="AM38" s="567">
        <f ca="1">MEDIAN(AM28:AM34)</f>
        <v>7.69298</v>
      </c>
      <c r="AN38" s="567">
        <f ca="1">MEDIAN(AN28:AN34)</f>
        <v>7.77193</v>
      </c>
      <c r="AO38" s="585">
        <f ca="1">MEDIAN(AO28:AO34)</f>
        <v>0.868565</v>
      </c>
      <c r="AP38" s="585">
        <f ca="1">MEDIAN(AP28:AP34)</f>
        <v>1.3004</v>
      </c>
      <c r="AQ38" s="563"/>
      <c r="AR38" s="586"/>
      <c r="AS38" s="4"/>
      <c r="AT38" s="4"/>
      <c r="AU38" s="47"/>
      <c r="AV38" s="562" t="str">
        <f ca="1">AV20</f>
        <v>Median</v>
      </c>
      <c r="AW38" s="441"/>
      <c r="AX38" s="441"/>
      <c r="AY38" s="569">
        <f t="shared" ref="AY38:BL38" si="23" ca="1">MEDIAN(AY28:AY34)</f>
        <v>0.19654</v>
      </c>
      <c r="AZ38" s="585">
        <f ca="1">MEDIAN(AZ28:AZ34)</f>
        <v>1.13117</v>
      </c>
      <c r="BA38" s="569">
        <f ca="1">MEDIAN(BA28:BA34)</f>
        <v>0.0158175</v>
      </c>
      <c r="BB38" s="569">
        <f ca="1">MEDIAN(BB28:BB34)</f>
        <v>0.21337290994802385</v>
      </c>
      <c r="BC38" s="569">
        <f ca="1">MEDIAN(BC28:BC34)</f>
        <v>0.276592</v>
      </c>
      <c r="BD38" s="569">
        <f ca="1">MEDIAN(BD28:BD34)</f>
        <v>0.07789650000000001</v>
      </c>
      <c r="BE38" s="567">
        <f ca="1">MEDIAN(BE28:BE34)</f>
        <v>58.53255</v>
      </c>
      <c r="BF38" s="567">
        <f ca="1">MEDIAN(BF28:BF34)</f>
        <v>2.518695</v>
      </c>
      <c r="BG38" s="567">
        <f ca="1">MEDIAN(BG28:BG34)</f>
        <v>141.67669999999998</v>
      </c>
      <c r="BH38" s="567">
        <f ca="1">MEDIAN(BH28:BH34)</f>
        <v>16.591540000000002</v>
      </c>
      <c r="BI38" s="567">
        <f ca="1">MEDIAN(BI28:BI34)</f>
        <v>14.145875</v>
      </c>
      <c r="BJ38" s="567">
        <f ca="1">MEDIAN(BJ28:BJ34)</f>
        <v>13.36862</v>
      </c>
      <c r="BK38" s="585">
        <f ca="1">MEDIAN(BK28:BK34)</f>
        <v>1.1473550000000001</v>
      </c>
      <c r="BL38" s="585">
        <f ca="1">MEDIAN(BL28:BL34)</f>
        <v>1.494945</v>
      </c>
      <c r="BM38" s="563"/>
      <c r="BN38" s="586"/>
    </row>
    <row r="39" ht="13.5" customHeight="1" spans="1:66" x14ac:dyDescent="0.25">
      <c r="A39" s="4"/>
      <c r="B39" s="4"/>
      <c r="C39" s="47" t="s">
        <v>1</v>
      </c>
      <c r="D39" s="570" t="str">
        <f ca="1">D21</f>
        <v>Low</v>
      </c>
      <c r="E39" s="571"/>
      <c r="F39" s="571"/>
      <c r="G39" s="573">
        <f t="shared" ref="G39:T39" si="24" ca="1">MIN(G28:G34)</f>
        <v>0.12157899999999999</v>
      </c>
      <c r="H39" s="587">
        <f ca="1">MIN(H28:H34)</f>
        <v>0.77608</v>
      </c>
      <c r="I39" s="573">
        <f ca="1">MIN(I28:I34)</f>
      </c>
      <c r="J39" s="573">
        <f ca="1">MIN(J28:J34)</f>
        <v>0.2168266854269613</v>
      </c>
      <c r="K39" s="573">
        <f ca="1">MIN(K28:K34)</f>
        <v>-0.294551</v>
      </c>
      <c r="L39" s="573">
        <f ca="1">MIN(L28:L34)</f>
        <v>-0.081478</v>
      </c>
      <c r="M39" s="575">
        <f ca="1">MIN(M28:M34)</f>
        <v>0.08013999999999999</v>
      </c>
      <c r="N39" s="575">
        <f ca="1">MIN(N28:N34)</f>
        <v>0.27133</v>
      </c>
      <c r="O39" s="575">
        <f ca="1">MIN(O28:O34)</f>
        <v>0.08712199999999999</v>
      </c>
      <c r="P39" s="575">
        <f ca="1">MIN(P28:P34)</f>
      </c>
      <c r="Q39" s="575">
        <f ca="1">MIN(Q28:Q34)</f>
      </c>
      <c r="R39" s="575">
        <f ca="1">MIN(R28:R34)</f>
      </c>
      <c r="S39" s="587">
        <f ca="1">MIN(S28:S34)</f>
        <v>0.27742</v>
      </c>
      <c r="T39" s="587">
        <f ca="1">MIN(T28:T34)</f>
        <v>1.19199</v>
      </c>
      <c r="U39" s="588"/>
      <c r="V39" s="589"/>
      <c r="W39" s="16"/>
      <c r="X39" s="4"/>
      <c r="Y39" s="47" t="s">
        <v>1</v>
      </c>
      <c r="Z39" s="570" t="str">
        <f ca="1">Z21</f>
        <v>Low</v>
      </c>
      <c r="AA39" s="571"/>
      <c r="AB39" s="571"/>
      <c r="AC39" s="577">
        <f t="shared" ref="AC39:AP39" si="25" ca="1">MIN(AC28:AC34)</f>
        <v>0.14074</v>
      </c>
      <c r="AD39" s="587">
        <f ca="1">MIN(AD28:AD34)</f>
        <v>0.83876</v>
      </c>
      <c r="AE39" s="577">
        <f ca="1">MIN(AE28:AE34)</f>
      </c>
      <c r="AF39" s="577">
        <f ca="1">MIN(AF28:AF34)</f>
        <v>0.17260347844787285</v>
      </c>
      <c r="AG39" s="577">
        <f ca="1">MIN(AG28:AG34)</f>
        <v>0.032482000000000004</v>
      </c>
      <c r="AH39" s="577">
        <f ca="1">MIN(AH28:AH34)</f>
        <v>-0.016131</v>
      </c>
      <c r="AI39" s="575">
        <f ca="1">MIN(AI28:AI34)</f>
        <v>31.4015</v>
      </c>
      <c r="AJ39" s="575">
        <f ca="1">MIN(AJ28:AJ34)</f>
        <v>1.2993</v>
      </c>
      <c r="AK39" s="575">
        <f ca="1">MIN(AK28:AK34)</f>
        <v>45.7758</v>
      </c>
      <c r="AL39" s="575">
        <f ca="1">MIN(AL28:AL34)</f>
        <v>5.0696</v>
      </c>
      <c r="AM39" s="575">
        <f ca="1">MIN(AM28:AM34)</f>
        <v>3.79474</v>
      </c>
      <c r="AN39" s="575">
        <f ca="1">MIN(AN28:AN34)</f>
        <v>1.76491</v>
      </c>
      <c r="AO39" s="587">
        <f ca="1">MIN(AO28:AO34)</f>
        <v>0.27742</v>
      </c>
      <c r="AP39" s="587">
        <f ca="1">MIN(AP28:AP34)</f>
        <v>1.09793</v>
      </c>
      <c r="AQ39" s="588"/>
      <c r="AR39" s="589"/>
      <c r="AS39" s="4"/>
      <c r="AT39" s="4"/>
      <c r="AU39" s="47" t="s">
        <v>1</v>
      </c>
      <c r="AV39" s="570" t="str">
        <f ca="1">AV21</f>
        <v>Low</v>
      </c>
      <c r="AW39" s="571"/>
      <c r="AX39" s="571"/>
      <c r="AY39" s="577">
        <f t="shared" ref="AY39:BL39" si="26" ca="1">MIN(AY28:AY34)</f>
        <v>0.147751</v>
      </c>
      <c r="AZ39" s="587">
        <f ca="1">MIN(AZ28:AZ34)</f>
        <v>0.95802</v>
      </c>
      <c r="BA39" s="577">
        <f ca="1">MIN(BA28:BA34)</f>
        <v>0.0030159999999999996</v>
      </c>
      <c r="BB39" s="577">
        <f ca="1">MIN(BB28:BB34)</f>
        <v>0.06270278611855058</v>
      </c>
      <c r="BC39" s="577">
        <f ca="1">MIN(BC28:BC34)</f>
        <v>0.002275</v>
      </c>
      <c r="BD39" s="577">
        <f ca="1">MIN(BD28:BD34)</f>
        <v>0.0022489999999999997</v>
      </c>
      <c r="BE39" s="575">
        <f ca="1">MIN(BE28:BE34)</f>
        <v>48.453</v>
      </c>
      <c r="BF39" s="575">
        <f ca="1">MIN(BF28:BF34)</f>
        <v>1.9578</v>
      </c>
      <c r="BG39" s="575">
        <f ca="1">MIN(BG28:BG34)</f>
        <v>93.9979</v>
      </c>
      <c r="BH39" s="575">
        <f ca="1">MIN(BH28:BH34)</f>
        <v>5.10428</v>
      </c>
      <c r="BI39" s="575">
        <f ca="1">MIN(BI28:BI34)</f>
        <v>2.66467</v>
      </c>
      <c r="BJ39" s="575">
        <f ca="1">MIN(BJ28:BJ34)</f>
        <v>6.53769</v>
      </c>
      <c r="BK39" s="587">
        <f ca="1">MIN(BK28:BK34)</f>
        <v>0.27742</v>
      </c>
      <c r="BL39" s="587">
        <f ca="1">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553</v>
      </c>
      <c r="D43" s="16"/>
      <c r="E43" s="16"/>
      <c r="F43" s="16"/>
      <c r="G43" s="595"/>
      <c r="H43" s="84"/>
      <c r="I43" s="595"/>
      <c r="J43" s="595"/>
      <c r="K43" s="595"/>
      <c r="L43" s="595"/>
      <c r="M43" s="595"/>
      <c r="N43" s="551"/>
      <c r="O43" s="595"/>
      <c r="P43" s="551"/>
      <c r="Q43" s="548"/>
      <c r="R43" s="551"/>
      <c r="S43" s="16"/>
      <c r="T43" s="595"/>
      <c r="U43" s="84"/>
      <c r="V43" s="84"/>
      <c r="W43" s="16"/>
      <c r="X43" s="4"/>
      <c r="Y43" s="47" t="s">
        <v>553</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553</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554</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 ca="1">D4</f>
        <v>Primary Peer Group</v>
      </c>
      <c r="E46" s="66"/>
      <c r="F46" s="66"/>
      <c r="G46" s="66"/>
      <c r="H46" s="66"/>
      <c r="I46" s="66"/>
      <c r="J46" s="66"/>
      <c r="K46" s="66"/>
      <c r="L46" s="66"/>
      <c r="M46" s="66"/>
      <c r="N46" s="66"/>
      <c r="O46" s="66"/>
      <c r="P46" s="66"/>
      <c r="Q46" s="66"/>
      <c r="R46" s="66"/>
      <c r="S46" s="66"/>
      <c r="T46" s="66"/>
      <c r="U46" s="66"/>
      <c r="V46" s="66"/>
      <c r="W46" s="16"/>
      <c r="X46" s="4"/>
      <c r="Y46" s="47"/>
      <c r="Z46" s="538" t="str">
        <f ca="1">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 ca="1">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27" ca="1">Q6</f>
        <v>Enterprise Value / </v>
      </c>
      <c r="R47" s="66"/>
      <c r="S47" s="66"/>
      <c r="T47" s="199">
        <f ca="1">T6</f>
        <v>1e-12</v>
      </c>
      <c r="U47" s="16"/>
      <c r="V47" s="16"/>
      <c r="W47" s="16"/>
      <c r="X47" s="4"/>
      <c r="Y47" s="47"/>
      <c r="Z47" s="84"/>
      <c r="AA47" s="84"/>
      <c r="AB47" s="16"/>
      <c r="AC47" s="16"/>
      <c r="AD47" s="16"/>
      <c r="AE47" s="16"/>
      <c r="AF47" s="16"/>
      <c r="AG47" s="16"/>
      <c r="AH47" s="16"/>
      <c r="AI47" s="16"/>
      <c r="AJ47" s="16"/>
      <c r="AK47" s="16"/>
      <c r="AL47" s="16"/>
      <c r="AM47" s="538" t="str">
        <f t="shared" ref="AM47:AM48" si="28" ca="1">AM6</f>
        <v>Enterprise Value / </v>
      </c>
      <c r="AN47" s="66"/>
      <c r="AO47" s="66"/>
      <c r="AP47" s="199">
        <f ca="1">AP6</f>
        <v>1e-12</v>
      </c>
      <c r="AQ47" s="16"/>
      <c r="AR47" s="16"/>
      <c r="AS47" s="4"/>
      <c r="AT47" s="4"/>
      <c r="AU47" s="47"/>
      <c r="AV47" s="84"/>
      <c r="AW47" s="84"/>
      <c r="AX47" s="16"/>
      <c r="AY47" s="16"/>
      <c r="AZ47" s="16"/>
      <c r="BA47" s="16"/>
      <c r="BB47" s="16"/>
      <c r="BC47" s="16"/>
      <c r="BD47" s="16"/>
      <c r="BE47" s="16"/>
      <c r="BF47" s="16"/>
      <c r="BG47" s="16"/>
      <c r="BH47" s="16"/>
      <c r="BI47" s="538" t="str">
        <f t="shared" ref="BI47:BI48" si="29" ca="1">BI6</f>
        <v>Enterprise Value / </v>
      </c>
      <c r="BJ47" s="66"/>
      <c r="BK47" s="66"/>
      <c r="BL47" s="199">
        <f ca="1">BL6</f>
        <v>1e-12</v>
      </c>
      <c r="BM47" s="16"/>
      <c r="BN47" s="16"/>
    </row>
    <row r="48" ht="13.5" customHeight="1" spans="1:66" x14ac:dyDescent="0.25" outlineLevel="1" collapsed="1">
      <c r="A48" s="4"/>
      <c r="D48" s="84"/>
      <c r="E48" s="84"/>
      <c r="F48" s="84"/>
      <c r="G48" s="84" t="str">
        <f t="shared" ref="G48:I48" si="30" ca="1">G7</f>
        <v>Market </v>
      </c>
      <c r="H48" s="84" t="str">
        <f ca="1">H7</f>
        <v>Enterprise</v>
      </c>
      <c r="I48" s="538" t="str">
        <f ca="1">I7</f>
        <v>Sales</v>
      </c>
      <c r="J48" s="66"/>
      <c r="K48" s="538" t="str">
        <f ca="1">K7</f>
        <v>EPS</v>
      </c>
      <c r="L48" s="66"/>
      <c r="M48" s="538" t="str">
        <f ca="1">M7</f>
        <v>EBITDA Margin</v>
      </c>
      <c r="N48" s="66"/>
      <c r="O48" s="538" t="str">
        <f ca="1">O7</f>
        <v>Profit Margin</v>
      </c>
      <c r="P48" s="66"/>
      <c r="Q48" s="538" t="str">
        <f ca="1">Q7</f>
        <v>EBITDA</v>
      </c>
      <c r="R48" s="66"/>
      <c r="S48" s="538" t="str">
        <f ca="1">S7</f>
        <v>Sales</v>
      </c>
      <c r="T48" s="66"/>
      <c r="U48" s="538" t="str">
        <f ca="1">U7</f>
        <v>Price / Earnings</v>
      </c>
      <c r="V48" s="66"/>
      <c r="W48" s="16"/>
      <c r="X48" s="4"/>
      <c r="Y48" s="47"/>
      <c r="Z48" s="84"/>
      <c r="AA48" s="84"/>
      <c r="AB48" s="84"/>
      <c r="AC48" s="84" t="str">
        <f t="shared" ref="AC48:AE48" si="31" ca="1">AC7</f>
        <v>Market </v>
      </c>
      <c r="AD48" s="84" t="str">
        <f ca="1">AD7</f>
        <v>Enterprise</v>
      </c>
      <c r="AE48" s="538" t="str">
        <f ca="1">AE7</f>
        <v>Sales</v>
      </c>
      <c r="AF48" s="66"/>
      <c r="AG48" s="538" t="str">
        <f ca="1">AG7</f>
        <v>EPS</v>
      </c>
      <c r="AH48" s="66"/>
      <c r="AI48" s="538" t="str">
        <f ca="1">AI7</f>
        <v>EBITDA Margin</v>
      </c>
      <c r="AJ48" s="66"/>
      <c r="AK48" s="538" t="str">
        <f ca="1">AK7</f>
        <v>Profit Margin</v>
      </c>
      <c r="AL48" s="66"/>
      <c r="AM48" s="538" t="str">
        <f ca="1">AM7</f>
        <v>EBITDA</v>
      </c>
      <c r="AN48" s="66"/>
      <c r="AO48" s="538" t="str">
        <f ca="1">AO7</f>
        <v>Sales</v>
      </c>
      <c r="AP48" s="66"/>
      <c r="AQ48" s="538" t="str">
        <f ca="1">AQ7</f>
        <v>Price / Earnings</v>
      </c>
      <c r="AR48" s="66"/>
      <c r="AS48" s="4"/>
      <c r="AT48" s="4"/>
      <c r="AU48" s="47"/>
      <c r="AV48" s="84"/>
      <c r="AW48" s="84"/>
      <c r="AX48" s="84"/>
      <c r="AY48" s="84" t="str">
        <f t="shared" ref="AY48:BA48" si="32" ca="1">AY7</f>
        <v>Market </v>
      </c>
      <c r="AZ48" s="84" t="str">
        <f ca="1">AZ7</f>
        <v>Enterprise</v>
      </c>
      <c r="BA48" s="538" t="str">
        <f ca="1">BA7</f>
        <v>Sales</v>
      </c>
      <c r="BB48" s="66"/>
      <c r="BC48" s="538" t="str">
        <f ca="1">BC7</f>
        <v>EPS</v>
      </c>
      <c r="BD48" s="66"/>
      <c r="BE48" s="538" t="str">
        <f ca="1">BE7</f>
        <v>EBITDA Margin</v>
      </c>
      <c r="BF48" s="66"/>
      <c r="BG48" s="538" t="str">
        <f ca="1">BG7</f>
        <v>Profit Margin</v>
      </c>
      <c r="BH48" s="66"/>
      <c r="BI48" s="538" t="str">
        <f ca="1">BI7</f>
        <v>EBITDA</v>
      </c>
      <c r="BJ48" s="66"/>
      <c r="BK48" s="538" t="str">
        <f ca="1">BK7</f>
        <v>Sales</v>
      </c>
      <c r="BL48" s="66"/>
      <c r="BM48" s="538" t="str">
        <f ca="1">BM7</f>
        <v>Price / Earnings</v>
      </c>
      <c r="BN48" s="66"/>
    </row>
    <row r="49" ht="13.5" customHeight="1" spans="1:66" x14ac:dyDescent="0.25" outlineLevel="1" collapsed="1">
      <c r="A49" s="4"/>
      <c r="B49" s="47"/>
      <c r="C49" s="47"/>
      <c r="D49" s="139"/>
      <c r="E49" s="84"/>
      <c r="F49" s="538" t="str">
        <f t="shared" ref="F49:V49" si="33" ca="1">F8</f>
        <v>Ticker</v>
      </c>
      <c r="G49" s="538" t="str">
        <f ca="1">G8</f>
        <v>Cap</v>
      </c>
      <c r="H49" s="538" t="str">
        <f ca="1">H8</f>
        <v>Value</v>
      </c>
      <c r="I49" s="538" t="str">
        <f ca="1">I8</f>
        <v>LTM</v>
      </c>
      <c r="J49" s="539">
        <f ca="1">J8</f>
        <v>46387</v>
      </c>
      <c r="K49" s="538" t="str">
        <f ca="1">K8</f>
        <v>LTM</v>
      </c>
      <c r="L49" s="539">
        <f ca="1">L8</f>
        <v>46387</v>
      </c>
      <c r="M49" s="538" t="str">
        <f ca="1">M8</f>
        <v>LTM</v>
      </c>
      <c r="N49" s="539">
        <f ca="1">N8</f>
        <v>46387</v>
      </c>
      <c r="O49" s="538" t="str">
        <f ca="1">O8</f>
        <v>LTM</v>
      </c>
      <c r="P49" s="539">
        <f ca="1">P8</f>
        <v>46387</v>
      </c>
      <c r="Q49" s="538" t="str">
        <f ca="1">Q8</f>
        <v>LTM</v>
      </c>
      <c r="R49" s="539">
        <f ca="1">R8</f>
        <v>46387</v>
      </c>
      <c r="S49" s="538" t="str">
        <f ca="1">S8</f>
        <v>LTM</v>
      </c>
      <c r="T49" s="539">
        <f ca="1">T8</f>
        <v>46387</v>
      </c>
      <c r="U49" s="538" t="str">
        <f ca="1">U8</f>
        <v>LTM</v>
      </c>
      <c r="V49" s="539">
        <f ca="1">V8</f>
        <v>46387</v>
      </c>
      <c r="W49" s="16"/>
      <c r="X49" s="4"/>
      <c r="Y49" s="47"/>
      <c r="Z49" s="139"/>
      <c r="AA49" s="84"/>
      <c r="AB49" s="538" t="str">
        <f t="shared" ref="AB49:AR49" si="34" ca="1">AB8</f>
        <v>Ticker</v>
      </c>
      <c r="AC49" s="538" t="str">
        <f ca="1">AC8</f>
        <v>Cap</v>
      </c>
      <c r="AD49" s="538" t="str">
        <f ca="1">AD8</f>
        <v>Value</v>
      </c>
      <c r="AE49" s="538" t="str">
        <f ca="1">AE8</f>
        <v>LTM</v>
      </c>
      <c r="AF49" s="539">
        <f ca="1">AF8</f>
        <v>46387</v>
      </c>
      <c r="AG49" s="538" t="str">
        <f ca="1">AG8</f>
        <v>LTM</v>
      </c>
      <c r="AH49" s="539">
        <f ca="1">AH8</f>
        <v>46387</v>
      </c>
      <c r="AI49" s="538" t="str">
        <f ca="1">AI8</f>
        <v>LTM</v>
      </c>
      <c r="AJ49" s="539">
        <f ca="1">AJ8</f>
        <v>46387</v>
      </c>
      <c r="AK49" s="538" t="str">
        <f ca="1">AK8</f>
        <v>LTM</v>
      </c>
      <c r="AL49" s="539">
        <f ca="1">AL8</f>
        <v>46387</v>
      </c>
      <c r="AM49" s="538" t="str">
        <f ca="1">AM8</f>
        <v>LTM</v>
      </c>
      <c r="AN49" s="539">
        <f ca="1">AN8</f>
        <v>46387</v>
      </c>
      <c r="AO49" s="538" t="str">
        <f ca="1">AO8</f>
        <v>LTM</v>
      </c>
      <c r="AP49" s="539">
        <f ca="1">AP8</f>
        <v>46387</v>
      </c>
      <c r="AQ49" s="538" t="str">
        <f ca="1">AQ8</f>
        <v>LTM</v>
      </c>
      <c r="AR49" s="539">
        <f ca="1">AR8</f>
        <v>46387</v>
      </c>
      <c r="AS49" s="4"/>
      <c r="AT49" s="4"/>
      <c r="AU49" s="47"/>
      <c r="AV49" s="139"/>
      <c r="AW49" s="84"/>
      <c r="AX49" s="538" t="str">
        <f t="shared" ref="AX49:BN49" si="35" ca="1">AX8</f>
        <v>Ticker</v>
      </c>
      <c r="AY49" s="538" t="str">
        <f ca="1">AY8</f>
        <v>Cap</v>
      </c>
      <c r="AZ49" s="538" t="str">
        <f ca="1">AZ8</f>
        <v>Value</v>
      </c>
      <c r="BA49" s="538" t="str">
        <f ca="1">BA8</f>
        <v>LTM</v>
      </c>
      <c r="BB49" s="539">
        <f ca="1">BB8</f>
        <v>46387</v>
      </c>
      <c r="BC49" s="538" t="str">
        <f ca="1">BC8</f>
        <v>LTM</v>
      </c>
      <c r="BD49" s="539">
        <f ca="1">BD8</f>
        <v>46387</v>
      </c>
      <c r="BE49" s="538" t="str">
        <f ca="1">BE8</f>
        <v>LTM</v>
      </c>
      <c r="BF49" s="539">
        <f ca="1">BF8</f>
        <v>46387</v>
      </c>
      <c r="BG49" s="538" t="str">
        <f ca="1">BG8</f>
        <v>LTM</v>
      </c>
      <c r="BH49" s="539">
        <f ca="1">BH8</f>
        <v>46387</v>
      </c>
      <c r="BI49" s="538" t="str">
        <f ca="1">BI8</f>
        <v>LTM</v>
      </c>
      <c r="BJ49" s="539">
        <f ca="1">BJ8</f>
        <v>46387</v>
      </c>
      <c r="BK49" s="538" t="str">
        <f ca="1">BK8</f>
        <v>LTM</v>
      </c>
      <c r="BL49" s="539">
        <f ca="1">BL8</f>
        <v>46387</v>
      </c>
      <c r="BM49" s="538" t="str">
        <f ca="1">BM8</f>
        <v>LTM</v>
      </c>
      <c r="BN49" s="539">
        <f ca="1">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 ca="1">B70</f>
        <v>IQ180871</v>
      </c>
      <c r="C51" s="599"/>
      <c r="D51" s="600">
        <f ca="1">_xll.ciqfunctions.udf.CIQ($B51, "IQ_COMPANY_NAME",Current_Date)</f>
      </c>
      <c r="E51" s="601"/>
      <c r="F51" s="602" t="str">
        <f ca="1">$E$89</f>
        <v>LOW</v>
      </c>
      <c r="G51" s="603">
        <f ca="1">_xll.ciqfunctions.udf.CIQ($B51, "IQ_MARKETCAP",Current_Date)</f>
      </c>
      <c r="H51" s="603">
        <f ca="1">_xll.ciqfunctions.udf.CIQ($B51, "IQ_TEV",Current_Date)</f>
      </c>
      <c r="I51" s="604">
        <f ca="1">_xll.ciqfunctions.udf.CIQ($B51, "IQ_TOTAL_REV_1YR_ANN_GROWTH",IQ_LTM,Current_Date)/100</f>
      </c>
      <c r="J51" s="604">
        <f ca="1">_xll.ciqfunctions.udf.CIQ($B51,"IQ_REVENUE_EST",IQ_FY+1)/(_xll.ciqfunctions.udf.CIQ($B51,"IQ_TOTAL_REV",IQ_FY))-1</f>
      </c>
      <c r="K51" s="604">
        <f ca="1">_xll.ciqfunctions.udf.CIQ($B51, "IQ_EPS_1YR_ANN_GROWTH",IQ_LTM,Current_Date)/100</f>
      </c>
      <c r="L51" s="604">
        <f ca="1">_xll.ciqfunctions.udf.CIQ($B51,"IQ_EPS_EST",IQ_FY+1)/(_xll.ciqfunctions.udf.CIQ($B51,"IQ_DILUT_EPS_INCL",IQ_FY))-1</f>
      </c>
      <c r="M51" s="604">
        <f ca="1">_xll.ciqfunctions.udf.CIQ($B51, "IQ_EBITDA_MARGIN",IQ_LTM)/100</f>
      </c>
      <c r="N51" s="604">
        <f ca="1">_xll.ciqfunctions.udf.CIQ($B51,"IQ_EBITDA_EST",IQ_FY+1)/(_xll.ciqfunctions.udf.CIQ($B51,"IQ_REVENUE_EST",IQ_FY+1))</f>
      </c>
      <c r="O51" s="604">
        <f ca="1">_xll.ciqfunctions.udf.CIQ($B51, "IQ_NI_MARGIN",IQ_LTM)/100</f>
      </c>
      <c r="P51" s="604">
        <f ca="1">_xll.ciqfunctions.udf.CIQ($B51,"IQ_NI_EST",IQ_FY+1)/(_xll.ciqfunctions.udf.CIQ($B51,"IQ_REVENUE_EST",IQ_FY+1))</f>
      </c>
      <c r="Q51" s="605">
        <f ca="1">_xll.ciqfunctions.udf.CIQ($B51, "IQ_TEV_EBITDA",IQ_LTM)</f>
      </c>
      <c r="R51" s="605">
        <f ca="1">_xll.ciqfunctions.udf.CIQ($B51, "IQ_TEV",Current_Date)/_xll.ciqfunctions.udf.CIQ($B51, "IQ_EBITDA_EST",IQ_FY+1)</f>
      </c>
      <c r="S51" s="605">
        <f ca="1">_xll.ciqfunctions.udf.CIQ($B51, "IQ_TEV_TOTAL_REV",IQ_LTM)</f>
      </c>
      <c r="T51" s="605">
        <f ca="1">_xll.ciqfunctions.udf.CIQ($B51, "IQ_TEV",Current_Date)/_xll.ciqfunctions.udf.CIQ($B51, "IQ_REVENUE_EST",IQ_FY+1)</f>
      </c>
      <c r="U51" s="605">
        <f ca="1">_xll.ciqfunctions.udf.CIQ($B51, "IQ_PE_EXCL",IQ_LTM)</f>
      </c>
      <c r="V51" s="605">
        <f ca="1">_xll.ciqfunctions.udf.CIQ($B51, "IQ_MARKETCAP",Current_Date)/_xll.ciqfunctions.udf.CIQ($B51, "IQ_NI_EST",IQ_FY+1)</f>
      </c>
      <c r="W51" s="16"/>
      <c r="X51" s="599" t="str">
        <f ca="1">X70</f>
        <v>IQ180871</v>
      </c>
      <c r="Y51" s="47"/>
      <c r="Z51" s="600" t="str">
        <f ca="1">Company_Name</f>
        <v>Lowe's Companies, Inc.</v>
      </c>
      <c r="AA51" s="601"/>
      <c r="AB51" s="602" t="str">
        <f ca="1">$E$89</f>
        <v>LOW</v>
      </c>
      <c r="AC51" s="603">
        <f ca="1">_xll.ciqfunctions.udf.CIQ($X51, "IQ_MARKETCAP",Current_Date)</f>
      </c>
      <c r="AD51" s="603">
        <f ca="1">_xll.ciqfunctions.udf.CIQ($X51, "IQ_TEV",Current_Date)</f>
      </c>
      <c r="AE51" s="604">
        <f ca="1">_xll.ciqfunctions.udf.CIQ($X51, "IQ_TOTAL_REV_1YR_ANN_GROWTH",IQ_LTM,Current_Date)/100</f>
      </c>
      <c r="AF51" s="604">
        <f ca="1">_xll.ciqfunctions.udf.CIQ($X51,"IQ_REVENUE_EST",IQ_FY+1)/(_xll.ciqfunctions.udf.CIQ($X51,"IQ_TOTAL_REV",IQ_FY))-1</f>
      </c>
      <c r="AG51" s="604">
        <f ca="1">_xll.ciqfunctions.udf.CIQ($X51, "IQ_EPS_1YR_ANN_GROWTH",IQ_LTM,Current_Date)/100</f>
      </c>
      <c r="AH51" s="604">
        <f ca="1">_xll.ciqfunctions.udf.CIQ($X51,"IQ_EPS_EST",IQ_FY+1)/(_xll.ciqfunctions.udf.CIQ($X51,"IQ_DILUT_EPS_INCL",IQ_FY))-1</f>
      </c>
      <c r="AI51" s="604">
        <f ca="1">_xll.ciqfunctions.udf.CIQ($X51, "IQ_EBITDA_MARGIN",IQ_LTM)/100</f>
      </c>
      <c r="AJ51" s="604">
        <f ca="1">_xll.ciqfunctions.udf.CIQ($X51,"IQ_EBITDA_EST",IQ_FY+1)/(_xll.ciqfunctions.udf.CIQ($X51,"IQ_REVENUE_EST",IQ_FY+1))</f>
      </c>
      <c r="AK51" s="604">
        <f ca="1">_xll.ciqfunctions.udf.CIQ($X51, "IQ_NI_MARGIN",IQ_LTM)/100</f>
      </c>
      <c r="AL51" s="604">
        <f ca="1">_xll.ciqfunctions.udf.CIQ($X51,"IQ_NI_EST",IQ_FY+1)/(_xll.ciqfunctions.udf.CIQ($X51,"IQ_REVENUE_EST",IQ_FY+1))</f>
      </c>
      <c r="AM51" s="605">
        <f ca="1">_xll.ciqfunctions.udf.CIQ($X51, "IQ_TEV_EBITDA",IQ_LTM)</f>
      </c>
      <c r="AN51" s="605">
        <f ca="1">_xll.ciqfunctions.udf.CIQ($X51, "IQ_TEV",Current_Date)/_xll.ciqfunctions.udf.CIQ($X51, "IQ_EBITDA_EST",IQ_FY+1)</f>
      </c>
      <c r="AO51" s="605">
        <f ca="1">_xll.ciqfunctions.udf.CIQ($X51, "IQ_TEV_TOTAL_REV",IQ_LTM)</f>
      </c>
      <c r="AP51" s="605">
        <f ca="1">_xll.ciqfunctions.udf.CIQ($X51, "IQ_TEV",Current_Date)/_xll.ciqfunctions.udf.CIQ($X51, "IQ_REVENUE_EST",IQ_FY+1)</f>
      </c>
      <c r="AQ51" s="605">
        <f ca="1">_xll.ciqfunctions.udf.CIQ($X51, "IQ_PE_EXCL",IQ_LTM)</f>
      </c>
      <c r="AR51" s="606">
        <f ca="1">_xll.ciqfunctions.udf.CIQ($X51, "IQ_MARKETCAP",Current_Date)/_xll.ciqfunctions.udf.CIQ($X51, "IQ_NI_EST",IQ_FY+1)</f>
      </c>
      <c r="AS51" s="4"/>
      <c r="AT51" s="599" t="str">
        <f ca="1">AT70</f>
        <v>IQ180871</v>
      </c>
      <c r="AU51" s="47"/>
      <c r="AV51" s="600" t="str">
        <f ca="1">Company_Name</f>
        <v>Lowe's Companies, Inc.</v>
      </c>
      <c r="AW51" s="601"/>
      <c r="AX51" s="602" t="str">
        <f ca="1">Ticker</f>
        <v>LOW</v>
      </c>
      <c r="AY51" s="603">
        <f ca="1">_xll.ciqfunctions.udf.CIQ($AT51, "IQ_MARKETCAP",Current_Date)</f>
      </c>
      <c r="AZ51" s="603">
        <f ca="1">_xll.ciqfunctions.udf.CIQ($AT51, "IQ_TEV",Current_Date)</f>
      </c>
      <c r="BA51" s="604">
        <f ca="1">_xll.ciqfunctions.udf.CIQ($AT51, "IQ_TOTAL_REV_1YR_ANN_GROWTH",IQ_LTM,Current_Date)/100</f>
      </c>
      <c r="BB51" s="604">
        <f ca="1">_xll.ciqfunctions.udf.CIQ($AT51,"IQ_REVENUE_EST",IQ_FY+1)/(_xll.ciqfunctions.udf.CIQ($AT51,"IQ_TOTAL_REV",IQ_FY))-1</f>
      </c>
      <c r="BC51" s="604">
        <f ca="1">_xll.ciqfunctions.udf.CIQ($AT51, "IQ_EPS_1YR_ANN_GROWTH",IQ_LTM,Current_Date)/100</f>
      </c>
      <c r="BD51" s="604">
        <f ca="1">_xll.ciqfunctions.udf.CIQ($AT51,"IQ_EPS_EST",IQ_FY+1)/(_xll.ciqfunctions.udf.CIQ($AT51,"IQ_DILUT_EPS_INCL",IQ_FY))-1</f>
      </c>
      <c r="BE51" s="604">
        <f ca="1">_xll.ciqfunctions.udf.CIQ($AT51, "IQ_EBITDA_MARGIN",IQ_LTM)/100</f>
      </c>
      <c r="BF51" s="604">
        <f ca="1">_xll.ciqfunctions.udf.CIQ($AT51,"IQ_EBITDA_EST",IQ_FY+1)/(_xll.ciqfunctions.udf.CIQ($AT51,"IQ_REVENUE_EST",IQ_FY+1))</f>
      </c>
      <c r="BG51" s="604">
        <f ca="1">_xll.ciqfunctions.udf.CIQ($AT51, "IQ_NI_MARGIN",IQ_LTM)/100</f>
      </c>
      <c r="BH51" s="604">
        <f ca="1">_xll.ciqfunctions.udf.CIQ($AT51,"IQ_NI_EST",IQ_FY+1)/(_xll.ciqfunctions.udf.CIQ($AT51,"IQ_REVENUE_EST",IQ_FY+1))</f>
      </c>
      <c r="BI51" s="605">
        <f ca="1">_xll.ciqfunctions.udf.CIQ($AT51, "IQ_TEV_EBITDA",IQ_LTM)</f>
      </c>
      <c r="BJ51" s="605">
        <f ca="1">_xll.ciqfunctions.udf.CIQ($AT51, "IQ_TEV",Current_Date)/_xll.ciqfunctions.udf.CIQ($AT51, "IQ_EBITDA_EST",IQ_FY+1)</f>
      </c>
      <c r="BK51" s="605">
        <f ca="1">_xll.ciqfunctions.udf.CIQ($AT51, "IQ_TEV_TOTAL_REV",IQ_LTM)</f>
      </c>
      <c r="BL51" s="605">
        <f ca="1">_xll.ciqfunctions.udf.CIQ($AT51, "IQ_TEV",Current_Date)/_xll.ciqfunctions.udf.CIQ($AT51, "IQ_REVENUE_EST",IQ_FY+1)</f>
      </c>
      <c r="BM51" s="605">
        <f ca="1">_xll.ciqfunctions.udf.CIQ($AT51, "IQ_PE_EXCL",IQ_LTM)</f>
      </c>
      <c r="BN51" s="606">
        <f ca="1">_xll.ciqfunctions.udf.CIQ($AT51, "IQ_MARKETCAP",Current_Date)/_xll.ciqfunctions.udf.CIQ($AT51, "IQ_NI_EST",IQ_FY+1)</f>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36" ca="1">B72</f>
        <v>IQ278679</v>
      </c>
      <c r="C53" s="599"/>
      <c r="D53" s="16">
        <f ca="1">_xll.ciqfunctions.udf.CIQ($B53, "IQ_COMPANY_NAME",Current_Date)</f>
      </c>
      <c r="E53" s="16"/>
      <c r="F53" s="84" t="str">
        <f t="shared" ref="F53:F57" si="37" ca="1">F72</f>
        <v>HD</v>
      </c>
      <c r="G53" s="549">
        <f ca="1">_xll.ciqfunctions.udf.CIQ($B53, "IQ_MARKETCAP",Current_Date)</f>
      </c>
      <c r="H53" s="549">
        <f ca="1">_xll.ciqfunctions.udf.CIQ($B53, "IQ_TEV",Current_Date)</f>
      </c>
      <c r="I53" s="547">
        <f ca="1">_xll.ciqfunctions.udf.CIQ($B53, "IQ_TOTAL_REV_1YR_ANN_GROWTH",IQ_LTM,Current_Date)/100</f>
      </c>
      <c r="J53" s="547">
        <f ca="1">_xll.ciqfunctions.udf.CIQ($B53,"IQ_REVENUE_EST",IQ_FY+1)/(_xll.ciqfunctions.udf.CIQ($B53,"IQ_TOTAL_REV",IQ_FY))-1</f>
      </c>
      <c r="K53" s="547">
        <f ca="1">_xll.ciqfunctions.udf.CIQ($B53, "IQ_EPS_1YR_ANN_GROWTH",IQ_LTM,Current_Date)/100</f>
      </c>
      <c r="L53" s="547">
        <f ca="1">_xll.ciqfunctions.udf.CIQ($B53,"IQ_EPS_EST",IQ_FY+1)/(_xll.ciqfunctions.udf.CIQ($B53,"IQ_DILUT_EPS_INCL",IQ_FY))-1</f>
      </c>
      <c r="M53" s="547">
        <f ca="1">_xll.ciqfunctions.udf.CIQ($B53, "IQ_EBITDA_MARGIN",IQ_LTM)/100</f>
      </c>
      <c r="N53" s="547">
        <f ca="1">_xll.ciqfunctions.udf.CIQ($B53,"IQ_EBITDA_EST",IQ_FY+1)/(_xll.ciqfunctions.udf.CIQ($B53,"IQ_REVENUE_EST",IQ_FY+1))</f>
      </c>
      <c r="O53" s="547">
        <f ca="1">_xll.ciqfunctions.udf.CIQ($B53, "IQ_NI_MARGIN",IQ_LTM)/100</f>
      </c>
      <c r="P53" s="547">
        <f ca="1">_xll.ciqfunctions.udf.CIQ($B53,"IQ_NI_EST",IQ_FY+1)/(_xll.ciqfunctions.udf.CIQ($B53,"IQ_REVENUE_EST",IQ_FY+1))</f>
      </c>
      <c r="Q53" s="551">
        <f ca="1">_xll.ciqfunctions.udf.CIQ($B53, "IQ_TEV_EBITDA",IQ_LTM)</f>
      </c>
      <c r="R53" s="551">
        <f ca="1">_xll.ciqfunctions.udf.CIQ($B53, "IQ_TEV",Current_Date)/_xll.ciqfunctions.udf.CIQ($B53, "IQ_EBITDA_EST",IQ_FY+1)</f>
      </c>
      <c r="S53" s="551">
        <f ca="1">_xll.ciqfunctions.udf.CIQ($B53, "IQ_TEV_TOTAL_REV",IQ_LTM)</f>
      </c>
      <c r="T53" s="551">
        <f ca="1">_xll.ciqfunctions.udf.CIQ($B53, "IQ_TEV",Current_Date)/_xll.ciqfunctions.udf.CIQ($B53, "IQ_REVENUE_EST",IQ_FY+1)</f>
      </c>
      <c r="U53" s="551">
        <f ca="1">_xll.ciqfunctions.udf.CIQ($B53, "IQ_PE_EXCL",IQ_LTM)</f>
      </c>
      <c r="V53" s="551">
        <f ca="1">_xll.ciqfunctions.udf.CIQ($B53, "IQ_MARKETCAP",Current_Date)/_xll.ciqfunctions.udf.CIQ($B53, "IQ_NI_EST",IQ_FY+1)</f>
      </c>
      <c r="W53" s="16"/>
      <c r="X53" s="599" t="str">
        <f t="shared" ref="X53:X57" si="38" ca="1">X72</f>
        <v>IQ159230</v>
      </c>
      <c r="Y53" s="47"/>
      <c r="Z53" s="16">
        <f ca="1">_xll.ciqfunctions.udf.CIQ($X53, "IQ_COMPANY_NAME",Current_Date)</f>
      </c>
      <c r="AA53" s="16"/>
      <c r="AB53" s="84" t="str">
        <f t="shared" ref="AB53:AB57" si="39" ca="1">AB72</f>
        <v>RTX</v>
      </c>
      <c r="AC53" s="549">
        <f ca="1">_xll.ciqfunctions.udf.CIQ($X53, "IQ_MARKETCAP",Current_Date)</f>
      </c>
      <c r="AD53" s="549">
        <f ca="1">_xll.ciqfunctions.udf.CIQ($X53, "IQ_TEV",Current_Date)</f>
      </c>
      <c r="AE53" s="547">
        <f ca="1">_xll.ciqfunctions.udf.CIQ($X53, "IQ_TOTAL_REV_1YR_ANN_GROWTH",IQ_LTM,Current_Date)/100</f>
      </c>
      <c r="AF53" s="547">
        <f ca="1">_xll.ciqfunctions.udf.CIQ($X53,"IQ_REVENUE_EST",IQ_FY+1)/(_xll.ciqfunctions.udf.CIQ($X53,"IQ_TOTAL_REV",IQ_FY))-1</f>
      </c>
      <c r="AG53" s="547">
        <f ca="1">_xll.ciqfunctions.udf.CIQ($X53, "IQ_EPS_1YR_ANN_GROWTH",IQ_LTM,Current_Date)/100</f>
      </c>
      <c r="AH53" s="547">
        <f ca="1">_xll.ciqfunctions.udf.CIQ($X53,"IQ_EPS_EST",IQ_FY+1)/(_xll.ciqfunctions.udf.CIQ($X53,"IQ_DILUT_EPS_INCL",IQ_FY))-1</f>
      </c>
      <c r="AI53" s="547">
        <f ca="1">_xll.ciqfunctions.udf.CIQ($X53, "IQ_EBITDA_MARGIN",IQ_LTM)/100</f>
      </c>
      <c r="AJ53" s="547">
        <f ca="1">_xll.ciqfunctions.udf.CIQ($X53,"IQ_EBITDA_EST",IQ_FY+1)/(_xll.ciqfunctions.udf.CIQ($X53,"IQ_REVENUE_EST",IQ_FY+1))</f>
      </c>
      <c r="AK53" s="547">
        <f ca="1">_xll.ciqfunctions.udf.CIQ($X53, "IQ_NI_MARGIN",IQ_LTM)/100</f>
      </c>
      <c r="AL53" s="547">
        <f ca="1">_xll.ciqfunctions.udf.CIQ($X53,"IQ_NI_EST",IQ_FY+1)/(_xll.ciqfunctions.udf.CIQ($X53,"IQ_REVENUE_EST",IQ_FY+1))</f>
      </c>
      <c r="AM53" s="551">
        <f ca="1">_xll.ciqfunctions.udf.CIQ($X53, "IQ_TEV_EBITDA",IQ_LTM)</f>
      </c>
      <c r="AN53" s="551">
        <f ca="1">_xll.ciqfunctions.udf.CIQ($X53, "IQ_TEV",Current_Date)/_xll.ciqfunctions.udf.CIQ($X53, "IQ_EBITDA_EST",IQ_FY+1)</f>
      </c>
      <c r="AO53" s="551">
        <f ca="1">_xll.ciqfunctions.udf.CIQ($X53, "IQ_TEV_TOTAL_REV",IQ_LTM)</f>
      </c>
      <c r="AP53" s="551">
        <f ca="1">_xll.ciqfunctions.udf.CIQ($X53, "IQ_TEV",Current_Date)/_xll.ciqfunctions.udf.CIQ($X53, "IQ_REVENUE_EST",IQ_FY+1)</f>
      </c>
      <c r="AQ53" s="551">
        <f ca="1">_xll.ciqfunctions.udf.CIQ($X53, "IQ_PE_EXCL",IQ_LTM)</f>
      </c>
      <c r="AR53" s="551">
        <f ca="1">_xll.ciqfunctions.udf.CIQ($X53, "IQ_MARKETCAP",Current_Date)/_xll.ciqfunctions.udf.CIQ($X53, "IQ_NI_EST",IQ_FY+1)</f>
      </c>
      <c r="AS53" s="4"/>
      <c r="AT53" s="599" t="str">
        <f t="shared" ref="AT53:AT57" si="40" ca="1">AT72</f>
        <v>IQ289194</v>
      </c>
      <c r="AU53" s="47"/>
      <c r="AV53" s="16">
        <f ca="1">_xll.ciqfunctions.udf.CIQ($AT53, "IQ_COMPANY_NAME",Current_Date)</f>
      </c>
      <c r="AW53" s="16"/>
      <c r="AX53" s="84" t="str">
        <f ca="1">N93</f>
        <v>MMM</v>
      </c>
      <c r="AY53" s="549">
        <f ca="1">_xll.ciqfunctions.udf.CIQ($AT53, "IQ_MARKETCAP",Current_Date)</f>
      </c>
      <c r="AZ53" s="549">
        <f ca="1">_xll.ciqfunctions.udf.CIQ($AT53, "IQ_TEV",Current_Date)</f>
      </c>
      <c r="BA53" s="547">
        <f ca="1">_xll.ciqfunctions.udf.CIQ($AT53, "IQ_TOTAL_REV_1YR_ANN_GROWTH",IQ_LTM,Current_Date)/100</f>
      </c>
      <c r="BB53" s="547">
        <f ca="1">_xll.ciqfunctions.udf.CIQ($AT53,"IQ_REVENUE_EST",IQ_FY+1)/(_xll.ciqfunctions.udf.CIQ($AT53,"IQ_TOTAL_REV",IQ_FY))-1</f>
      </c>
      <c r="BC53" s="547">
        <f ca="1">_xll.ciqfunctions.udf.CIQ($AT53, "IQ_EPS_1YR_ANN_GROWTH",IQ_LTM,Current_Date)/100</f>
      </c>
      <c r="BD53" s="547">
        <f ca="1">_xll.ciqfunctions.udf.CIQ($AT53,"IQ_EPS_EST",IQ_FY+1)/(_xll.ciqfunctions.udf.CIQ($AT53,"IQ_DILUT_EPS_INCL",IQ_FY))-1</f>
      </c>
      <c r="BE53" s="547">
        <f ca="1">_xll.ciqfunctions.udf.CIQ($AT53, "IQ_EBITDA_MARGIN",IQ_LTM)/100</f>
      </c>
      <c r="BF53" s="547">
        <f ca="1">_xll.ciqfunctions.udf.CIQ($AT53,"IQ_EBITDA_EST",IQ_FY+1)/(_xll.ciqfunctions.udf.CIQ($AT53,"IQ_REVENUE_EST",IQ_FY+1))</f>
      </c>
      <c r="BG53" s="547">
        <f ca="1">_xll.ciqfunctions.udf.CIQ($AT53, "IQ_NI_MARGIN",IQ_LTM)/100</f>
      </c>
      <c r="BH53" s="547">
        <f ca="1">_xll.ciqfunctions.udf.CIQ($AT53,"IQ_NI_EST",IQ_FY+1)/(_xll.ciqfunctions.udf.CIQ($AT53,"IQ_REVENUE_EST",IQ_FY+1))</f>
      </c>
      <c r="BI53" s="551">
        <f ca="1">_xll.ciqfunctions.udf.CIQ($AT53, "IQ_TEV_EBITDA",IQ_LTM)</f>
      </c>
      <c r="BJ53" s="551">
        <f ca="1">_xll.ciqfunctions.udf.CIQ($AT53, "IQ_TEV",Current_Date)/_xll.ciqfunctions.udf.CIQ($AT53, "IQ_EBITDA_EST",IQ_FY+1)</f>
      </c>
      <c r="BK53" s="551">
        <f ca="1">_xll.ciqfunctions.udf.CIQ($AT53, "IQ_TEV_TOTAL_REV",IQ_LTM)</f>
      </c>
      <c r="BL53" s="551">
        <f ca="1">_xll.ciqfunctions.udf.CIQ($AT53, "IQ_TEV",Current_Date)/_xll.ciqfunctions.udf.CIQ($AT53, "IQ_REVENUE_EST",IQ_FY+1)</f>
      </c>
      <c r="BM53" s="551">
        <f ca="1">_xll.ciqfunctions.udf.CIQ($AT53, "IQ_PE_EXCL",IQ_LTM)</f>
      </c>
      <c r="BN53" s="551">
        <f ca="1">_xll.ciqfunctions.udf.CIQ($AT53, "IQ_MARKETCAP",Current_Date)/_xll.ciqfunctions.udf.CIQ($AT53, "IQ_NI_EST",IQ_FY+1)</f>
      </c>
    </row>
    <row r="54" ht="13.5" customHeight="1" spans="1:66" x14ac:dyDescent="0.25" outlineLevel="1" collapsed="1">
      <c r="A54" s="4"/>
      <c r="B54" s="599" t="str">
        <f ca="1">B73</f>
        <v>IQ20765463</v>
      </c>
      <c r="C54" s="599"/>
      <c r="D54" s="16">
        <f ca="1">_xll.ciqfunctions.udf.CIQ($B54, "IQ_COMPANY_NAME",Current_Date)</f>
      </c>
      <c r="E54" s="16"/>
      <c r="F54" s="84" t="str">
        <f ca="1">F73</f>
        <v>""</v>
      </c>
      <c r="G54" s="549">
        <f ca="1">_xll.ciqfunctions.udf.CIQ($B54, "IQ_MARKETCAP",Current_Date)</f>
      </c>
      <c r="H54" s="549">
        <f ca="1">_xll.ciqfunctions.udf.CIQ($B54, "IQ_TEV",Current_Date)</f>
      </c>
      <c r="I54" s="547">
        <f ca="1">_xll.ciqfunctions.udf.CIQ($B54, "IQ_TOTAL_REV_1YR_ANN_GROWTH",IQ_LTM,Current_Date)/100</f>
      </c>
      <c r="J54" s="547">
        <f ca="1">_xll.ciqfunctions.udf.CIQ($B54,"IQ_REVENUE_EST",IQ_FY+1)/(_xll.ciqfunctions.udf.CIQ($B54,"IQ_TOTAL_REV",IQ_FY))-1</f>
      </c>
      <c r="K54" s="547">
        <f ca="1">_xll.ciqfunctions.udf.CIQ($B54, "IQ_EPS_1YR_ANN_GROWTH",IQ_LTM,Current_Date)/100</f>
      </c>
      <c r="L54" s="547">
        <f ca="1">_xll.ciqfunctions.udf.CIQ($B54,"IQ_EPS_EST",IQ_FY+1)/(_xll.ciqfunctions.udf.CIQ($B54,"IQ_DILUT_EPS_INCL",IQ_FY))-1</f>
      </c>
      <c r="M54" s="547">
        <f ca="1">_xll.ciqfunctions.udf.CIQ($B54, "IQ_EBITDA_MARGIN",IQ_LTM)/100</f>
      </c>
      <c r="N54" s="547">
        <f ca="1">_xll.ciqfunctions.udf.CIQ($B54,"IQ_EBITDA_EST",IQ_FY+1)/(_xll.ciqfunctions.udf.CIQ($B54,"IQ_REVENUE_EST",IQ_FY+1))</f>
      </c>
      <c r="O54" s="547">
        <f ca="1">_xll.ciqfunctions.udf.CIQ($B54, "IQ_NI_MARGIN",IQ_LTM)/100</f>
      </c>
      <c r="P54" s="547">
        <f ca="1">_xll.ciqfunctions.udf.CIQ($B54,"IQ_NI_EST",IQ_FY+1)/(_xll.ciqfunctions.udf.CIQ($B54,"IQ_REVENUE_EST",IQ_FY+1))</f>
      </c>
      <c r="Q54" s="551">
        <f ca="1">_xll.ciqfunctions.udf.CIQ($B54, "IQ_TEV_EBITDA",IQ_LTM)</f>
      </c>
      <c r="R54" s="551">
        <f ca="1">_xll.ciqfunctions.udf.CIQ($B54, "IQ_TEV",Current_Date)/_xll.ciqfunctions.udf.CIQ($B54, "IQ_EBITDA_EST",IQ_FY+1)</f>
      </c>
      <c r="S54" s="551">
        <f ca="1">_xll.ciqfunctions.udf.CIQ($B54, "IQ_TEV_TOTAL_REV",IQ_LTM)</f>
      </c>
      <c r="T54" s="551">
        <f ca="1">_xll.ciqfunctions.udf.CIQ($B54, "IQ_TEV",Current_Date)/_xll.ciqfunctions.udf.CIQ($B54, "IQ_REVENUE_EST",IQ_FY+1)</f>
      </c>
      <c r="U54" s="551">
        <f ca="1">_xll.ciqfunctions.udf.CIQ($B54, "IQ_PE_EXCL",IQ_LTM)</f>
      </c>
      <c r="V54" s="551">
        <f ca="1">_xll.ciqfunctions.udf.CIQ($B54, "IQ_MARKETCAP",Current_Date)/_xll.ciqfunctions.udf.CIQ($B54, "IQ_NI_EST",IQ_FY+1)</f>
      </c>
      <c r="W54" s="16"/>
      <c r="X54" s="599" t="str">
        <f ca="1">X73</f>
        <v>IQ370857</v>
      </c>
      <c r="Y54" s="47"/>
      <c r="Z54" s="16">
        <f ca="1">_xll.ciqfunctions.udf.CIQ($X54, "IQ_COMPANY_NAME",Current_Date)</f>
      </c>
      <c r="AA54" s="16"/>
      <c r="AB54" s="84" t="str">
        <f ca="1">AB73</f>
        <v>BA</v>
      </c>
      <c r="AC54" s="549">
        <f ca="1">_xll.ciqfunctions.udf.CIQ($X54, "IQ_MARKETCAP",Current_Date)</f>
      </c>
      <c r="AD54" s="549">
        <f ca="1">_xll.ciqfunctions.udf.CIQ($X54, "IQ_TEV",Current_Date)</f>
      </c>
      <c r="AE54" s="547">
        <f ca="1">_xll.ciqfunctions.udf.CIQ($X54, "IQ_TOTAL_REV_1YR_ANN_GROWTH",IQ_LTM,Current_Date)/100</f>
      </c>
      <c r="AF54" s="547">
        <f ca="1">_xll.ciqfunctions.udf.CIQ($X54,"IQ_REVENUE_EST",IQ_FY+1)/(_xll.ciqfunctions.udf.CIQ($X54,"IQ_TOTAL_REV",IQ_FY))-1</f>
      </c>
      <c r="AG54" s="547">
        <f ca="1">_xll.ciqfunctions.udf.CIQ($X54, "IQ_EPS_1YR_ANN_GROWTH",IQ_LTM,Current_Date)/100</f>
      </c>
      <c r="AH54" s="547">
        <f ca="1">_xll.ciqfunctions.udf.CIQ($X54,"IQ_EPS_EST",IQ_FY+1)/(_xll.ciqfunctions.udf.CIQ($X54,"IQ_DILUT_EPS_INCL",IQ_FY))-1</f>
      </c>
      <c r="AI54" s="547">
        <f ca="1">_xll.ciqfunctions.udf.CIQ($X54, "IQ_EBITDA_MARGIN",IQ_LTM)/100</f>
      </c>
      <c r="AJ54" s="547">
        <f ca="1">_xll.ciqfunctions.udf.CIQ($X54,"IQ_EBITDA_EST",IQ_FY+1)/(_xll.ciqfunctions.udf.CIQ($X54,"IQ_REVENUE_EST",IQ_FY+1))</f>
      </c>
      <c r="AK54" s="547">
        <f ca="1">_xll.ciqfunctions.udf.CIQ($X54, "IQ_NI_MARGIN",IQ_LTM)/100</f>
      </c>
      <c r="AL54" s="547">
        <f ca="1">_xll.ciqfunctions.udf.CIQ($X54,"IQ_NI_EST",IQ_FY+1)/(_xll.ciqfunctions.udf.CIQ($X54,"IQ_REVENUE_EST",IQ_FY+1))</f>
      </c>
      <c r="AM54" s="551">
        <f ca="1">_xll.ciqfunctions.udf.CIQ($X54, "IQ_TEV_EBITDA",IQ_LTM)</f>
      </c>
      <c r="AN54" s="551">
        <f ca="1">_xll.ciqfunctions.udf.CIQ($X54, "IQ_TEV",Current_Date)/_xll.ciqfunctions.udf.CIQ($X54, "IQ_EBITDA_EST",IQ_FY+1)</f>
      </c>
      <c r="AO54" s="551">
        <f ca="1">_xll.ciqfunctions.udf.CIQ($X54, "IQ_TEV_TOTAL_REV",IQ_LTM)</f>
      </c>
      <c r="AP54" s="551">
        <f ca="1">_xll.ciqfunctions.udf.CIQ($X54, "IQ_TEV",Current_Date)/_xll.ciqfunctions.udf.CIQ($X54, "IQ_REVENUE_EST",IQ_FY+1)</f>
      </c>
      <c r="AQ54" s="551">
        <f ca="1">_xll.ciqfunctions.udf.CIQ($X54, "IQ_PE_EXCL",IQ_LTM)</f>
      </c>
      <c r="AR54" s="551">
        <f ca="1">_xll.ciqfunctions.udf.CIQ($X54, "IQ_MARKETCAP",Current_Date)/_xll.ciqfunctions.udf.CIQ($X54, "IQ_NI_EST",IQ_FY+1)</f>
      </c>
      <c r="AS54" s="4"/>
      <c r="AT54" s="599" t="str">
        <f ca="1">AT73</f>
        <v>IQ177031</v>
      </c>
      <c r="AU54" s="47"/>
      <c r="AV54" s="16">
        <f ca="1">_xll.ciqfunctions.udf.CIQ($AT54, "IQ_COMPANY_NAME",Current_Date)</f>
      </c>
      <c r="AW54" s="16"/>
      <c r="AX54" s="84" t="str">
        <f ca="1">N97</f>
        <v>GE</v>
      </c>
      <c r="AY54" s="549">
        <f ca="1">_xll.ciqfunctions.udf.CIQ($AT54, "IQ_MARKETCAP",Current_Date)</f>
      </c>
      <c r="AZ54" s="549">
        <f ca="1">_xll.ciqfunctions.udf.CIQ($AT54, "IQ_TEV",Current_Date)</f>
      </c>
      <c r="BA54" s="547">
        <f ca="1">_xll.ciqfunctions.udf.CIQ($AT54, "IQ_TOTAL_REV_1YR_ANN_GROWTH",IQ_LTM,Current_Date)/100</f>
      </c>
      <c r="BB54" s="547">
        <f ca="1">_xll.ciqfunctions.udf.CIQ($AT54,"IQ_REVENUE_EST",IQ_FY+1)/(_xll.ciqfunctions.udf.CIQ($AT54,"IQ_TOTAL_REV",IQ_FY))-1</f>
      </c>
      <c r="BC54" s="547">
        <f ca="1">_xll.ciqfunctions.udf.CIQ($AT54, "IQ_EPS_1YR_ANN_GROWTH",IQ_LTM,Current_Date)/100</f>
      </c>
      <c r="BD54" s="547">
        <f ca="1">_xll.ciqfunctions.udf.CIQ($AT54,"IQ_EPS_EST",IQ_FY+1)/(_xll.ciqfunctions.udf.CIQ($AT54,"IQ_DILUT_EPS_INCL",IQ_FY))-1</f>
      </c>
      <c r="BE54" s="547">
        <f ca="1">_xll.ciqfunctions.udf.CIQ($AT54, "IQ_EBITDA_MARGIN",IQ_LTM)/100</f>
      </c>
      <c r="BF54" s="547">
        <f ca="1">_xll.ciqfunctions.udf.CIQ($AT54,"IQ_EBITDA_EST",IQ_FY+1)/(_xll.ciqfunctions.udf.CIQ($AT54,"IQ_REVENUE_EST",IQ_FY+1))</f>
      </c>
      <c r="BG54" s="547">
        <f ca="1">_xll.ciqfunctions.udf.CIQ($AT54, "IQ_NI_MARGIN",IQ_LTM)/100</f>
      </c>
      <c r="BH54" s="547">
        <f ca="1">_xll.ciqfunctions.udf.CIQ($AT54,"IQ_NI_EST",IQ_FY+1)/(_xll.ciqfunctions.udf.CIQ($AT54,"IQ_REVENUE_EST",IQ_FY+1))</f>
      </c>
      <c r="BI54" s="551">
        <f ca="1">_xll.ciqfunctions.udf.CIQ($AT54, "IQ_TEV_EBITDA",IQ_LTM)</f>
      </c>
      <c r="BJ54" s="551">
        <f ca="1">_xll.ciqfunctions.udf.CIQ($AT54, "IQ_TEV",Current_Date)/_xll.ciqfunctions.udf.CIQ($AT54, "IQ_EBITDA_EST",IQ_FY+1)</f>
      </c>
      <c r="BK54" s="551">
        <f ca="1">_xll.ciqfunctions.udf.CIQ($AT54, "IQ_TEV_TOTAL_REV",IQ_LTM)</f>
      </c>
      <c r="BL54" s="551">
        <f ca="1">_xll.ciqfunctions.udf.CIQ($AT54, "IQ_TEV",Current_Date)/_xll.ciqfunctions.udf.CIQ($AT54, "IQ_REVENUE_EST",IQ_FY+1)</f>
      </c>
      <c r="BM54" s="551">
        <f ca="1">_xll.ciqfunctions.udf.CIQ($AT54, "IQ_PE_EXCL",IQ_LTM)</f>
      </c>
      <c r="BN54" s="551">
        <f ca="1">_xll.ciqfunctions.udf.CIQ($AT54, "IQ_MARKETCAP",Current_Date)/_xll.ciqfunctions.udf.CIQ($AT54, "IQ_NI_EST",IQ_FY+1)</f>
      </c>
    </row>
    <row r="55" ht="13.5" customHeight="1" spans="1:66" x14ac:dyDescent="0.25" outlineLevel="1" collapsed="1">
      <c r="A55" s="4"/>
      <c r="B55" s="599" t="str">
        <f ca="1">B74</f>
        <v>IQ21835</v>
      </c>
      <c r="C55" s="599"/>
      <c r="D55" s="16">
        <f ca="1">_xll.ciqfunctions.udf.CIQ($B55, "IQ_COMPANY_NAME",Current_Date)</f>
      </c>
      <c r="E55" s="16"/>
      <c r="F55" s="84" t="str">
        <f ca="1">F74</f>
        <v>""</v>
      </c>
      <c r="G55" s="549">
        <f ca="1">_xll.ciqfunctions.udf.CIQ($B55, "IQ_MARKETCAP",Current_Date)</f>
      </c>
      <c r="H55" s="549">
        <f ca="1">_xll.ciqfunctions.udf.CIQ($B55, "IQ_TEV",Current_Date)</f>
      </c>
      <c r="I55" s="547">
        <f ca="1">_xll.ciqfunctions.udf.CIQ($B55, "IQ_TOTAL_REV_1YR_ANN_GROWTH",IQ_LTM,Current_Date)/100</f>
      </c>
      <c r="J55" s="547">
        <f ca="1">_xll.ciqfunctions.udf.CIQ($B55,"IQ_REVENUE_EST",IQ_FY+1)/(_xll.ciqfunctions.udf.CIQ($B55,"IQ_TOTAL_REV",IQ_FY))-1</f>
      </c>
      <c r="K55" s="547">
        <f ca="1">_xll.ciqfunctions.udf.CIQ($B55, "IQ_EPS_1YR_ANN_GROWTH",IQ_LTM,Current_Date)/100</f>
      </c>
      <c r="L55" s="547">
        <f ca="1">_xll.ciqfunctions.udf.CIQ($B55,"IQ_EPS_EST",IQ_FY+1)/(_xll.ciqfunctions.udf.CIQ($B55,"IQ_DILUT_EPS_INCL",IQ_FY))-1</f>
      </c>
      <c r="M55" s="547">
        <f ca="1">_xll.ciqfunctions.udf.CIQ($B55, "IQ_EBITDA_MARGIN",IQ_LTM)/100</f>
      </c>
      <c r="N55" s="547">
        <f ca="1">_xll.ciqfunctions.udf.CIQ($B55,"IQ_EBITDA_EST",IQ_FY+1)/(_xll.ciqfunctions.udf.CIQ($B55,"IQ_REVENUE_EST",IQ_FY+1))</f>
      </c>
      <c r="O55" s="547">
        <f ca="1">_xll.ciqfunctions.udf.CIQ($B55, "IQ_NI_MARGIN",IQ_LTM)/100</f>
      </c>
      <c r="P55" s="547">
        <f ca="1">_xll.ciqfunctions.udf.CIQ($B55,"IQ_NI_EST",IQ_FY+1)/(_xll.ciqfunctions.udf.CIQ($B55,"IQ_REVENUE_EST",IQ_FY+1))</f>
      </c>
      <c r="Q55" s="551">
        <f ca="1">_xll.ciqfunctions.udf.CIQ($B55, "IQ_TEV_EBITDA",IQ_LTM)</f>
      </c>
      <c r="R55" s="551">
        <f ca="1">_xll.ciqfunctions.udf.CIQ($B55, "IQ_TEV",Current_Date)/_xll.ciqfunctions.udf.CIQ($B55, "IQ_EBITDA_EST",IQ_FY+1)</f>
      </c>
      <c r="S55" s="551">
        <f ca="1">_xll.ciqfunctions.udf.CIQ($B55, "IQ_TEV_TOTAL_REV",IQ_LTM)</f>
      </c>
      <c r="T55" s="551">
        <f ca="1">_xll.ciqfunctions.udf.CIQ($B55, "IQ_TEV",Current_Date)/_xll.ciqfunctions.udf.CIQ($B55, "IQ_REVENUE_EST",IQ_FY+1)</f>
      </c>
      <c r="U55" s="551">
        <f ca="1">_xll.ciqfunctions.udf.CIQ($B55, "IQ_PE_EXCL",IQ_LTM)</f>
      </c>
      <c r="V55" s="551">
        <f ca="1">_xll.ciqfunctions.udf.CIQ($B55, "IQ_MARKETCAP",Current_Date)/_xll.ciqfunctions.udf.CIQ($B55, "IQ_NI_EST",IQ_FY+1)</f>
      </c>
      <c r="W55" s="16"/>
      <c r="X55" s="599" t="str">
        <f ca="1">X74</f>
        <v>IQ363263</v>
      </c>
      <c r="Y55" s="47"/>
      <c r="Z55" s="16">
        <f ca="1">_xll.ciqfunctions.udf.CIQ($X55, "IQ_COMPANY_NAME",Current_Date)</f>
      </c>
      <c r="AA55" s="16"/>
      <c r="AB55" s="84" t="str">
        <f ca="1">AB74</f>
        <v>HII</v>
      </c>
      <c r="AC55" s="549">
        <f ca="1">_xll.ciqfunctions.udf.CIQ($X55, "IQ_MARKETCAP",Current_Date)</f>
      </c>
      <c r="AD55" s="549">
        <f ca="1">_xll.ciqfunctions.udf.CIQ($X55, "IQ_TEV",Current_Date)</f>
      </c>
      <c r="AE55" s="547">
        <f ca="1">_xll.ciqfunctions.udf.CIQ($X55, "IQ_TOTAL_REV_1YR_ANN_GROWTH",IQ_LTM,Current_Date)/100</f>
      </c>
      <c r="AF55" s="547">
        <f ca="1">_xll.ciqfunctions.udf.CIQ($X55,"IQ_REVENUE_EST",IQ_FY+1)/(_xll.ciqfunctions.udf.CIQ($X55,"IQ_TOTAL_REV",IQ_FY))-1</f>
      </c>
      <c r="AG55" s="547">
        <f ca="1">_xll.ciqfunctions.udf.CIQ($X55, "IQ_EPS_1YR_ANN_GROWTH",IQ_LTM,Current_Date)/100</f>
      </c>
      <c r="AH55" s="547">
        <f ca="1">_xll.ciqfunctions.udf.CIQ($X55,"IQ_EPS_EST",IQ_FY+1)/(_xll.ciqfunctions.udf.CIQ($X55,"IQ_DILUT_EPS_INCL",IQ_FY))-1</f>
      </c>
      <c r="AI55" s="547">
        <f ca="1">_xll.ciqfunctions.udf.CIQ($X55, "IQ_EBITDA_MARGIN",IQ_LTM)/100</f>
      </c>
      <c r="AJ55" s="547">
        <f ca="1">_xll.ciqfunctions.udf.CIQ($X55,"IQ_EBITDA_EST",IQ_FY+1)/(_xll.ciqfunctions.udf.CIQ($X55,"IQ_REVENUE_EST",IQ_FY+1))</f>
      </c>
      <c r="AK55" s="547">
        <f ca="1">_xll.ciqfunctions.udf.CIQ($X55, "IQ_NI_MARGIN",IQ_LTM)/100</f>
      </c>
      <c r="AL55" s="547">
        <f ca="1">_xll.ciqfunctions.udf.CIQ($X55,"IQ_NI_EST",IQ_FY+1)/(_xll.ciqfunctions.udf.CIQ($X55,"IQ_REVENUE_EST",IQ_FY+1))</f>
      </c>
      <c r="AM55" s="551">
        <f ca="1">_xll.ciqfunctions.udf.CIQ($X55, "IQ_TEV_EBITDA",IQ_LTM)</f>
      </c>
      <c r="AN55" s="551">
        <f ca="1">_xll.ciqfunctions.udf.CIQ($X55, "IQ_TEV",Current_Date)/_xll.ciqfunctions.udf.CIQ($X55, "IQ_EBITDA_EST",IQ_FY+1)</f>
      </c>
      <c r="AO55" s="551">
        <f ca="1">_xll.ciqfunctions.udf.CIQ($X55, "IQ_TEV_TOTAL_REV",IQ_LTM)</f>
      </c>
      <c r="AP55" s="551">
        <f ca="1">_xll.ciqfunctions.udf.CIQ($X55, "IQ_TEV",Current_Date)/_xll.ciqfunctions.udf.CIQ($X55, "IQ_REVENUE_EST",IQ_FY+1)</f>
      </c>
      <c r="AQ55" s="551">
        <f ca="1">_xll.ciqfunctions.udf.CIQ($X55, "IQ_PE_EXCL",IQ_LTM)</f>
      </c>
      <c r="AR55" s="551">
        <f ca="1">_xll.ciqfunctions.udf.CIQ($X55, "IQ_MARKETCAP",Current_Date)/_xll.ciqfunctions.udf.CIQ($X55, "IQ_NI_EST",IQ_FY+1)</f>
      </c>
      <c r="AS55" s="4"/>
      <c r="AT55" s="599" t="str">
        <f ca="1">AT74</f>
        <v>IQ1340740</v>
      </c>
      <c r="AU55" s="47"/>
      <c r="AV55" s="16">
        <f ca="1">_xll.ciqfunctions.udf.CIQ($AT55, "IQ_COMPANY_NAME",Current_Date)</f>
      </c>
      <c r="AW55" s="16"/>
      <c r="AX55" s="84" t="str">
        <f ca="1">N101</f>
        <v>HON</v>
      </c>
      <c r="AY55" s="549">
        <f ca="1">_xll.ciqfunctions.udf.CIQ($AT55, "IQ_MARKETCAP",Current_Date)</f>
      </c>
      <c r="AZ55" s="549">
        <f ca="1">_xll.ciqfunctions.udf.CIQ($AT55, "IQ_TEV",Current_Date)</f>
      </c>
      <c r="BA55" s="547">
        <f ca="1">_xll.ciqfunctions.udf.CIQ($AT55, "IQ_TOTAL_REV_1YR_ANN_GROWTH",IQ_LTM,Current_Date)/100</f>
      </c>
      <c r="BB55" s="547">
        <f ca="1">_xll.ciqfunctions.udf.CIQ($AT55,"IQ_REVENUE_EST",IQ_FY+1)/(_xll.ciqfunctions.udf.CIQ($AT55,"IQ_TOTAL_REV",IQ_FY))-1</f>
      </c>
      <c r="BC55" s="547">
        <f ca="1">_xll.ciqfunctions.udf.CIQ($AT55, "IQ_EPS_1YR_ANN_GROWTH",IQ_LTM,Current_Date)/100</f>
      </c>
      <c r="BD55" s="547">
        <f ca="1">_xll.ciqfunctions.udf.CIQ($AT55,"IQ_EPS_EST",IQ_FY+1)/(_xll.ciqfunctions.udf.CIQ($AT55,"IQ_DILUT_EPS_INCL",IQ_FY))-1</f>
      </c>
      <c r="BE55" s="547">
        <f ca="1">_xll.ciqfunctions.udf.CIQ($AT55, "IQ_EBITDA_MARGIN",IQ_LTM)/100</f>
      </c>
      <c r="BF55" s="547">
        <f ca="1">_xll.ciqfunctions.udf.CIQ($AT55,"IQ_EBITDA_EST",IQ_FY+1)/(_xll.ciqfunctions.udf.CIQ($AT55,"IQ_REVENUE_EST",IQ_FY+1))</f>
      </c>
      <c r="BG55" s="547">
        <f ca="1">_xll.ciqfunctions.udf.CIQ($AT55, "IQ_NI_MARGIN",IQ_LTM)/100</f>
      </c>
      <c r="BH55" s="547">
        <f ca="1">_xll.ciqfunctions.udf.CIQ($AT55,"IQ_NI_EST",IQ_FY+1)/(_xll.ciqfunctions.udf.CIQ($AT55,"IQ_REVENUE_EST",IQ_FY+1))</f>
      </c>
      <c r="BI55" s="551">
        <f ca="1">_xll.ciqfunctions.udf.CIQ($AT55, "IQ_TEV_EBITDA",IQ_LTM)</f>
      </c>
      <c r="BJ55" s="551">
        <f ca="1">_xll.ciqfunctions.udf.CIQ($AT55, "IQ_TEV",Current_Date)/_xll.ciqfunctions.udf.CIQ($AT55, "IQ_EBITDA_EST",IQ_FY+1)</f>
      </c>
      <c r="BK55" s="551">
        <f ca="1">_xll.ciqfunctions.udf.CIQ($AT55, "IQ_TEV_TOTAL_REV",IQ_LTM)</f>
      </c>
      <c r="BL55" s="551">
        <f ca="1">_xll.ciqfunctions.udf.CIQ($AT55, "IQ_TEV",Current_Date)/_xll.ciqfunctions.udf.CIQ($AT55, "IQ_REVENUE_EST",IQ_FY+1)</f>
      </c>
      <c r="BM55" s="551">
        <f ca="1">_xll.ciqfunctions.udf.CIQ($AT55, "IQ_PE_EXCL",IQ_LTM)</f>
      </c>
      <c r="BN55" s="551">
        <f ca="1">_xll.ciqfunctions.udf.CIQ($AT55, "IQ_MARKETCAP",Current_Date)/_xll.ciqfunctions.udf.CIQ($AT55, "IQ_NI_EST",IQ_FY+1)</f>
      </c>
    </row>
    <row r="56" ht="13.5" customHeight="1" spans="1:66" x14ac:dyDescent="0.25" outlineLevel="1" collapsed="1">
      <c r="A56" s="4"/>
      <c r="B56" s="599" t="str">
        <f ca="1">B75</f>
        <v>IQ224055283</v>
      </c>
      <c r="C56" s="599"/>
      <c r="D56" s="16">
        <f ca="1">_xll.ciqfunctions.udf.CIQ($B56, "IQ_COMPANY_NAME",Current_Date)</f>
      </c>
      <c r="E56" s="16"/>
      <c r="F56" s="84" t="str">
        <f ca="1">F75</f>
        <v>""</v>
      </c>
      <c r="G56" s="549">
        <f ca="1">_xll.ciqfunctions.udf.CIQ($B56, "IQ_MARKETCAP",Current_Date)</f>
      </c>
      <c r="H56" s="549">
        <f ca="1">_xll.ciqfunctions.udf.CIQ($B56, "IQ_TEV",Current_Date)</f>
      </c>
      <c r="I56" s="547">
        <f ca="1">_xll.ciqfunctions.udf.CIQ($B56, "IQ_TOTAL_REV_1YR_ANN_GROWTH",IQ_LTM,Current_Date)/100</f>
      </c>
      <c r="J56" s="547">
        <f ca="1">_xll.ciqfunctions.udf.CIQ($B56,"IQ_REVENUE_EST",IQ_FY+1)/(_xll.ciqfunctions.udf.CIQ($B56,"IQ_TOTAL_REV",IQ_FY))-1</f>
      </c>
      <c r="K56" s="547">
        <f ca="1">_xll.ciqfunctions.udf.CIQ($B56, "IQ_EPS_1YR_ANN_GROWTH",IQ_LTM,Current_Date)/100</f>
      </c>
      <c r="L56" s="547">
        <f ca="1">_xll.ciqfunctions.udf.CIQ($B56,"IQ_EPS_EST",IQ_FY+1)/(_xll.ciqfunctions.udf.CIQ($B56,"IQ_DILUT_EPS_INCL",IQ_FY))-1</f>
      </c>
      <c r="M56" s="547">
        <f ca="1">_xll.ciqfunctions.udf.CIQ($B56, "IQ_EBITDA_MARGIN",IQ_LTM)/100</f>
      </c>
      <c r="N56" s="547">
        <f ca="1">_xll.ciqfunctions.udf.CIQ($B56,"IQ_EBITDA_EST",IQ_FY+1)/(_xll.ciqfunctions.udf.CIQ($B56,"IQ_REVENUE_EST",IQ_FY+1))</f>
      </c>
      <c r="O56" s="547">
        <f ca="1">_xll.ciqfunctions.udf.CIQ($B56, "IQ_NI_MARGIN",IQ_LTM)/100</f>
      </c>
      <c r="P56" s="547">
        <f ca="1">_xll.ciqfunctions.udf.CIQ($B56,"IQ_NI_EST",IQ_FY+1)/(_xll.ciqfunctions.udf.CIQ($B56,"IQ_REVENUE_EST",IQ_FY+1))</f>
      </c>
      <c r="Q56" s="551">
        <f ca="1">_xll.ciqfunctions.udf.CIQ($B56, "IQ_TEV_EBITDA",IQ_LTM)</f>
      </c>
      <c r="R56" s="551">
        <f ca="1">_xll.ciqfunctions.udf.CIQ($B56, "IQ_TEV",Current_Date)/_xll.ciqfunctions.udf.CIQ($B56, "IQ_EBITDA_EST",IQ_FY+1)</f>
      </c>
      <c r="S56" s="551">
        <f ca="1">_xll.ciqfunctions.udf.CIQ($B56, "IQ_TEV_TOTAL_REV",IQ_LTM)</f>
      </c>
      <c r="T56" s="551">
        <f ca="1">_xll.ciqfunctions.udf.CIQ($B56, "IQ_TEV",Current_Date)/_xll.ciqfunctions.udf.CIQ($B56, "IQ_REVENUE_EST",IQ_FY+1)</f>
      </c>
      <c r="U56" s="551">
        <f ca="1">_xll.ciqfunctions.udf.CIQ($B56, "IQ_PE_EXCL",IQ_LTM)</f>
      </c>
      <c r="V56" s="551">
        <f ca="1">_xll.ciqfunctions.udf.CIQ($B56, "IQ_MARKETCAP",Current_Date)/_xll.ciqfunctions.udf.CIQ($B56, "IQ_NI_EST",IQ_FY+1)</f>
      </c>
      <c r="W56" s="16"/>
      <c r="X56" s="599" t="str">
        <f ca="1">X75</f>
        <v>IQ285827</v>
      </c>
      <c r="Y56" s="47"/>
      <c r="Z56" s="16">
        <f ca="1">_xll.ciqfunctions.udf.CIQ($X56, "IQ_COMPANY_NAME",Current_Date)</f>
      </c>
      <c r="AA56" s="16"/>
      <c r="AB56" s="84" t="str">
        <f ca="1">AB75</f>
        <v>LMT</v>
      </c>
      <c r="AC56" s="549">
        <f ca="1">_xll.ciqfunctions.udf.CIQ($X56, "IQ_MARKETCAP",Current_Date)</f>
      </c>
      <c r="AD56" s="549">
        <f ca="1">_xll.ciqfunctions.udf.CIQ($X56, "IQ_TEV",Current_Date)</f>
      </c>
      <c r="AE56" s="547">
        <f ca="1">_xll.ciqfunctions.udf.CIQ($X56, "IQ_TOTAL_REV_1YR_ANN_GROWTH",IQ_LTM,Current_Date)/100</f>
      </c>
      <c r="AF56" s="547">
        <f ca="1">_xll.ciqfunctions.udf.CIQ($X56,"IQ_REVENUE_EST",IQ_FY+1)/(_xll.ciqfunctions.udf.CIQ($X56,"IQ_TOTAL_REV",IQ_FY))-1</f>
      </c>
      <c r="AG56" s="547">
        <f ca="1">_xll.ciqfunctions.udf.CIQ($X56, "IQ_EPS_1YR_ANN_GROWTH",IQ_LTM,Current_Date)/100</f>
      </c>
      <c r="AH56" s="547">
        <f ca="1">_xll.ciqfunctions.udf.CIQ($X56,"IQ_EPS_EST",IQ_FY+1)/(_xll.ciqfunctions.udf.CIQ($X56,"IQ_DILUT_EPS_INCL",IQ_FY))-1</f>
      </c>
      <c r="AI56" s="547">
        <f ca="1">_xll.ciqfunctions.udf.CIQ($X56, "IQ_EBITDA_MARGIN",IQ_LTM)/100</f>
      </c>
      <c r="AJ56" s="547">
        <f ca="1">_xll.ciqfunctions.udf.CIQ($X56,"IQ_EBITDA_EST",IQ_FY+1)/(_xll.ciqfunctions.udf.CIQ($X56,"IQ_REVENUE_EST",IQ_FY+1))</f>
      </c>
      <c r="AK56" s="547">
        <f ca="1">_xll.ciqfunctions.udf.CIQ($X56, "IQ_NI_MARGIN",IQ_LTM)/100</f>
      </c>
      <c r="AL56" s="547">
        <f ca="1">_xll.ciqfunctions.udf.CIQ($X56,"IQ_NI_EST",IQ_FY+1)/(_xll.ciqfunctions.udf.CIQ($X56,"IQ_REVENUE_EST",IQ_FY+1))</f>
      </c>
      <c r="AM56" s="551">
        <f ca="1">_xll.ciqfunctions.udf.CIQ($X56, "IQ_TEV_EBITDA",IQ_LTM)</f>
      </c>
      <c r="AN56" s="551">
        <f ca="1">_xll.ciqfunctions.udf.CIQ($X56, "IQ_TEV",Current_Date)/_xll.ciqfunctions.udf.CIQ($X56, "IQ_EBITDA_EST",IQ_FY+1)</f>
      </c>
      <c r="AO56" s="551">
        <f ca="1">_xll.ciqfunctions.udf.CIQ($X56, "IQ_TEV_TOTAL_REV",IQ_LTM)</f>
      </c>
      <c r="AP56" s="551">
        <f ca="1">_xll.ciqfunctions.udf.CIQ($X56, "IQ_TEV",Current_Date)/_xll.ciqfunctions.udf.CIQ($X56, "IQ_REVENUE_EST",IQ_FY+1)</f>
      </c>
      <c r="AQ56" s="551">
        <f ca="1">_xll.ciqfunctions.udf.CIQ($X56, "IQ_PE_EXCL",IQ_LTM)</f>
      </c>
      <c r="AR56" s="551">
        <f ca="1">_xll.ciqfunctions.udf.CIQ($X56, "IQ_MARKETCAP",Current_Date)/_xll.ciqfunctions.udf.CIQ($X56, "IQ_NI_EST",IQ_FY+1)</f>
      </c>
      <c r="AS56" s="4"/>
      <c r="AT56" s="599" t="str">
        <f ca="1">AT75</f>
        <v>IQ22751</v>
      </c>
      <c r="AU56" s="47"/>
      <c r="AV56" s="16">
        <f ca="1">_xll.ciqfunctions.udf.CIQ($AT56, "IQ_COMPANY_NAME",Current_Date)</f>
      </c>
      <c r="AW56" s="16"/>
      <c r="AX56" s="84" t="str">
        <f ca="1">N105</f>
        <v>ROP</v>
      </c>
      <c r="AY56" s="549">
        <f ca="1">_xll.ciqfunctions.udf.CIQ($AT56, "IQ_MARKETCAP",Current_Date)</f>
      </c>
      <c r="AZ56" s="549">
        <f ca="1">_xll.ciqfunctions.udf.CIQ($AT56, "IQ_TEV",Current_Date)</f>
      </c>
      <c r="BA56" s="547">
        <f ca="1">_xll.ciqfunctions.udf.CIQ($AT56, "IQ_TOTAL_REV_1YR_ANN_GROWTH",IQ_LTM,Current_Date)/100</f>
      </c>
      <c r="BB56" s="547">
        <f ca="1">_xll.ciqfunctions.udf.CIQ($AT56,"IQ_REVENUE_EST",IQ_FY+1)/(_xll.ciqfunctions.udf.CIQ($AT56,"IQ_TOTAL_REV",IQ_FY))-1</f>
      </c>
      <c r="BC56" s="547">
        <f ca="1">_xll.ciqfunctions.udf.CIQ($AT56, "IQ_EPS_1YR_ANN_GROWTH",IQ_LTM,Current_Date)/100</f>
      </c>
      <c r="BD56" s="547">
        <f ca="1">_xll.ciqfunctions.udf.CIQ($AT56,"IQ_EPS_EST",IQ_FY+1)/(_xll.ciqfunctions.udf.CIQ($AT56,"IQ_DILUT_EPS_INCL",IQ_FY))-1</f>
      </c>
      <c r="BE56" s="547">
        <f ca="1">_xll.ciqfunctions.udf.CIQ($AT56, "IQ_EBITDA_MARGIN",IQ_LTM)/100</f>
      </c>
      <c r="BF56" s="547">
        <f ca="1">_xll.ciqfunctions.udf.CIQ($AT56,"IQ_EBITDA_EST",IQ_FY+1)/(_xll.ciqfunctions.udf.CIQ($AT56,"IQ_REVENUE_EST",IQ_FY+1))</f>
      </c>
      <c r="BG56" s="547">
        <f ca="1">_xll.ciqfunctions.udf.CIQ($AT56, "IQ_NI_MARGIN",IQ_LTM)/100</f>
      </c>
      <c r="BH56" s="547">
        <f ca="1">_xll.ciqfunctions.udf.CIQ($AT56,"IQ_NI_EST",IQ_FY+1)/(_xll.ciqfunctions.udf.CIQ($AT56,"IQ_REVENUE_EST",IQ_FY+1))</f>
      </c>
      <c r="BI56" s="551">
        <f ca="1">_xll.ciqfunctions.udf.CIQ($AT56, "IQ_TEV_EBITDA",IQ_LTM)</f>
      </c>
      <c r="BJ56" s="551">
        <f ca="1">_xll.ciqfunctions.udf.CIQ($AT56, "IQ_TEV",Current_Date)/_xll.ciqfunctions.udf.CIQ($AT56, "IQ_EBITDA_EST",IQ_FY+1)</f>
      </c>
      <c r="BK56" s="551">
        <f ca="1">_xll.ciqfunctions.udf.CIQ($AT56, "IQ_TEV_TOTAL_REV",IQ_LTM)</f>
      </c>
      <c r="BL56" s="551">
        <f ca="1">_xll.ciqfunctions.udf.CIQ($AT56, "IQ_TEV",Current_Date)/_xll.ciqfunctions.udf.CIQ($AT56, "IQ_REVENUE_EST",IQ_FY+1)</f>
      </c>
      <c r="BM56" s="551">
        <f ca="1">_xll.ciqfunctions.udf.CIQ($AT56, "IQ_PE_EXCL",IQ_LTM)</f>
      </c>
      <c r="BN56" s="551">
        <f ca="1">_xll.ciqfunctions.udf.CIQ($AT56, "IQ_MARKETCAP",Current_Date)/_xll.ciqfunctions.udf.CIQ($AT56, "IQ_NI_EST",IQ_FY+1)</f>
      </c>
    </row>
    <row r="57" ht="13.5" customHeight="1" spans="1:66" x14ac:dyDescent="0.25" outlineLevel="1" collapsed="1">
      <c r="A57" s="4"/>
      <c r="B57" s="599" t="str">
        <f ca="1">B76</f>
        <v>IQ29096</v>
      </c>
      <c r="C57" s="599"/>
      <c r="D57" s="16">
        <f ca="1">_xll.ciqfunctions.udf.CIQ($B57, "IQ_COMPANY_NAME",Current_Date)</f>
      </c>
      <c r="E57" s="16"/>
      <c r="F57" s="84" t="str">
        <f ca="1">F76</f>
        <v>""</v>
      </c>
      <c r="G57" s="549">
        <f ca="1">_xll.ciqfunctions.udf.CIQ($B57, "IQ_MARKETCAP",Current_Date)</f>
      </c>
      <c r="H57" s="549">
        <f ca="1">_xll.ciqfunctions.udf.CIQ($B57, "IQ_TEV",Current_Date)</f>
      </c>
      <c r="I57" s="547">
        <f ca="1">_xll.ciqfunctions.udf.CIQ($B57, "IQ_TOTAL_REV_1YR_ANN_GROWTH",IQ_LTM,Current_Date)/100</f>
      </c>
      <c r="J57" s="547">
        <f ca="1">_xll.ciqfunctions.udf.CIQ($B57,"IQ_REVENUE_EST",IQ_FY+1)/(_xll.ciqfunctions.udf.CIQ($B57,"IQ_TOTAL_REV",IQ_FY))-1</f>
      </c>
      <c r="K57" s="547">
        <f ca="1">_xll.ciqfunctions.udf.CIQ($B57, "IQ_EPS_1YR_ANN_GROWTH",IQ_LTM,Current_Date)/100</f>
      </c>
      <c r="L57" s="547">
        <f ca="1">_xll.ciqfunctions.udf.CIQ($B57,"IQ_EPS_EST",IQ_FY+1)/(_xll.ciqfunctions.udf.CIQ($B57,"IQ_DILUT_EPS_INCL",IQ_FY))-1</f>
      </c>
      <c r="M57" s="547">
        <f ca="1">_xll.ciqfunctions.udf.CIQ($B57, "IQ_EBITDA_MARGIN",IQ_LTM)/100</f>
      </c>
      <c r="N57" s="547">
        <f ca="1">_xll.ciqfunctions.udf.CIQ($B57,"IQ_EBITDA_EST",IQ_FY+1)/(_xll.ciqfunctions.udf.CIQ($B57,"IQ_REVENUE_EST",IQ_FY+1))</f>
      </c>
      <c r="O57" s="547">
        <f ca="1">_xll.ciqfunctions.udf.CIQ($B57, "IQ_NI_MARGIN",IQ_LTM)/100</f>
      </c>
      <c r="P57" s="547">
        <f ca="1">_xll.ciqfunctions.udf.CIQ($B57,"IQ_NI_EST",IQ_FY+1)/(_xll.ciqfunctions.udf.CIQ($B57,"IQ_REVENUE_EST",IQ_FY+1))</f>
      </c>
      <c r="Q57" s="551">
        <f ca="1">_xll.ciqfunctions.udf.CIQ($B57, "IQ_TEV_EBITDA",IQ_LTM)</f>
      </c>
      <c r="R57" s="551">
        <f ca="1">_xll.ciqfunctions.udf.CIQ($B57, "IQ_TEV",Current_Date)/_xll.ciqfunctions.udf.CIQ($B57, "IQ_EBITDA_EST",IQ_FY+1)</f>
      </c>
      <c r="S57" s="551">
        <f ca="1">_xll.ciqfunctions.udf.CIQ($B57, "IQ_TEV_TOTAL_REV",IQ_LTM)</f>
      </c>
      <c r="T57" s="551">
        <f ca="1">_xll.ciqfunctions.udf.CIQ($B57, "IQ_TEV",Current_Date)/_xll.ciqfunctions.udf.CIQ($B57, "IQ_REVENUE_EST",IQ_FY+1)</f>
      </c>
      <c r="U57" s="551">
        <f ca="1">_xll.ciqfunctions.udf.CIQ($B57, "IQ_PE_EXCL",IQ_LTM)</f>
      </c>
      <c r="V57" s="551">
        <f ca="1">_xll.ciqfunctions.udf.CIQ($B57, "IQ_MARKETCAP",Current_Date)/_xll.ciqfunctions.udf.CIQ($B57, "IQ_NI_EST",IQ_FY+1)</f>
      </c>
      <c r="W57" s="16"/>
      <c r="X57" s="599" t="str">
        <f ca="1">X76</f>
        <v>IQ97199</v>
      </c>
      <c r="Y57" s="47"/>
      <c r="Z57" s="16">
        <f ca="1">_xll.ciqfunctions.udf.CIQ($X57, "IQ_COMPANY_NAME",Current_Date)</f>
      </c>
      <c r="AA57" s="16"/>
      <c r="AB57" s="84" t="str">
        <f ca="1">AB76</f>
        <v>NOC</v>
      </c>
      <c r="AC57" s="549">
        <f ca="1">_xll.ciqfunctions.udf.CIQ($X57, "IQ_MARKETCAP",Current_Date)</f>
      </c>
      <c r="AD57" s="549">
        <f ca="1">_xll.ciqfunctions.udf.CIQ($X57, "IQ_TEV",Current_Date)</f>
      </c>
      <c r="AE57" s="547">
        <f ca="1">_xll.ciqfunctions.udf.CIQ($X57, "IQ_TOTAL_REV_1YR_ANN_GROWTH",IQ_LTM,Current_Date)/100</f>
      </c>
      <c r="AF57" s="547">
        <f ca="1">_xll.ciqfunctions.udf.CIQ($X57,"IQ_REVENUE_EST",IQ_FY+1)/(_xll.ciqfunctions.udf.CIQ($X57,"IQ_TOTAL_REV",IQ_FY))-1</f>
      </c>
      <c r="AG57" s="547">
        <f ca="1">_xll.ciqfunctions.udf.CIQ($X57, "IQ_EPS_1YR_ANN_GROWTH",IQ_LTM,Current_Date)/100</f>
      </c>
      <c r="AH57" s="547">
        <f ca="1">_xll.ciqfunctions.udf.CIQ($X57,"IQ_EPS_EST",IQ_FY+1)/(_xll.ciqfunctions.udf.CIQ($X57,"IQ_DILUT_EPS_INCL",IQ_FY))-1</f>
      </c>
      <c r="AI57" s="547">
        <f ca="1">_xll.ciqfunctions.udf.CIQ($X57, "IQ_EBITDA_MARGIN",IQ_LTM)/100</f>
      </c>
      <c r="AJ57" s="547">
        <f ca="1">_xll.ciqfunctions.udf.CIQ($X57,"IQ_EBITDA_EST",IQ_FY+1)/(_xll.ciqfunctions.udf.CIQ($X57,"IQ_REVENUE_EST",IQ_FY+1))</f>
      </c>
      <c r="AK57" s="547">
        <f ca="1">_xll.ciqfunctions.udf.CIQ($X57, "IQ_NI_MARGIN",IQ_LTM)/100</f>
      </c>
      <c r="AL57" s="547">
        <f ca="1">_xll.ciqfunctions.udf.CIQ($X57,"IQ_NI_EST",IQ_FY+1)/(_xll.ciqfunctions.udf.CIQ($X57,"IQ_REVENUE_EST",IQ_FY+1))</f>
      </c>
      <c r="AM57" s="551">
        <f ca="1">_xll.ciqfunctions.udf.CIQ($X57, "IQ_TEV_EBITDA",IQ_LTM)</f>
      </c>
      <c r="AN57" s="551">
        <f ca="1">_xll.ciqfunctions.udf.CIQ($X57, "IQ_TEV",Current_Date)/_xll.ciqfunctions.udf.CIQ($X57, "IQ_EBITDA_EST",IQ_FY+1)</f>
      </c>
      <c r="AO57" s="551">
        <f ca="1">_xll.ciqfunctions.udf.CIQ($X57, "IQ_TEV_TOTAL_REV",IQ_LTM)</f>
      </c>
      <c r="AP57" s="551">
        <f ca="1">_xll.ciqfunctions.udf.CIQ($X57, "IQ_TEV",Current_Date)/_xll.ciqfunctions.udf.CIQ($X57, "IQ_REVENUE_EST",IQ_FY+1)</f>
      </c>
      <c r="AQ57" s="551">
        <f ca="1">_xll.ciqfunctions.udf.CIQ($X57, "IQ_PE_EXCL",IQ_LTM)</f>
      </c>
      <c r="AR57" s="551">
        <f ca="1">_xll.ciqfunctions.udf.CIQ($X57, "IQ_MARKETCAP",Current_Date)/_xll.ciqfunctions.udf.CIQ($X57, "IQ_NI_EST",IQ_FY+1)</f>
      </c>
      <c r="AS57" s="4"/>
      <c r="AT57" s="599" t="str">
        <f ca="1">AT76</f>
        <v>IQ269231</v>
      </c>
      <c r="AU57" s="47"/>
      <c r="AV57" s="16">
        <f ca="1">_xll.ciqfunctions.udf.CIQ($AT57, "IQ_COMPANY_NAME",Current_Date)</f>
      </c>
      <c r="AW57" s="16"/>
      <c r="AX57" s="84" t="str">
        <f ca="1">N109</f>
        <v>EMR</v>
      </c>
      <c r="AY57" s="549">
        <f ca="1">_xll.ciqfunctions.udf.CIQ($AT57, "IQ_MARKETCAP",Current_Date)</f>
      </c>
      <c r="AZ57" s="549">
        <f ca="1">_xll.ciqfunctions.udf.CIQ($AT57, "IQ_TEV",Current_Date)</f>
      </c>
      <c r="BA57" s="547">
        <f ca="1">_xll.ciqfunctions.udf.CIQ($AT57, "IQ_TOTAL_REV_1YR_ANN_GROWTH",IQ_LTM,Current_Date)/100</f>
      </c>
      <c r="BB57" s="547">
        <f ca="1">_xll.ciqfunctions.udf.CIQ($AT57,"IQ_REVENUE_EST",IQ_FY+1)/(_xll.ciqfunctions.udf.CIQ($AT57,"IQ_TOTAL_REV",IQ_FY))-1</f>
      </c>
      <c r="BC57" s="547">
        <f ca="1">_xll.ciqfunctions.udf.CIQ($AT57, "IQ_EPS_1YR_ANN_GROWTH",IQ_LTM,Current_Date)/100</f>
      </c>
      <c r="BD57" s="547">
        <f ca="1">_xll.ciqfunctions.udf.CIQ($AT57,"IQ_EPS_EST",IQ_FY+1)/(_xll.ciqfunctions.udf.CIQ($AT57,"IQ_DILUT_EPS_INCL",IQ_FY))-1</f>
      </c>
      <c r="BE57" s="547">
        <f ca="1">_xll.ciqfunctions.udf.CIQ($AT57, "IQ_EBITDA_MARGIN",IQ_LTM)/100</f>
      </c>
      <c r="BF57" s="547">
        <f ca="1">_xll.ciqfunctions.udf.CIQ($AT57,"IQ_EBITDA_EST",IQ_FY+1)/(_xll.ciqfunctions.udf.CIQ($AT57,"IQ_REVENUE_EST",IQ_FY+1))</f>
      </c>
      <c r="BG57" s="547">
        <f ca="1">_xll.ciqfunctions.udf.CIQ($AT57, "IQ_NI_MARGIN",IQ_LTM)/100</f>
      </c>
      <c r="BH57" s="547">
        <f ca="1">_xll.ciqfunctions.udf.CIQ($AT57,"IQ_NI_EST",IQ_FY+1)/(_xll.ciqfunctions.udf.CIQ($AT57,"IQ_REVENUE_EST",IQ_FY+1))</f>
      </c>
      <c r="BI57" s="551">
        <f ca="1">_xll.ciqfunctions.udf.CIQ($AT57, "IQ_TEV_EBITDA",IQ_LTM)</f>
      </c>
      <c r="BJ57" s="551">
        <f ca="1">_xll.ciqfunctions.udf.CIQ($AT57, "IQ_TEV",Current_Date)/_xll.ciqfunctions.udf.CIQ($AT57, "IQ_EBITDA_EST",IQ_FY+1)</f>
      </c>
      <c r="BK57" s="551">
        <f ca="1">_xll.ciqfunctions.udf.CIQ($AT57, "IQ_TEV_TOTAL_REV",IQ_LTM)</f>
      </c>
      <c r="BL57" s="551">
        <f ca="1">_xll.ciqfunctions.udf.CIQ($AT57, "IQ_TEV",Current_Date)/_xll.ciqfunctions.udf.CIQ($AT57, "IQ_REVENUE_EST",IQ_FY+1)</f>
      </c>
      <c r="BM57" s="551">
        <f ca="1">_xll.ciqfunctions.udf.CIQ($AT57, "IQ_PE_EXCL",IQ_LTM)</f>
      </c>
      <c r="BN57" s="551">
        <f ca="1">_xll.ciqfunctions.udf.CIQ($AT57, "IQ_MARKETCAP",Current_Date)/_xll.ciqfunctions.udf.CIQ($AT57, "IQ_NI_EST",IQ_FY+1)</f>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41" ca="1">D18</f>
        <v>High</v>
      </c>
      <c r="E59" s="609"/>
      <c r="F59" s="610"/>
      <c r="G59" s="611">
        <f ca="1">MAX(G53:G57)</f>
      </c>
      <c r="H59" s="611">
        <f ca="1">MAX(H53:H57)</f>
      </c>
      <c r="I59" s="612">
        <f ca="1">MAX(I53:I57)</f>
      </c>
      <c r="J59" s="612">
        <f ca="1">MAX(J53:J57)</f>
      </c>
      <c r="K59" s="612">
        <f ca="1">MAX(K53:K57)</f>
      </c>
      <c r="L59" s="612">
        <f ca="1">MAX(L53:L57)</f>
      </c>
      <c r="M59" s="612">
        <f ca="1">MAX(M53:M57)</f>
      </c>
      <c r="N59" s="612">
        <f ca="1">MAX(N53:N57)</f>
      </c>
      <c r="O59" s="612">
        <f ca="1">MAX(O53:O57)</f>
      </c>
      <c r="P59" s="612">
        <f ca="1">MAX(P53:P57)</f>
      </c>
      <c r="Q59" s="613">
        <f ca="1">MAX(Q53:Q57)</f>
      </c>
      <c r="R59" s="614">
        <f ca="1">MAX(R53:R57)</f>
      </c>
      <c r="S59" s="614">
        <f ca="1">MAX(S53:S57)</f>
      </c>
      <c r="T59" s="614">
        <f ca="1">MAX(T53:T57)</f>
      </c>
      <c r="U59" s="614">
        <f ca="1">MAX(U53:U57)</f>
      </c>
      <c r="V59" s="615">
        <f ca="1">MAX(V53:V57)</f>
      </c>
      <c r="W59" s="16"/>
      <c r="X59" s="4"/>
      <c r="Y59" s="47"/>
      <c r="Z59" s="608" t="str">
        <f t="shared" ref="Z59:Z62" si="42" ca="1">Z18</f>
        <v>High</v>
      </c>
      <c r="AA59" s="609"/>
      <c r="AB59" s="610"/>
      <c r="AC59" s="611">
        <f ca="1">MAX(AC53:AC57)</f>
      </c>
      <c r="AD59" s="611">
        <f ca="1">MAX(AD53:AD57)</f>
      </c>
      <c r="AE59" s="612">
        <f ca="1">MAX(AE53:AE57)</f>
      </c>
      <c r="AF59" s="612">
        <f ca="1">MAX(AF53:AF57)</f>
      </c>
      <c r="AG59" s="612">
        <f ca="1">MAX(AG53:AG57)</f>
      </c>
      <c r="AH59" s="612">
        <f ca="1">MAX(AH53:AH57)</f>
      </c>
      <c r="AI59" s="612">
        <f ca="1">MAX(AI53:AI57)</f>
      </c>
      <c r="AJ59" s="612">
        <f ca="1">MAX(AJ53:AJ57)</f>
      </c>
      <c r="AK59" s="612">
        <f ca="1">MAX(AK53:AK57)</f>
      </c>
      <c r="AL59" s="612">
        <f ca="1">MAX(AL53:AL57)</f>
      </c>
      <c r="AM59" s="613">
        <f ca="1">MAX(AM53:AM57)</f>
      </c>
      <c r="AN59" s="614">
        <f ca="1">MAX(AN53:AN57)</f>
      </c>
      <c r="AO59" s="614">
        <f ca="1">MAX(AO53:AO57)</f>
      </c>
      <c r="AP59" s="614">
        <f ca="1">MAX(AP53:AP57)</f>
      </c>
      <c r="AQ59" s="614">
        <f ca="1">MAX(AQ53:AQ57)</f>
      </c>
      <c r="AR59" s="615">
        <f ca="1">MAX(AR53:AR57)</f>
      </c>
      <c r="AS59" s="4"/>
      <c r="AT59" s="4"/>
      <c r="AU59" s="47"/>
      <c r="AV59" s="608" t="str">
        <f t="shared" ref="AV59:AV62" si="43" ca="1">AV18</f>
        <v>High</v>
      </c>
      <c r="AW59" s="609"/>
      <c r="AX59" s="610"/>
      <c r="AY59" s="611">
        <f ca="1">MAX(AY53:AY57)</f>
      </c>
      <c r="AZ59" s="611">
        <f ca="1">MAX(AZ53:AZ57)</f>
      </c>
      <c r="BA59" s="612">
        <f ca="1">MAX(BA53:BA57)</f>
      </c>
      <c r="BB59" s="612">
        <f ca="1">MAX(BB53:BB57)</f>
      </c>
      <c r="BC59" s="612">
        <f ca="1">MAX(BC53:BC57)</f>
      </c>
      <c r="BD59" s="612">
        <f ca="1">MAX(BD53:BD57)</f>
      </c>
      <c r="BE59" s="612">
        <f ca="1">MAX(BE53:BE57)</f>
      </c>
      <c r="BF59" s="612">
        <f ca="1">MAX(BF53:BF57)</f>
      </c>
      <c r="BG59" s="612">
        <f ca="1">MAX(BG53:BG57)</f>
      </c>
      <c r="BH59" s="612">
        <f ca="1">MAX(BH53:BH57)</f>
      </c>
      <c r="BI59" s="613">
        <f ca="1">MAX(BI53:BI57)</f>
      </c>
      <c r="BJ59" s="614">
        <f ca="1">MAX(BJ53:BJ57)</f>
      </c>
      <c r="BK59" s="614">
        <f ca="1">MAX(BK53:BK57)</f>
      </c>
      <c r="BL59" s="614">
        <f ca="1">MAX(BL53:BL57)</f>
      </c>
      <c r="BM59" s="614">
        <f ca="1">MAX(BM53:BM57)</f>
      </c>
      <c r="BN59" s="615">
        <f ca="1">MAX(BN53:BN57)</f>
      </c>
    </row>
    <row r="60" ht="13.5" customHeight="1" spans="1:66" x14ac:dyDescent="0.25" outlineLevel="1" collapsed="1">
      <c r="A60" s="4"/>
      <c r="B60" s="4"/>
      <c r="C60" s="4"/>
      <c r="D60" s="616" t="str">
        <f ca="1">D19</f>
        <v>Mean</v>
      </c>
      <c r="E60" s="617"/>
      <c r="F60" s="618"/>
      <c r="G60" s="619">
        <f ca="1">AVERAGE(G53:G57)</f>
      </c>
      <c r="H60" s="619">
        <f ca="1">AVERAGE(H53:H57)</f>
      </c>
      <c r="I60" s="620">
        <f ca="1">AVERAGE(I53:I57)</f>
      </c>
      <c r="J60" s="620">
        <f ca="1">AVERAGE(J53:J57)</f>
      </c>
      <c r="K60" s="620">
        <f ca="1">AVERAGE(K53:K57)</f>
      </c>
      <c r="L60" s="620">
        <f ca="1">AVERAGE(L53:L57)</f>
      </c>
      <c r="M60" s="620">
        <f ca="1">AVERAGE(M53:M57)</f>
      </c>
      <c r="N60" s="620">
        <f ca="1">AVERAGE(N53:N57)</f>
      </c>
      <c r="O60" s="620">
        <f ca="1">AVERAGE(O53:O57)</f>
      </c>
      <c r="P60" s="620">
        <f ca="1">AVERAGE(P53:P57)</f>
      </c>
      <c r="Q60" s="621">
        <f ca="1">AVERAGE(Q53:Q57)</f>
      </c>
      <c r="R60" s="622">
        <f ca="1">AVERAGE(R53:R57)</f>
      </c>
      <c r="S60" s="622">
        <f ca="1">AVERAGE(S53:S57)</f>
      </c>
      <c r="T60" s="622">
        <f ca="1">AVERAGE(T53:T57)</f>
      </c>
      <c r="U60" s="622">
        <f ca="1">AVERAGE(U53:U57)</f>
      </c>
      <c r="V60" s="623">
        <f ca="1">AVERAGE(V53:V57)</f>
      </c>
      <c r="W60" s="16"/>
      <c r="X60" s="4"/>
      <c r="Y60" s="47"/>
      <c r="Z60" s="616" t="str">
        <f ca="1">Z19</f>
        <v>Mean</v>
      </c>
      <c r="AA60" s="617"/>
      <c r="AB60" s="618"/>
      <c r="AC60" s="619">
        <f ca="1">AVERAGE(AC53:AC57)</f>
      </c>
      <c r="AD60" s="619">
        <f ca="1">AVERAGE(AD53:AD57)</f>
      </c>
      <c r="AE60" s="620">
        <f ca="1">AVERAGE(AE53:AE57)</f>
      </c>
      <c r="AF60" s="620">
        <f ca="1">AVERAGE(AF53:AF57)</f>
      </c>
      <c r="AG60" s="620">
        <f ca="1">AVERAGE(AG53:AG57)</f>
      </c>
      <c r="AH60" s="620">
        <f ca="1">AVERAGE(AH53:AH57)</f>
      </c>
      <c r="AI60" s="620">
        <f ca="1">AVERAGE(AI53:AI57)</f>
      </c>
      <c r="AJ60" s="620">
        <f ca="1">AVERAGE(AJ53:AJ57)</f>
      </c>
      <c r="AK60" s="620">
        <f ca="1">AVERAGE(AK53:AK57)</f>
      </c>
      <c r="AL60" s="620">
        <f ca="1">AVERAGE(AL53:AL57)</f>
      </c>
      <c r="AM60" s="621">
        <f ca="1">AVERAGE(AM53:AM57)</f>
      </c>
      <c r="AN60" s="622">
        <f ca="1">AVERAGE(AN53:AN57)</f>
      </c>
      <c r="AO60" s="622">
        <f ca="1">AVERAGE(AO53:AO57)</f>
      </c>
      <c r="AP60" s="622">
        <f ca="1">AVERAGE(AP53:AP57)</f>
      </c>
      <c r="AQ60" s="622">
        <f ca="1">AVERAGE(AQ53:AQ57)</f>
      </c>
      <c r="AR60" s="623">
        <f ca="1">AVERAGE(AR53:AR57)</f>
      </c>
      <c r="AS60" s="4"/>
      <c r="AT60" s="4"/>
      <c r="AU60" s="47"/>
      <c r="AV60" s="616" t="str">
        <f ca="1">AV19</f>
        <v>Mean</v>
      </c>
      <c r="AW60" s="617"/>
      <c r="AX60" s="618"/>
      <c r="AY60" s="619">
        <f ca="1">AVERAGE(AY53:AY57)</f>
      </c>
      <c r="AZ60" s="619">
        <f ca="1">AVERAGE(AZ53:AZ57)</f>
      </c>
      <c r="BA60" s="620">
        <f ca="1">AVERAGE(BA53:BA57)</f>
      </c>
      <c r="BB60" s="620">
        <f ca="1">AVERAGE(BB53:BB57)</f>
      </c>
      <c r="BC60" s="620">
        <f ca="1">AVERAGE(BC53:BC57)</f>
      </c>
      <c r="BD60" s="620">
        <f ca="1">AVERAGE(BD53:BD57)</f>
      </c>
      <c r="BE60" s="620">
        <f ca="1">AVERAGE(BE53:BE57)</f>
      </c>
      <c r="BF60" s="620">
        <f ca="1">AVERAGE(BF53:BF57)</f>
      </c>
      <c r="BG60" s="620">
        <f ca="1">AVERAGE(BG53:BG57)</f>
      </c>
      <c r="BH60" s="620">
        <f ca="1">AVERAGE(BH53:BH57)</f>
      </c>
      <c r="BI60" s="621">
        <f ca="1">AVERAGE(BI53:BI57)</f>
      </c>
      <c r="BJ60" s="622">
        <f ca="1">AVERAGE(BJ53:BJ57)</f>
      </c>
      <c r="BK60" s="622">
        <f ca="1">AVERAGE(BK53:BK57)</f>
      </c>
      <c r="BL60" s="622">
        <f ca="1">AVERAGE(BL53:BL57)</f>
      </c>
      <c r="BM60" s="622">
        <f ca="1">AVERAGE(BM53:BM57)</f>
      </c>
      <c r="BN60" s="623">
        <f ca="1">AVERAGE(BN53:BN57)</f>
      </c>
    </row>
    <row r="61" ht="13.5" customHeight="1" spans="1:66" x14ac:dyDescent="0.25" outlineLevel="1" collapsed="1">
      <c r="A61" s="4"/>
      <c r="B61" s="4"/>
      <c r="C61" s="4"/>
      <c r="D61" s="616" t="str">
        <f ca="1">D20</f>
        <v>Median</v>
      </c>
      <c r="E61" s="617"/>
      <c r="F61" s="617"/>
      <c r="G61" s="619">
        <f ca="1">MEDIAN(G53:G57)</f>
      </c>
      <c r="H61" s="619">
        <f ca="1">MEDIAN(H53:H57)</f>
      </c>
      <c r="I61" s="620">
        <f ca="1">MEDIAN(I53:I57)</f>
      </c>
      <c r="J61" s="620">
        <f ca="1">MEDIAN(J53:J57)</f>
      </c>
      <c r="K61" s="620">
        <f ca="1">MEDIAN(K53:K57)</f>
      </c>
      <c r="L61" s="620">
        <f ca="1">MEDIAN(L53:L57)</f>
      </c>
      <c r="M61" s="620">
        <f ca="1">MEDIAN(M53:M57)</f>
      </c>
      <c r="N61" s="620">
        <f ca="1">MEDIAN(N53:N57)</f>
      </c>
      <c r="O61" s="620">
        <f ca="1">MEDIAN(O53:O57)</f>
      </c>
      <c r="P61" s="620">
        <f ca="1">MEDIAN(P53:P57)</f>
      </c>
      <c r="Q61" s="621">
        <f ca="1">MEDIAN(Q53:Q57)</f>
      </c>
      <c r="R61" s="622">
        <f ca="1">MEDIAN(R53:R57)</f>
      </c>
      <c r="S61" s="622">
        <f ca="1">MEDIAN(S53:S57)</f>
      </c>
      <c r="T61" s="622">
        <f ca="1">MEDIAN(T53:T57)</f>
      </c>
      <c r="U61" s="622">
        <f ca="1">MEDIAN(U53:U57)</f>
      </c>
      <c r="V61" s="623">
        <f ca="1">MEDIAN(V53:V57)</f>
      </c>
      <c r="W61" s="16"/>
      <c r="X61" s="4"/>
      <c r="Y61" s="47"/>
      <c r="Z61" s="616" t="str">
        <f ca="1">Z20</f>
        <v>Median</v>
      </c>
      <c r="AA61" s="617"/>
      <c r="AB61" s="617"/>
      <c r="AC61" s="619">
        <f ca="1">MEDIAN(AC53:AC57)</f>
      </c>
      <c r="AD61" s="619">
        <f ca="1">MEDIAN(AD53:AD57)</f>
      </c>
      <c r="AE61" s="620">
        <f ca="1">MEDIAN(AE53:AE57)</f>
      </c>
      <c r="AF61" s="620">
        <f ca="1">MEDIAN(AF53:AF57)</f>
      </c>
      <c r="AG61" s="620">
        <f ca="1">MEDIAN(AG53:AG57)</f>
      </c>
      <c r="AH61" s="620">
        <f ca="1">MEDIAN(AH53:AH57)</f>
      </c>
      <c r="AI61" s="620">
        <f ca="1">MEDIAN(AI53:AI57)</f>
      </c>
      <c r="AJ61" s="620">
        <f ca="1">MEDIAN(AJ53:AJ57)</f>
      </c>
      <c r="AK61" s="620">
        <f ca="1">MEDIAN(AK53:AK57)</f>
      </c>
      <c r="AL61" s="620">
        <f ca="1">MEDIAN(AL53:AL57)</f>
      </c>
      <c r="AM61" s="621">
        <f ca="1">MEDIAN(AM53:AM57)</f>
      </c>
      <c r="AN61" s="622">
        <f ca="1">MEDIAN(AN53:AN57)</f>
      </c>
      <c r="AO61" s="622">
        <f ca="1">MEDIAN(AO53:AO57)</f>
      </c>
      <c r="AP61" s="622">
        <f ca="1">MEDIAN(AP53:AP57)</f>
      </c>
      <c r="AQ61" s="622">
        <f ca="1">MEDIAN(AQ53:AQ57)</f>
      </c>
      <c r="AR61" s="623">
        <f ca="1">MEDIAN(AR53:AR57)</f>
      </c>
      <c r="AS61" s="4"/>
      <c r="AT61" s="4"/>
      <c r="AU61" s="47"/>
      <c r="AV61" s="616" t="str">
        <f ca="1">AV20</f>
        <v>Median</v>
      </c>
      <c r="AW61" s="617"/>
      <c r="AX61" s="617"/>
      <c r="AY61" s="619">
        <f ca="1">MEDIAN(AY53:AY57)</f>
      </c>
      <c r="AZ61" s="619">
        <f ca="1">MEDIAN(AZ53:AZ57)</f>
      </c>
      <c r="BA61" s="620">
        <f ca="1">MEDIAN(BA53:BA57)</f>
      </c>
      <c r="BB61" s="620">
        <f ca="1">MEDIAN(BB53:BB57)</f>
      </c>
      <c r="BC61" s="620">
        <f ca="1">MEDIAN(BC53:BC57)</f>
      </c>
      <c r="BD61" s="620">
        <f ca="1">MEDIAN(BD53:BD57)</f>
      </c>
      <c r="BE61" s="620">
        <f ca="1">MEDIAN(BE53:BE57)</f>
      </c>
      <c r="BF61" s="620">
        <f ca="1">MEDIAN(BF53:BF57)</f>
      </c>
      <c r="BG61" s="620">
        <f ca="1">MEDIAN(BG53:BG57)</f>
      </c>
      <c r="BH61" s="620">
        <f ca="1">MEDIAN(BH53:BH57)</f>
      </c>
      <c r="BI61" s="621">
        <f ca="1">MEDIAN(BI53:BI57)</f>
      </c>
      <c r="BJ61" s="622">
        <f ca="1">MEDIAN(BJ53:BJ57)</f>
      </c>
      <c r="BK61" s="622">
        <f ca="1">MEDIAN(BK53:BK57)</f>
      </c>
      <c r="BL61" s="622">
        <f ca="1">MEDIAN(BL53:BL57)</f>
      </c>
      <c r="BM61" s="622">
        <f ca="1">MEDIAN(BM53:BM57)</f>
      </c>
      <c r="BN61" s="623">
        <f ca="1">MEDIAN(BN53:BN57)</f>
      </c>
    </row>
    <row r="62" ht="13.5" customHeight="1" spans="1:66" x14ac:dyDescent="0.25" outlineLevel="1" collapsed="1">
      <c r="A62" s="4"/>
      <c r="B62" s="4"/>
      <c r="C62" s="4"/>
      <c r="D62" s="624" t="str">
        <f ca="1">D21</f>
        <v>Low</v>
      </c>
      <c r="E62" s="625"/>
      <c r="F62" s="625"/>
      <c r="G62" s="626">
        <f ca="1">MIN(G53:G57)</f>
      </c>
      <c r="H62" s="626">
        <f ca="1">MIN(H53:H57)</f>
      </c>
      <c r="I62" s="627">
        <f ca="1">MIN(I53:I57)</f>
      </c>
      <c r="J62" s="627">
        <f ca="1">MIN(J53:J57)</f>
      </c>
      <c r="K62" s="627">
        <f ca="1">MIN(K53:K57)</f>
      </c>
      <c r="L62" s="627">
        <f ca="1">MIN(L53:L57)</f>
      </c>
      <c r="M62" s="627">
        <f ca="1">MIN(M53:M57)</f>
      </c>
      <c r="N62" s="627">
        <f ca="1">MIN(N53:N57)</f>
      </c>
      <c r="O62" s="627">
        <f ca="1">MIN(O53:O57)</f>
      </c>
      <c r="P62" s="627">
        <f ca="1">MIN(P53:P57)</f>
      </c>
      <c r="Q62" s="628">
        <f ca="1">MIN(Q53:Q57)</f>
      </c>
      <c r="R62" s="629">
        <f ca="1">MIN(R53:R57)</f>
      </c>
      <c r="S62" s="629">
        <f ca="1">MIN(S53:S57)</f>
      </c>
      <c r="T62" s="629">
        <f ca="1">MIN(T53:T57)</f>
      </c>
      <c r="U62" s="629">
        <f ca="1">MIN(U53:U57)</f>
      </c>
      <c r="V62" s="630">
        <f ca="1">MIN(V53:V57)</f>
      </c>
      <c r="W62" s="16"/>
      <c r="X62" s="4"/>
      <c r="Y62" s="47"/>
      <c r="Z62" s="624" t="str">
        <f ca="1">Z21</f>
        <v>Low</v>
      </c>
      <c r="AA62" s="625"/>
      <c r="AB62" s="625"/>
      <c r="AC62" s="626">
        <f ca="1">MIN(AC53:AC57)</f>
      </c>
      <c r="AD62" s="626">
        <f ca="1">MIN(AD53:AD57)</f>
      </c>
      <c r="AE62" s="627">
        <f ca="1">MIN(AE53:AE57)</f>
      </c>
      <c r="AF62" s="627">
        <f ca="1">MIN(AF53:AF57)</f>
      </c>
      <c r="AG62" s="627">
        <f ca="1">MIN(AG53:AG57)</f>
      </c>
      <c r="AH62" s="627">
        <f ca="1">MIN(AH53:AH57)</f>
      </c>
      <c r="AI62" s="627">
        <f ca="1">MIN(AI53:AI57)</f>
      </c>
      <c r="AJ62" s="627">
        <f ca="1">MIN(AJ53:AJ57)</f>
      </c>
      <c r="AK62" s="627">
        <f ca="1">MIN(AK53:AK57)</f>
      </c>
      <c r="AL62" s="627">
        <f ca="1">MIN(AL53:AL57)</f>
      </c>
      <c r="AM62" s="628">
        <f ca="1">MIN(AM53:AM57)</f>
      </c>
      <c r="AN62" s="629">
        <f ca="1">MIN(AN53:AN57)</f>
      </c>
      <c r="AO62" s="629">
        <f ca="1">MIN(AO53:AO57)</f>
      </c>
      <c r="AP62" s="629">
        <f ca="1">MIN(AP53:AP57)</f>
      </c>
      <c r="AQ62" s="629">
        <f ca="1">MIN(AQ53:AQ57)</f>
      </c>
      <c r="AR62" s="630">
        <f ca="1">MIN(AR53:AR57)</f>
      </c>
      <c r="AS62" s="4"/>
      <c r="AT62" s="4"/>
      <c r="AU62" s="47"/>
      <c r="AV62" s="624" t="str">
        <f ca="1">AV21</f>
        <v>Low</v>
      </c>
      <c r="AW62" s="625"/>
      <c r="AX62" s="625"/>
      <c r="AY62" s="626">
        <f ca="1">MIN(AY53:AY57)</f>
      </c>
      <c r="AZ62" s="626">
        <f ca="1">MIN(AZ53:AZ57)</f>
      </c>
      <c r="BA62" s="627">
        <f ca="1">MIN(BA53:BA57)</f>
      </c>
      <c r="BB62" s="627">
        <f ca="1">MIN(BB53:BB57)</f>
      </c>
      <c r="BC62" s="627">
        <f ca="1">MIN(BC53:BC57)</f>
      </c>
      <c r="BD62" s="627">
        <f ca="1">MIN(BD53:BD57)</f>
      </c>
      <c r="BE62" s="627">
        <f ca="1">MIN(BE53:BE57)</f>
      </c>
      <c r="BF62" s="627">
        <f ca="1">MIN(BF53:BF57)</f>
      </c>
      <c r="BG62" s="627">
        <f ca="1">MIN(BG53:BG57)</f>
      </c>
      <c r="BH62" s="627">
        <f ca="1">MIN(BH53:BH57)</f>
      </c>
      <c r="BI62" s="628">
        <f ca="1">MIN(BI53:BI57)</f>
      </c>
      <c r="BJ62" s="629">
        <f ca="1">MIN(BJ53:BJ57)</f>
      </c>
      <c r="BK62" s="629">
        <f ca="1">MIN(BK53:BK57)</f>
      </c>
      <c r="BL62" s="629">
        <f ca="1">MIN(BL53:BL57)</f>
      </c>
      <c r="BM62" s="629">
        <f ca="1">MIN(BM53:BM57)</f>
      </c>
      <c r="BN62" s="630">
        <f ca="1">MIN(BN53:BN57)</f>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 ca="1">D23</f>
        <v>Company</v>
      </c>
      <c r="E65" s="66"/>
      <c r="F65" s="66"/>
      <c r="G65" s="538" t="str">
        <f ca="1">G23</f>
        <v>General Statistics</v>
      </c>
      <c r="H65" s="66"/>
      <c r="I65" s="66"/>
      <c r="J65" s="538" t="str">
        <f ca="1">J23</f>
        <v>Returns Analysis</v>
      </c>
      <c r="K65" s="66"/>
      <c r="L65" s="66"/>
      <c r="M65" s="538" t="str">
        <f t="shared" ref="M65:M66" si="44" ca="1">M23</f>
        <v>2025A Leverage Analysis</v>
      </c>
      <c r="N65" s="66"/>
      <c r="O65" s="66"/>
      <c r="P65" s="538" t="str">
        <f ca="1">P23</f>
        <v>2025A Coverage Analysis</v>
      </c>
      <c r="Q65" s="66"/>
      <c r="R65" s="66"/>
      <c r="S65" s="538" t="str">
        <f ca="1">S23</f>
        <v>Liquidity Profile</v>
      </c>
      <c r="T65" s="66"/>
      <c r="U65" s="538" t="str">
        <f ca="1">U23</f>
        <v>Credit Profile</v>
      </c>
      <c r="V65" s="66"/>
      <c r="W65" s="16"/>
      <c r="X65" s="4"/>
      <c r="Y65" s="47"/>
      <c r="Z65" s="538" t="str">
        <f ca="1">Z23</f>
        <v>Company</v>
      </c>
      <c r="AA65" s="66"/>
      <c r="AB65" s="66"/>
      <c r="AC65" s="538" t="str">
        <f ca="1">AC23</f>
        <v>General Statistics</v>
      </c>
      <c r="AD65" s="66"/>
      <c r="AE65" s="66"/>
      <c r="AF65" s="538" t="str">
        <f ca="1">AF23</f>
        <v>Returns Analysis</v>
      </c>
      <c r="AG65" s="66"/>
      <c r="AH65" s="66"/>
      <c r="AI65" s="538" t="str">
        <f t="shared" ref="AI65:AI66" si="45" ca="1">AI23</f>
        <v>2025A Leverage Analysis</v>
      </c>
      <c r="AJ65" s="66"/>
      <c r="AK65" s="66"/>
      <c r="AL65" s="538" t="str">
        <f ca="1">AL23</f>
        <v>2025A Coverage Analysis</v>
      </c>
      <c r="AM65" s="66"/>
      <c r="AN65" s="66"/>
      <c r="AO65" s="538" t="str">
        <f ca="1">AO23</f>
        <v>Liquidity Profile</v>
      </c>
      <c r="AP65" s="66"/>
      <c r="AQ65" s="538" t="str">
        <f ca="1">AQ23</f>
        <v>Credit Profile</v>
      </c>
      <c r="AR65" s="66"/>
      <c r="AS65" s="4"/>
      <c r="AT65" s="4"/>
      <c r="AU65" s="47"/>
      <c r="AV65" s="538" t="str">
        <f ca="1">AV23</f>
        <v>Company</v>
      </c>
      <c r="AW65" s="66"/>
      <c r="AX65" s="66"/>
      <c r="AY65" s="538" t="str">
        <f ca="1">AY23</f>
        <v>General Statistics</v>
      </c>
      <c r="AZ65" s="66"/>
      <c r="BA65" s="66"/>
      <c r="BB65" s="538" t="str">
        <f ca="1">BB23</f>
        <v>Returns Analysis</v>
      </c>
      <c r="BC65" s="66"/>
      <c r="BD65" s="66"/>
      <c r="BE65" s="538" t="str">
        <f t="shared" ref="BE65:BE66" si="46" ca="1">BE23</f>
        <v>2025A Leverage Analysis</v>
      </c>
      <c r="BF65" s="66"/>
      <c r="BG65" s="66"/>
      <c r="BH65" s="538" t="str">
        <f ca="1">BH23</f>
        <v>2025A Coverage Analysis</v>
      </c>
      <c r="BI65" s="66"/>
      <c r="BJ65" s="66"/>
      <c r="BK65" s="538" t="str">
        <f ca="1">BK23</f>
        <v>Liquidity Profile</v>
      </c>
      <c r="BL65" s="66"/>
      <c r="BM65" s="538" t="str">
        <f ca="1">BM23</f>
        <v>Credit Profile</v>
      </c>
      <c r="BN65" s="66"/>
    </row>
    <row r="66" ht="13.5" customHeight="1" spans="1:66" x14ac:dyDescent="0.25" outlineLevel="1" collapsed="1">
      <c r="A66" s="4"/>
      <c r="B66" s="47"/>
      <c r="C66" s="47"/>
      <c r="D66" s="16"/>
      <c r="E66" s="16"/>
      <c r="F66" s="16"/>
      <c r="G66" s="16"/>
      <c r="H66" s="16"/>
      <c r="I66" s="16"/>
      <c r="J66" s="16"/>
      <c r="K66" s="16"/>
      <c r="L66" s="16"/>
      <c r="M66" s="538" t="str">
        <f ca="1">M24</f>
        <v>Total Debt / </v>
      </c>
      <c r="N66" s="66"/>
      <c r="O66" s="66"/>
      <c r="P66" s="16"/>
      <c r="Q66" s="16"/>
      <c r="R66" s="16"/>
      <c r="S66" s="16"/>
      <c r="T66" s="16"/>
      <c r="U66" s="16"/>
      <c r="V66" s="16"/>
      <c r="W66" s="16"/>
      <c r="X66" s="4"/>
      <c r="Y66" s="47"/>
      <c r="Z66" s="16"/>
      <c r="AA66" s="16"/>
      <c r="AB66" s="16"/>
      <c r="AC66" s="16"/>
      <c r="AD66" s="16"/>
      <c r="AE66" s="16"/>
      <c r="AF66" s="16"/>
      <c r="AG66" s="16"/>
      <c r="AH66" s="16"/>
      <c r="AI66" s="538" t="str">
        <f ca="1">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 ca="1">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 ca="1">I25</f>
        <v>Dividend</v>
      </c>
      <c r="J67" s="84"/>
      <c r="K67" s="84"/>
      <c r="L67" s="84"/>
      <c r="M67" s="84"/>
      <c r="N67" s="84"/>
      <c r="O67" s="84"/>
      <c r="P67" s="84" t="str">
        <f t="shared" ref="P67:T67" si="47" ca="1">P25</f>
        <v>EBITDA / </v>
      </c>
      <c r="Q67" s="84" t="str">
        <f ca="1">Q25</f>
        <v>(EBITDA -</v>
      </c>
      <c r="R67" s="84" t="str">
        <f ca="1">R25</f>
        <v>EBIT / </v>
      </c>
      <c r="S67" s="84" t="str">
        <f ca="1">S25</f>
        <v>Quick</v>
      </c>
      <c r="T67" s="84" t="str">
        <f ca="1">T25</f>
        <v>Current</v>
      </c>
      <c r="U67" s="84"/>
      <c r="V67" s="84"/>
      <c r="W67" s="16"/>
      <c r="X67" s="4"/>
      <c r="Y67" s="47"/>
      <c r="Z67" s="84"/>
      <c r="AA67" s="84"/>
      <c r="AB67" s="84"/>
      <c r="AC67" s="84"/>
      <c r="AD67" s="84"/>
      <c r="AE67" s="84" t="str">
        <f ca="1">AE25</f>
        <v>Dividend</v>
      </c>
      <c r="AF67" s="84"/>
      <c r="AG67" s="84"/>
      <c r="AH67" s="84"/>
      <c r="AI67" s="84"/>
      <c r="AJ67" s="84"/>
      <c r="AK67" s="84"/>
      <c r="AL67" s="84" t="str">
        <f t="shared" ref="AL67:AP67" si="48" ca="1">AL25</f>
        <v>EBITDA / </v>
      </c>
      <c r="AM67" s="84" t="str">
        <f ca="1">AM25</f>
        <v>(EBITDA -</v>
      </c>
      <c r="AN67" s="84" t="str">
        <f ca="1">AN25</f>
        <v>EBIT / </v>
      </c>
      <c r="AO67" s="84" t="str">
        <f ca="1">AO25</f>
        <v>Quick</v>
      </c>
      <c r="AP67" s="84" t="str">
        <f ca="1">AP25</f>
        <v>Current</v>
      </c>
      <c r="AQ67" s="84"/>
      <c r="AR67" s="84"/>
      <c r="AS67" s="4"/>
      <c r="AT67" s="4"/>
      <c r="AU67" s="47"/>
      <c r="AV67" s="84"/>
      <c r="AW67" s="84"/>
      <c r="AX67" s="84"/>
      <c r="AY67" s="84"/>
      <c r="AZ67" s="84"/>
      <c r="BA67" s="84" t="str">
        <f ca="1">BA25</f>
        <v>Dividend</v>
      </c>
      <c r="BB67" s="84"/>
      <c r="BC67" s="84"/>
      <c r="BD67" s="84"/>
      <c r="BE67" s="84"/>
      <c r="BF67" s="84"/>
      <c r="BG67" s="84"/>
      <c r="BH67" s="84" t="str">
        <f t="shared" ref="BH67:BL67" si="49" ca="1">BH25</f>
        <v>EBITDA / </v>
      </c>
      <c r="BI67" s="84" t="str">
        <f ca="1">BI25</f>
        <v>(EBITDA -</v>
      </c>
      <c r="BJ67" s="84" t="str">
        <f ca="1">BJ25</f>
        <v>EBIT / </v>
      </c>
      <c r="BK67" s="84" t="str">
        <f ca="1">BK25</f>
        <v>Quick</v>
      </c>
      <c r="BL67" s="84" t="str">
        <f ca="1">BL25</f>
        <v>Current</v>
      </c>
      <c r="BM67" s="84"/>
      <c r="BN67" s="84"/>
    </row>
    <row r="68" ht="13.5" customHeight="1" spans="1:66" x14ac:dyDescent="0.25" outlineLevel="1" collapsed="1">
      <c r="A68" s="4"/>
      <c r="B68" s="47"/>
      <c r="C68" s="47"/>
      <c r="D68" s="139"/>
      <c r="E68" s="84"/>
      <c r="F68" s="538" t="str">
        <f t="shared" ref="F68:T68" si="50" ca="1">F26</f>
        <v>Ticker</v>
      </c>
      <c r="G68" s="538" t="str">
        <f ca="1">G26</f>
        <v>Tax Rate</v>
      </c>
      <c r="H68" s="538" t="str">
        <f ca="1">H26</f>
        <v>Beta</v>
      </c>
      <c r="I68" s="538" t="str">
        <f ca="1">I26</f>
        <v>Yield</v>
      </c>
      <c r="J68" s="538" t="str">
        <f ca="1">J26</f>
        <v>ROIC</v>
      </c>
      <c r="K68" s="538" t="str">
        <f ca="1">K26</f>
        <v>ROE </v>
      </c>
      <c r="L68" s="538" t="str">
        <f ca="1">L26</f>
        <v>ROA</v>
      </c>
      <c r="M68" s="538" t="str">
        <f ca="1">M26</f>
        <v>Cap</v>
      </c>
      <c r="N68" s="538" t="str">
        <f ca="1">N26</f>
        <v>EBITDA</v>
      </c>
      <c r="O68" s="538" t="str">
        <f ca="1">O26</f>
        <v>Equity</v>
      </c>
      <c r="P68" s="538" t="str">
        <f ca="1">P26</f>
        <v>Int. Exp.</v>
      </c>
      <c r="Q68" s="538" t="str">
        <f ca="1">Q26</f>
        <v>Capex)/Int.</v>
      </c>
      <c r="R68" s="538" t="str">
        <f ca="1">R26</f>
        <v>Int. Exp.</v>
      </c>
      <c r="S68" s="538" t="str">
        <f ca="1">S26</f>
        <v>Ratio</v>
      </c>
      <c r="T68" s="538" t="str">
        <f ca="1">T26</f>
        <v>Ratio</v>
      </c>
      <c r="U68" s="538" t="s">
        <v>541</v>
      </c>
      <c r="V68" s="538" t="s">
        <v>542</v>
      </c>
      <c r="W68" s="16"/>
      <c r="X68" s="4"/>
      <c r="Y68" s="47"/>
      <c r="Z68" s="139"/>
      <c r="AA68" s="84"/>
      <c r="AB68" s="538" t="str">
        <f t="shared" ref="AB68:AR68" si="51" ca="1">AB26</f>
        <v>Ticker</v>
      </c>
      <c r="AC68" s="538" t="str">
        <f ca="1">AC26</f>
        <v>Tax Rate</v>
      </c>
      <c r="AD68" s="538" t="str">
        <f ca="1">AD26</f>
        <v>Beta</v>
      </c>
      <c r="AE68" s="538" t="str">
        <f ca="1">AE26</f>
        <v>Yield</v>
      </c>
      <c r="AF68" s="538" t="str">
        <f ca="1">AF26</f>
        <v>ROIC</v>
      </c>
      <c r="AG68" s="538" t="str">
        <f ca="1">AG26</f>
        <v>ROE </v>
      </c>
      <c r="AH68" s="538" t="str">
        <f ca="1">AH26</f>
        <v>ROA</v>
      </c>
      <c r="AI68" s="538" t="str">
        <f ca="1">AI26</f>
        <v>Cap</v>
      </c>
      <c r="AJ68" s="538" t="str">
        <f ca="1">AJ26</f>
        <v>EBITDA</v>
      </c>
      <c r="AK68" s="538" t="str">
        <f ca="1">AK26</f>
        <v>Equity</v>
      </c>
      <c r="AL68" s="538" t="str">
        <f ca="1">AL26</f>
        <v>Int. Exp.</v>
      </c>
      <c r="AM68" s="538" t="str">
        <f ca="1">AM26</f>
        <v>Capex)/Int.</v>
      </c>
      <c r="AN68" s="538" t="str">
        <f ca="1">AN26</f>
        <v>Int. Exp.</v>
      </c>
      <c r="AO68" s="538" t="str">
        <f ca="1">AO26</f>
        <v>Ratio</v>
      </c>
      <c r="AP68" s="538" t="str">
        <f ca="1">AP26</f>
        <v>Ratio</v>
      </c>
      <c r="AQ68" s="538" t="str">
        <f ca="1">AQ26</f>
        <v>S&amp;P</v>
      </c>
      <c r="AR68" s="538" t="str">
        <f ca="1">AR26</f>
        <v>Outlook</v>
      </c>
      <c r="AS68" s="4"/>
      <c r="AT68" s="4"/>
      <c r="AU68" s="47"/>
      <c r="AV68" s="139"/>
      <c r="AW68" s="84"/>
      <c r="AX68" s="538" t="str">
        <f t="shared" ref="AX68:BN68" si="52" ca="1">AX26</f>
        <v>Ticker</v>
      </c>
      <c r="AY68" s="538" t="str">
        <f ca="1">AY26</f>
        <v>Tax Rate</v>
      </c>
      <c r="AZ68" s="538" t="str">
        <f ca="1">AZ26</f>
        <v>Beta</v>
      </c>
      <c r="BA68" s="538" t="str">
        <f ca="1">BA26</f>
        <v>Yield</v>
      </c>
      <c r="BB68" s="538" t="str">
        <f ca="1">BB26</f>
        <v>ROIC</v>
      </c>
      <c r="BC68" s="538" t="str">
        <f ca="1">BC26</f>
        <v>ROE </v>
      </c>
      <c r="BD68" s="538" t="str">
        <f ca="1">BD26</f>
        <v>ROA</v>
      </c>
      <c r="BE68" s="538" t="str">
        <f ca="1">BE26</f>
        <v>Cap</v>
      </c>
      <c r="BF68" s="538" t="str">
        <f ca="1">BF26</f>
        <v>EBITDA</v>
      </c>
      <c r="BG68" s="538" t="str">
        <f ca="1">BG26</f>
        <v>Equity</v>
      </c>
      <c r="BH68" s="538" t="str">
        <f ca="1">BH26</f>
        <v>Int. Exp.</v>
      </c>
      <c r="BI68" s="538" t="str">
        <f ca="1">BI26</f>
        <v>Capex)/Int.</v>
      </c>
      <c r="BJ68" s="538" t="str">
        <f ca="1">BJ26</f>
        <v>Int. Exp.</v>
      </c>
      <c r="BK68" s="538" t="str">
        <f ca="1">BK26</f>
        <v>Ratio</v>
      </c>
      <c r="BL68" s="538" t="str">
        <f ca="1">BL26</f>
        <v>Ratio</v>
      </c>
      <c r="BM68" s="538" t="str">
        <f ca="1">BM26</f>
        <v>S&amp;P</v>
      </c>
      <c r="BN68" s="538" t="str">
        <f ca="1">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 ca="1">E90</f>
        <v>IQ180871</v>
      </c>
      <c r="C70" s="599"/>
      <c r="D70" s="600">
        <f ca="1">D51</f>
        <v>1e-12</v>
      </c>
      <c r="E70" s="601"/>
      <c r="F70" s="602" t="str">
        <f ca="1">F51</f>
        <v>LOW</v>
      </c>
      <c r="G70" s="604">
        <f ca="1">_xll.ciqfunctions.udf.CIQ($B70, "IQ_EFFECT_TAX_RATE",IQ_FY)/100</f>
      </c>
      <c r="H70" s="631">
        <f ca="1">_xll.ciqfunctions.udf.CIQ($B70, "IQ_BETA_5YR",Current_Date)</f>
      </c>
      <c r="I70" s="604">
        <f ca="1">_xll.ciqfunctions.udf.CIQ($B70, "IQ_DIVIDEND_YIELD",Current_Date)/100</f>
      </c>
      <c r="J70" s="604">
        <f ca="1">(_xll.ciqfunctions.udf.CIQ($B70,"IQ_OPER_INC",IQ_LTM)*(1-G70))/(((_xll.ciqfunctions.udf.CIQ($B70,"IQ_TOTAL_DEBT",IQ_LTM))+_xll.ciqfunctions.udf.CIQ($B70,"IQ_TOTAL_EQUITY",IQ_LTM))-_xll.ciqfunctions.udf.CIQ($B70,"IQ_CASH_EQUIV",IQ_LTM))</f>
      </c>
      <c r="K70" s="604">
        <f ca="1">_xll.ciqfunctions.udf.CIQ($B70, "IQ_RETURN_EQUITY",IQ_LTM)/100</f>
      </c>
      <c r="L70" s="604">
        <f ca="1">_xll.ciqfunctions.udf.CIQ($B70, "IQ_RETURN_ASSETS",IQ_LTM)/100</f>
      </c>
      <c r="M70" s="605">
        <f ca="1">_xll.ciqfunctions.udf.CIQ($B70, "IQ_TOTAL_DEBT_CAPITAL",IQ_FY)/100</f>
      </c>
      <c r="N70" s="605">
        <f ca="1">_xll.ciqfunctions.udf.CIQ($B70, "IQ_TOTAL_DEBT_EBITDA",IQ_FY)</f>
      </c>
      <c r="O70" s="605">
        <f ca="1">_xll.ciqfunctions.udf.CIQ($B70, "IQ_TOTAL_DEBT_EQUITY",IQ_FY)/100</f>
      </c>
      <c r="P70" s="605">
        <f ca="1">_xll.ciqfunctions.udf.CIQ($B70, "IQ_EBITDA_INT",IQ_FY)</f>
      </c>
      <c r="Q70" s="605">
        <f ca="1">_xll.ciqfunctions.udf.CIQ($B70, "IQ_EBITDA_CAPEX_INT",IQ_FY)</f>
      </c>
      <c r="R70" s="605">
        <f ca="1">_xll.ciqfunctions.udf.CIQ($B70, "IQ_EBIT_INT",IQ_FY)</f>
      </c>
      <c r="S70" s="605">
        <f ca="1">_xll.ciqfunctions.udf.CIQ($B70, "IQ_QUICK_RATIO",IQ_FY)</f>
      </c>
      <c r="T70" s="605">
        <f ca="1">_xll.ciqfunctions.udf.CIQ($B70, "IQ_CURRENT_RATIO",IQ_FY)</f>
      </c>
      <c r="U70" s="602">
        <f ca="1">_xll.ciqfunctions.udf.CIQ($B70, "IQ_SP_LC_LT",Current)</f>
      </c>
      <c r="V70" s="632">
        <f ca="1">_xll.ciqfunctions.udf.CIQ($B70, "IQ_SP_OUTLOOK_WATCH",Current)</f>
      </c>
      <c r="W70" s="16"/>
      <c r="X70" s="599" t="str">
        <f ca="1">I90</f>
        <v>IQ180871</v>
      </c>
      <c r="Y70" s="47"/>
      <c r="Z70" s="600" t="str">
        <f ca="1">Z51</f>
        <v>Lowe's Companies, Inc.</v>
      </c>
      <c r="AA70" s="601"/>
      <c r="AB70" s="602" t="str">
        <f ca="1">AB51</f>
        <v>LOW</v>
      </c>
      <c r="AC70" s="604">
        <f ca="1">_xll.ciqfunctions.udf.CIQ($X70, "IQ_EFFECT_TAX_RATE",IQ_FY)/100</f>
      </c>
      <c r="AD70" s="631">
        <f ca="1">_xll.ciqfunctions.udf.CIQ($X70, "IQ_BETA_5YR",Current_Date)</f>
      </c>
      <c r="AE70" s="604">
        <f ca="1">_xll.ciqfunctions.udf.CIQ($X70, "IQ_DIVIDEND_YIELD",Current_Date)/100</f>
      </c>
      <c r="AF70" s="604">
        <f ca="1">(_xll.ciqfunctions.udf.CIQ($X70,"IQ_OPER_INC",IQ_LTM)*(1-AC70))/(((_xll.ciqfunctions.udf.CIQ($X70,"IQ_TOTAL_DEBT",IQ_LTM))+_xll.ciqfunctions.udf.CIQ($X70,"IQ_TOTAL_EQUITY",IQ_LTM))-_xll.ciqfunctions.udf.CIQ($X70,"IQ_CASH_EQUIV",IQ_LTM))</f>
      </c>
      <c r="AG70" s="604">
        <f ca="1">_xll.ciqfunctions.udf.CIQ($X70, "IQ_RETURN_EQUITY",IQ_LTM)/100</f>
      </c>
      <c r="AH70" s="604">
        <f ca="1">_xll.ciqfunctions.udf.CIQ($X70, "IQ_RETURN_ASSETS",IQ_LTM)/100</f>
      </c>
      <c r="AI70" s="605">
        <f ca="1">_xll.ciqfunctions.udf.CIQ($X70, "IQ_TOTAL_DEBT_CAPITAL",IQ_FY)/100</f>
      </c>
      <c r="AJ70" s="605">
        <f ca="1">_xll.ciqfunctions.udf.CIQ($X70, "IQ_TOTAL_DEBT_EBITDA",IQ_FY)</f>
      </c>
      <c r="AK70" s="605">
        <f ca="1">_xll.ciqfunctions.udf.CIQ($X70, "IQ_TOTAL_DEBT_EQUITY",IQ_FY)/100</f>
      </c>
      <c r="AL70" s="605">
        <f ca="1">_xll.ciqfunctions.udf.CIQ($X70, "IQ_EBITDA_INT",IQ_FY)</f>
      </c>
      <c r="AM70" s="605">
        <f ca="1">_xll.ciqfunctions.udf.CIQ($X70, "IQ_EBITDA_CAPEX_INT",IQ_FY)</f>
      </c>
      <c r="AN70" s="605">
        <f ca="1">_xll.ciqfunctions.udf.CIQ($X70, "IQ_EBIT_INT",IQ_FY)</f>
      </c>
      <c r="AO70" s="631">
        <f ca="1">_xll.ciqfunctions.udf.CIQ($X70, "IQ_QUICK_RATIO",IQ_FY)</f>
      </c>
      <c r="AP70" s="631">
        <f ca="1">_xll.ciqfunctions.udf.CIQ($X70, "IQ_CURRENT_RATIO",IQ_FY)</f>
      </c>
      <c r="AQ70" s="602">
        <f ca="1">_xll.ciqfunctions.udf.CIQ($X70, "IQ_SP_LC_LT",Current)</f>
      </c>
      <c r="AR70" s="632">
        <f ca="1">_xll.ciqfunctions.udf.CIQ($X70, "IQ_SP_OUTLOOK_WATCH",Current)</f>
      </c>
      <c r="AS70" s="4"/>
      <c r="AT70" s="599" t="str">
        <f ca="1">N90</f>
        <v>IQ180871</v>
      </c>
      <c r="AU70" s="47">
        <f t="shared" ref="AU70:AV70" si="53" ca="1">AU51</f>
        <v>1e-12</v>
      </c>
      <c r="AV70" s="600" t="str">
        <f ca="1">AV51</f>
        <v>Lowe's Companies, Inc.</v>
      </c>
      <c r="AW70" s="601"/>
      <c r="AX70" s="602" t="str">
        <f ca="1">AX51</f>
        <v>LOW</v>
      </c>
      <c r="AY70" s="604">
        <f ca="1">_xll.ciqfunctions.udf.CIQ($AT70, "IQ_EFFECT_TAX_RATE",IQ_FY)/100</f>
      </c>
      <c r="AZ70" s="631">
        <f ca="1">_xll.ciqfunctions.udf.CIQ($AT70, "IQ_BETA_5YR",Current_Date)</f>
      </c>
      <c r="BA70" s="604">
        <f ca="1">_xll.ciqfunctions.udf.CIQ($AT70, "IQ_DIVIDEND_YIELD",Current_Date)/100</f>
      </c>
      <c r="BB70" s="604">
        <f ca="1">(_xll.ciqfunctions.udf.CIQ($AT70,"IQ_OPER_INC",IQ_LTM)*(1-AY70))/(((_xll.ciqfunctions.udf.CIQ($AT70,"IQ_TOTAL_DEBT",IQ_LTM))+_xll.ciqfunctions.udf.CIQ($AT70,"IQ_TOTAL_EQUITY",IQ_LTM))-_xll.ciqfunctions.udf.CIQ($AT70,"IQ_CASH_EQUIV",IQ_LTM))</f>
      </c>
      <c r="BC70" s="604">
        <f ca="1">_xll.ciqfunctions.udf.CIQ($AT70, "IQ_RETURN_EQUITY",IQ_LTM)/100</f>
      </c>
      <c r="BD70" s="604">
        <f ca="1">_xll.ciqfunctions.udf.CIQ($AT70, "IQ_RETURN_ASSETS",IQ_LTM)/100</f>
      </c>
      <c r="BE70" s="605">
        <f ca="1">_xll.ciqfunctions.udf.CIQ($AT70, "IQ_TOTAL_DEBT_CAPITAL",IQ_FY)/100</f>
      </c>
      <c r="BF70" s="605">
        <f ca="1">_xll.ciqfunctions.udf.CIQ($AT70, "IQ_TOTAL_DEBT_EBITDA",IQ_FY)</f>
      </c>
      <c r="BG70" s="605">
        <f ca="1">_xll.ciqfunctions.udf.CIQ($AT70, "IQ_TOTAL_DEBT_EQUITY",IQ_FY)/100</f>
      </c>
      <c r="BH70" s="605">
        <f ca="1">_xll.ciqfunctions.udf.CIQ($AT70, "IQ_EBITDA_INT",IQ_FY)</f>
      </c>
      <c r="BI70" s="605">
        <f ca="1">_xll.ciqfunctions.udf.CIQ($AT70, "IQ_EBITDA_CAPEX_INT",IQ_FY)</f>
      </c>
      <c r="BJ70" s="605">
        <f ca="1">_xll.ciqfunctions.udf.CIQ($AT70, "IQ_EBIT_INT",IQ_FY)</f>
      </c>
      <c r="BK70" s="631">
        <f ca="1">_xll.ciqfunctions.udf.CIQ($AT70, "IQ_QUICK_RATIO",IQ_FY)</f>
      </c>
      <c r="BL70" s="631">
        <f ca="1">_xll.ciqfunctions.udf.CIQ($AT70, "IQ_CURRENT_RATIO",IQ_FY)</f>
      </c>
      <c r="BM70" s="602">
        <f ca="1">_xll.ciqfunctions.udf.CIQ($AT70, "IQ_SP_LC_LT",Current)</f>
      </c>
      <c r="BN70" s="632">
        <f ca="1">_xll.ciqfunctions.udf.CIQ($AT70, "IQ_SP_OUTLOOK_WATCH",Current)</f>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 ca="1">E94</f>
        <v>IQ278679</v>
      </c>
      <c r="C72" s="599"/>
      <c r="D72" s="16">
        <f ca="1">D53</f>
        <v>1e-12</v>
      </c>
      <c r="E72" s="16"/>
      <c r="F72" s="84" t="str">
        <f ca="1">E93</f>
        <v>HD</v>
      </c>
      <c r="G72" s="547">
        <f ca="1">_xll.ciqfunctions.udf.CIQ($B72, "IQ_EFFECT_TAX_RATE",IQ_FY)/100</f>
      </c>
      <c r="H72" s="581">
        <f ca="1">_xll.ciqfunctions.udf.CIQ($B72, "IQ_BETA_5YR",Current_Date)</f>
      </c>
      <c r="I72" s="547">
        <f ca="1">_xll.ciqfunctions.udf.CIQ($B72, "IQ_DIVIDEND_YIELD",Current_Date)/100</f>
      </c>
      <c r="J72" s="547">
        <f ca="1">(_xll.ciqfunctions.udf.CIQ($B72,"IQ_OPER_INC",IQ_LTM)*(1-G72))/(((_xll.ciqfunctions.udf.CIQ($B72,"IQ_TOTAL_DEBT",IQ_LTM))+_xll.ciqfunctions.udf.CIQ($B72,"IQ_TOTAL_EQUITY",IQ_LTM))-_xll.ciqfunctions.udf.CIQ($B72,"IQ_CASH_EQUIV",IQ_LTM))</f>
      </c>
      <c r="K72" s="547">
        <f ca="1">_xll.ciqfunctions.udf.CIQ($B72, "IQ_RETURN_EQUITY",IQ_LTM)/100</f>
      </c>
      <c r="L72" s="547">
        <f ca="1">_xll.ciqfunctions.udf.CIQ($B72, "IQ_RETURN_ASSETS",IQ_LTM)/100</f>
      </c>
      <c r="M72" s="551">
        <f ca="1">_xll.ciqfunctions.udf.CIQ($B72, "IQ_TOTAL_DEBT_CAPITAL",IQ_FY)/100</f>
      </c>
      <c r="N72" s="551">
        <f ca="1">_xll.ciqfunctions.udf.CIQ($B72, "IQ_TOTAL_DEBT_EBITDA",IQ_FY)</f>
      </c>
      <c r="O72" s="551">
        <f ca="1">_xll.ciqfunctions.udf.CIQ($B72, "IQ_TOTAL_DEBT_EQUITY",IQ_FY)/100</f>
      </c>
      <c r="P72" s="551">
        <f ca="1">_xll.ciqfunctions.udf.CIQ($B72, "IQ_EBITDA_INT",IQ_FY)</f>
      </c>
      <c r="Q72" s="551">
        <f ca="1">_xll.ciqfunctions.udf.CIQ($B72, "IQ_EBITDA_CAPEX_INT",IQ_FY)</f>
      </c>
      <c r="R72" s="551">
        <f ca="1">_xll.ciqfunctions.udf.CIQ($B72, "IQ_EBIT_INT",IQ_FY)</f>
      </c>
      <c r="S72" s="551">
        <f ca="1">_xll.ciqfunctions.udf.CIQ($B72, "IQ_QUICK_RATIO",IQ_FY)</f>
      </c>
      <c r="T72" s="551">
        <f ca="1">_xll.ciqfunctions.udf.CIQ($B72, "IQ_CURRENT_RATIO",IQ_FY)</f>
      </c>
      <c r="U72" s="84">
        <f ca="1">_xll.ciqfunctions.udf.CIQ($B72, "IQ_SP_LC_LT",Current)</f>
      </c>
      <c r="V72" s="84">
        <f ca="1">_xll.ciqfunctions.udf.CIQ($B72, "IQ_SP_OUTLOOK_WATCH",Current)</f>
      </c>
      <c r="W72" s="16"/>
      <c r="X72" s="599" t="str">
        <f ca="1">I94</f>
        <v>IQ159230</v>
      </c>
      <c r="Y72" s="47"/>
      <c r="Z72" s="16">
        <f ca="1">Z53</f>
        <v>1e-12</v>
      </c>
      <c r="AA72" s="16"/>
      <c r="AB72" s="84" t="str">
        <f ca="1">I93</f>
        <v>RTX</v>
      </c>
      <c r="AC72" s="547">
        <f ca="1">_xll.ciqfunctions.udf.CIQ($X72, "IQ_EFFECT_TAX_RATE",IQ_FY)/100</f>
      </c>
      <c r="AD72" s="581">
        <f ca="1">_xll.ciqfunctions.udf.CIQ($X72, "IQ_BETA_5YR",Current_Date)</f>
      </c>
      <c r="AE72" s="547">
        <f ca="1">_xll.ciqfunctions.udf.CIQ($X72, "IQ_DIVIDEND_YIELD",Current_Date)/100</f>
      </c>
      <c r="AF72" s="547">
        <f ca="1">(_xll.ciqfunctions.udf.CIQ($X72,"IQ_OPER_INC",IQ_LTM)*(1-AC72))/(((_xll.ciqfunctions.udf.CIQ($X72,"IQ_TOTAL_DEBT",IQ_LTM))+_xll.ciqfunctions.udf.CIQ($X72,"IQ_TOTAL_EQUITY",IQ_LTM))-_xll.ciqfunctions.udf.CIQ($X72,"IQ_CASH_EQUIV",IQ_LTM))</f>
      </c>
      <c r="AG72" s="547">
        <f ca="1">_xll.ciqfunctions.udf.CIQ($X72, "IQ_RETURN_EQUITY",IQ_LTM)/100</f>
      </c>
      <c r="AH72" s="547">
        <f ca="1">_xll.ciqfunctions.udf.CIQ($X72, "IQ_RETURN_ASSETS",IQ_LTM)/100</f>
      </c>
      <c r="AI72" s="551">
        <f ca="1">_xll.ciqfunctions.udf.CIQ($X72, "IQ_TOTAL_DEBT_CAPITAL",IQ_FY)/100</f>
      </c>
      <c r="AJ72" s="551">
        <f ca="1">_xll.ciqfunctions.udf.CIQ($X72, "IQ_TOTAL_DEBT_EBITDA",IQ_FY)</f>
      </c>
      <c r="AK72" s="551">
        <f ca="1">_xll.ciqfunctions.udf.CIQ($X72, "IQ_TOTAL_DEBT_EQUITY",IQ_FY)/100</f>
      </c>
      <c r="AL72" s="551">
        <f ca="1">_xll.ciqfunctions.udf.CIQ($X72, "IQ_EBITDA_INT",IQ_FY)</f>
      </c>
      <c r="AM72" s="551">
        <f ca="1">_xll.ciqfunctions.udf.CIQ($X72, "IQ_EBITDA_CAPEX_INT",IQ_FY)</f>
      </c>
      <c r="AN72" s="551">
        <f ca="1">_xll.ciqfunctions.udf.CIQ($X72, "IQ_EBIT_INT",IQ_FY)</f>
      </c>
      <c r="AO72" s="581">
        <f ca="1">_xll.ciqfunctions.udf.CIQ($X72, "IQ_QUICK_RATIO",IQ_FY)</f>
      </c>
      <c r="AP72" s="581">
        <f ca="1">_xll.ciqfunctions.udf.CIQ($X72, "IQ_CURRENT_RATIO",IQ_FY)</f>
      </c>
      <c r="AQ72" s="84">
        <f ca="1">_xll.ciqfunctions.udf.CIQ($X72, "IQ_SP_LC_LT",Current)</f>
      </c>
      <c r="AR72" s="84">
        <f ca="1">_xll.ciqfunctions.udf.CIQ($X72, "IQ_SP_OUTLOOK_WATCH",Current)</f>
      </c>
      <c r="AS72" s="4"/>
      <c r="AT72" s="599" t="str">
        <f ca="1">N94</f>
        <v>IQ289194</v>
      </c>
      <c r="AU72" s="47">
        <f t="shared" ref="AU72:AV72" si="54" ca="1">AU53</f>
        <v>1e-12</v>
      </c>
      <c r="AV72" s="16">
        <f ca="1">AV53</f>
        <v>1e-12</v>
      </c>
      <c r="AW72" s="16"/>
      <c r="AX72" s="84" t="str">
        <f t="shared" ref="AX72:AX76" si="55" ca="1">AX53</f>
        <v>MMM</v>
      </c>
      <c r="AY72" s="547">
        <f ca="1">_xll.ciqfunctions.udf.CIQ($AT72, "IQ_EFFECT_TAX_RATE",IQ_FY)/100</f>
      </c>
      <c r="AZ72" s="581">
        <f ca="1">_xll.ciqfunctions.udf.CIQ($AT72, "IQ_BETA_5YR",Current_Date)</f>
      </c>
      <c r="BA72" s="547">
        <f ca="1">_xll.ciqfunctions.udf.CIQ($AT72, "IQ_DIVIDEND_YIELD",Current_Date)/100</f>
      </c>
      <c r="BB72" s="547">
        <f ca="1">(_xll.ciqfunctions.udf.CIQ($AT72,"IQ_OPER_INC",IQ_LTM)*(1-AY72))/(((_xll.ciqfunctions.udf.CIQ($AT72,"IQ_TOTAL_DEBT",IQ_LTM))+_xll.ciqfunctions.udf.CIQ($AT72,"IQ_TOTAL_EQUITY",IQ_LTM))-_xll.ciqfunctions.udf.CIQ($AT72,"IQ_CASH_EQUIV",IQ_LTM))</f>
      </c>
      <c r="BC72" s="547">
        <f ca="1">_xll.ciqfunctions.udf.CIQ($AT72, "IQ_RETURN_EQUITY",IQ_LTM)/100</f>
      </c>
      <c r="BD72" s="547">
        <f ca="1">_xll.ciqfunctions.udf.CIQ($AT72, "IQ_RETURN_ASSETS",IQ_LTM)/100</f>
      </c>
      <c r="BE72" s="551">
        <f ca="1">_xll.ciqfunctions.udf.CIQ($AT72, "IQ_TOTAL_DEBT_CAPITAL",IQ_FY)/100</f>
      </c>
      <c r="BF72" s="551">
        <f ca="1">_xll.ciqfunctions.udf.CIQ($AT72, "IQ_TOTAL_DEBT_EBITDA",IQ_FY)</f>
      </c>
      <c r="BG72" s="551">
        <f ca="1">_xll.ciqfunctions.udf.CIQ($AT72, "IQ_TOTAL_DEBT_EQUITY",IQ_FY)/100</f>
      </c>
      <c r="BH72" s="551">
        <f ca="1">_xll.ciqfunctions.udf.CIQ($AT72, "IQ_EBITDA_INT",IQ_FY)</f>
      </c>
      <c r="BI72" s="551">
        <f ca="1">_xll.ciqfunctions.udf.CIQ($AT72, "IQ_EBITDA_CAPEX_INT",IQ_FY)</f>
      </c>
      <c r="BJ72" s="551">
        <f ca="1">_xll.ciqfunctions.udf.CIQ($AT72, "IQ_EBIT_INT",IQ_FY)</f>
      </c>
      <c r="BK72" s="581">
        <f ca="1">_xll.ciqfunctions.udf.CIQ($AT72, "IQ_QUICK_RATIO",IQ_FY)</f>
      </c>
      <c r="BL72" s="581">
        <f ca="1">_xll.ciqfunctions.udf.CIQ($AT72, "IQ_CURRENT_RATIO",IQ_FY)</f>
      </c>
      <c r="BM72" s="84">
        <f ca="1">_xll.ciqfunctions.udf.CIQ($AT72, "IQ_SP_LC_LT",Current)</f>
      </c>
      <c r="BN72" s="84">
        <f ca="1">_xll.ciqfunctions.udf.CIQ($AT72, "IQ_SP_OUTLOOK_WATCH",Current)</f>
      </c>
    </row>
    <row r="73" ht="13.5" customHeight="1" spans="1:66" x14ac:dyDescent="0.25" outlineLevel="1" collapsed="1">
      <c r="A73" s="4"/>
      <c r="B73" s="599" t="str">
        <f ca="1">E98</f>
        <v>IQ20765463</v>
      </c>
      <c r="C73" s="599"/>
      <c r="D73" s="16">
        <f ca="1">D54</f>
        <v>1e-12</v>
      </c>
      <c r="E73" s="16"/>
      <c r="F73" s="84" t="str">
        <f ca="1">E97</f>
        <v>""</v>
      </c>
      <c r="G73" s="547">
        <f ca="1">_xll.ciqfunctions.udf.CIQ($B73, "IQ_EFFECT_TAX_RATE",IQ_FY)/100</f>
      </c>
      <c r="H73" s="581">
        <f ca="1">_xll.ciqfunctions.udf.CIQ($B73, "IQ_BETA_5YR",Current_Date)</f>
      </c>
      <c r="I73" s="547">
        <f ca="1">_xll.ciqfunctions.udf.CIQ($B73, "IQ_DIVIDEND_YIELD",Current_Date)/100</f>
      </c>
      <c r="J73" s="547">
        <f ca="1">(_xll.ciqfunctions.udf.CIQ($B73,"IQ_OPER_INC",IQ_LTM)*(1-G73))/(((_xll.ciqfunctions.udf.CIQ($B73,"IQ_TOTAL_DEBT",IQ_LTM))+_xll.ciqfunctions.udf.CIQ($B73,"IQ_TOTAL_EQUITY",IQ_LTM))-_xll.ciqfunctions.udf.CIQ($B73,"IQ_CASH_EQUIV",IQ_LTM))</f>
      </c>
      <c r="K73" s="547">
        <f ca="1">_xll.ciqfunctions.udf.CIQ($B73, "IQ_RETURN_EQUITY",IQ_LTM)/100</f>
      </c>
      <c r="L73" s="547">
        <f ca="1">_xll.ciqfunctions.udf.CIQ($B73, "IQ_RETURN_ASSETS",IQ_LTM)/100</f>
      </c>
      <c r="M73" s="551">
        <f ca="1">_xll.ciqfunctions.udf.CIQ($B73, "IQ_TOTAL_DEBT_CAPITAL",IQ_FY)/100</f>
      </c>
      <c r="N73" s="551">
        <f ca="1">_xll.ciqfunctions.udf.CIQ($B73, "IQ_TOTAL_DEBT_EBITDA",IQ_FY)</f>
      </c>
      <c r="O73" s="551">
        <f ca="1">_xll.ciqfunctions.udf.CIQ($B73, "IQ_TOTAL_DEBT_EQUITY",IQ_FY)/100</f>
      </c>
      <c r="P73" s="551">
        <f ca="1">_xll.ciqfunctions.udf.CIQ($B73, "IQ_EBITDA_INT",IQ_FY)</f>
      </c>
      <c r="Q73" s="551">
        <f ca="1">_xll.ciqfunctions.udf.CIQ($B73, "IQ_EBITDA_CAPEX_INT",IQ_FY)</f>
      </c>
      <c r="R73" s="551">
        <f ca="1">_xll.ciqfunctions.udf.CIQ($B73, "IQ_EBIT_INT",IQ_FY)</f>
      </c>
      <c r="S73" s="551">
        <f ca="1">_xll.ciqfunctions.udf.CIQ($B73, "IQ_QUICK_RATIO",IQ_FY)</f>
      </c>
      <c r="T73" s="551">
        <f ca="1">_xll.ciqfunctions.udf.CIQ($B73, "IQ_CURRENT_RATIO",IQ_FY)</f>
      </c>
      <c r="U73" s="84">
        <f ca="1">_xll.ciqfunctions.udf.CIQ($B73, "IQ_SP_LC_LT",Current)</f>
      </c>
      <c r="V73" s="84">
        <f ca="1">_xll.ciqfunctions.udf.CIQ($B73, "IQ_SP_OUTLOOK_WATCH",Current)</f>
      </c>
      <c r="W73" s="16"/>
      <c r="X73" s="599" t="str">
        <f ca="1">I98</f>
        <v>IQ370857</v>
      </c>
      <c r="Y73" s="47"/>
      <c r="Z73" s="16">
        <f ca="1">Z54</f>
        <v>1e-12</v>
      </c>
      <c r="AA73" s="16"/>
      <c r="AB73" s="84" t="str">
        <f ca="1">I97</f>
        <v>BA</v>
      </c>
      <c r="AC73" s="547">
        <f ca="1">_xll.ciqfunctions.udf.CIQ($X73, "IQ_EFFECT_TAX_RATE",IQ_FY)/100</f>
      </c>
      <c r="AD73" s="581">
        <f ca="1">_xll.ciqfunctions.udf.CIQ($X73, "IQ_BETA_5YR",Current_Date)</f>
      </c>
      <c r="AE73" s="547">
        <f ca="1">_xll.ciqfunctions.udf.CIQ($X73, "IQ_DIVIDEND_YIELD",Current_Date)/100</f>
      </c>
      <c r="AF73" s="547">
        <f ca="1">(_xll.ciqfunctions.udf.CIQ($X73,"IQ_OPER_INC",IQ_LTM)*(1-AC73))/(((_xll.ciqfunctions.udf.CIQ($X73,"IQ_TOTAL_DEBT",IQ_LTM))+_xll.ciqfunctions.udf.CIQ($X73,"IQ_TOTAL_EQUITY",IQ_LTM))-_xll.ciqfunctions.udf.CIQ($X73,"IQ_CASH_EQUIV",IQ_LTM))</f>
      </c>
      <c r="AG73" s="547">
        <f ca="1">_xll.ciqfunctions.udf.CIQ($X73, "IQ_RETURN_EQUITY",IQ_LTM)/100</f>
      </c>
      <c r="AH73" s="547">
        <f ca="1">_xll.ciqfunctions.udf.CIQ($X73, "IQ_RETURN_ASSETS",IQ_LTM)/100</f>
      </c>
      <c r="AI73" s="551">
        <f ca="1">_xll.ciqfunctions.udf.CIQ($X73, "IQ_TOTAL_DEBT_CAPITAL",IQ_FY)/100</f>
      </c>
      <c r="AJ73" s="551">
        <f ca="1">_xll.ciqfunctions.udf.CIQ($X73, "IQ_TOTAL_DEBT_EBITDA",IQ_FY)</f>
      </c>
      <c r="AK73" s="551">
        <f ca="1">_xll.ciqfunctions.udf.CIQ($X73, "IQ_TOTAL_DEBT_EQUITY",IQ_FY)/100</f>
      </c>
      <c r="AL73" s="551">
        <f ca="1">_xll.ciqfunctions.udf.CIQ($X73, "IQ_EBITDA_INT",IQ_FY)</f>
      </c>
      <c r="AM73" s="551">
        <f ca="1">_xll.ciqfunctions.udf.CIQ($X73, "IQ_EBITDA_CAPEX_INT",IQ_FY)</f>
      </c>
      <c r="AN73" s="551">
        <f ca="1">_xll.ciqfunctions.udf.CIQ($X73, "IQ_EBIT_INT",IQ_FY)</f>
      </c>
      <c r="AO73" s="581">
        <f ca="1">_xll.ciqfunctions.udf.CIQ($X73, "IQ_QUICK_RATIO",IQ_FY)</f>
      </c>
      <c r="AP73" s="581">
        <f ca="1">_xll.ciqfunctions.udf.CIQ($X73, "IQ_CURRENT_RATIO",IQ_FY)</f>
      </c>
      <c r="AQ73" s="84">
        <f ca="1">_xll.ciqfunctions.udf.CIQ($X73, "IQ_SP_LC_LT",Current)</f>
      </c>
      <c r="AR73" s="84">
        <f ca="1">_xll.ciqfunctions.udf.CIQ($X73, "IQ_SP_OUTLOOK_WATCH",Current)</f>
      </c>
      <c r="AS73" s="4"/>
      <c r="AT73" s="599" t="str">
        <f ca="1">N98</f>
        <v>IQ177031</v>
      </c>
      <c r="AU73" s="47">
        <f ca="1">AU96</f>
        <v>1e-12</v>
      </c>
      <c r="AV73" s="16">
        <f ca="1">AV54</f>
        <v>1e-12</v>
      </c>
      <c r="AW73" s="16"/>
      <c r="AX73" s="84" t="str">
        <f ca="1">AX54</f>
        <v>GE</v>
      </c>
      <c r="AY73" s="547">
        <f ca="1">_xll.ciqfunctions.udf.CIQ($AT73, "IQ_EFFECT_TAX_RATE",IQ_FY)/100</f>
      </c>
      <c r="AZ73" s="581">
        <f ca="1">_xll.ciqfunctions.udf.CIQ($AT73, "IQ_BETA_5YR",Current_Date)</f>
      </c>
      <c r="BA73" s="547">
        <f ca="1">_xll.ciqfunctions.udf.CIQ($AT73, "IQ_DIVIDEND_YIELD",Current_Date)/100</f>
      </c>
      <c r="BB73" s="547">
        <f ca="1">(_xll.ciqfunctions.udf.CIQ($AT73,"IQ_OPER_INC",IQ_LTM)*(1-AY73))/(((_xll.ciqfunctions.udf.CIQ($AT73,"IQ_TOTAL_DEBT",IQ_LTM))+_xll.ciqfunctions.udf.CIQ($AT73,"IQ_TOTAL_EQUITY",IQ_LTM))-_xll.ciqfunctions.udf.CIQ($AT73,"IQ_CASH_EQUIV",IQ_LTM))</f>
      </c>
      <c r="BC73" s="547">
        <f ca="1">_xll.ciqfunctions.udf.CIQ($AT73, "IQ_RETURN_EQUITY",IQ_LTM)/100</f>
      </c>
      <c r="BD73" s="547">
        <f ca="1">_xll.ciqfunctions.udf.CIQ($AT73, "IQ_RETURN_ASSETS",IQ_LTM)/100</f>
      </c>
      <c r="BE73" s="551">
        <f ca="1">_xll.ciqfunctions.udf.CIQ($AT73, "IQ_TOTAL_DEBT_CAPITAL",IQ_FY)/100</f>
      </c>
      <c r="BF73" s="551">
        <f ca="1">_xll.ciqfunctions.udf.CIQ($AT73, "IQ_TOTAL_DEBT_EBITDA",IQ_FY)</f>
      </c>
      <c r="BG73" s="551">
        <f ca="1">_xll.ciqfunctions.udf.CIQ($AT73, "IQ_TOTAL_DEBT_EQUITY",IQ_FY)/100</f>
      </c>
      <c r="BH73" s="551">
        <f ca="1">_xll.ciqfunctions.udf.CIQ($AT73, "IQ_EBITDA_INT",IQ_FY)</f>
      </c>
      <c r="BI73" s="551">
        <f ca="1">_xll.ciqfunctions.udf.CIQ($AT73, "IQ_EBITDA_CAPEX_INT",IQ_FY)</f>
      </c>
      <c r="BJ73" s="551">
        <f ca="1">_xll.ciqfunctions.udf.CIQ($AT73, "IQ_EBIT_INT",IQ_FY)</f>
      </c>
      <c r="BK73" s="581">
        <f ca="1">_xll.ciqfunctions.udf.CIQ($AT73, "IQ_QUICK_RATIO",IQ_FY)</f>
      </c>
      <c r="BL73" s="581">
        <f ca="1">_xll.ciqfunctions.udf.CIQ($AT73, "IQ_CURRENT_RATIO",IQ_FY)</f>
      </c>
      <c r="BM73" s="84">
        <f ca="1">_xll.ciqfunctions.udf.CIQ($AT73, "IQ_SP_LC_LT",Current)</f>
      </c>
      <c r="BN73" s="84">
        <f ca="1">_xll.ciqfunctions.udf.CIQ($AT73, "IQ_SP_OUTLOOK_WATCH",Current)</f>
      </c>
    </row>
    <row r="74" ht="13.5" customHeight="1" spans="1:66" x14ac:dyDescent="0.25" outlineLevel="1" collapsed="1">
      <c r="A74" s="4"/>
      <c r="B74" s="599" t="str">
        <f ca="1">E102</f>
        <v>IQ21835</v>
      </c>
      <c r="C74" s="599"/>
      <c r="D74" s="16">
        <f ca="1">D55</f>
        <v>1e-12</v>
      </c>
      <c r="E74" s="16"/>
      <c r="F74" s="84" t="str">
        <f ca="1">E101</f>
        <v>""</v>
      </c>
      <c r="G74" s="547">
        <f ca="1">_xll.ciqfunctions.udf.CIQ($B74, "IQ_EFFECT_TAX_RATE",IQ_FY)/100</f>
      </c>
      <c r="H74" s="581">
        <f ca="1">_xll.ciqfunctions.udf.CIQ($B74, "IQ_BETA_5YR",Current_Date)</f>
      </c>
      <c r="I74" s="547">
        <f ca="1">_xll.ciqfunctions.udf.CIQ($B74, "IQ_DIVIDEND_YIELD",Current_Date)/100</f>
      </c>
      <c r="J74" s="547">
        <f ca="1">(_xll.ciqfunctions.udf.CIQ($B74,"IQ_OPER_INC",IQ_LTM)*(1-G74))/(((_xll.ciqfunctions.udf.CIQ($B74,"IQ_TOTAL_DEBT",IQ_LTM))+_xll.ciqfunctions.udf.CIQ($B74,"IQ_TOTAL_EQUITY",IQ_LTM))-_xll.ciqfunctions.udf.CIQ($B74,"IQ_CASH_EQUIV",IQ_LTM))</f>
      </c>
      <c r="K74" s="547">
        <f ca="1">_xll.ciqfunctions.udf.CIQ($B74, "IQ_RETURN_EQUITY",IQ_LTM)/100</f>
      </c>
      <c r="L74" s="547">
        <f ca="1">_xll.ciqfunctions.udf.CIQ($B74, "IQ_RETURN_ASSETS",IQ_LTM)/100</f>
      </c>
      <c r="M74" s="551">
        <f ca="1">_xll.ciqfunctions.udf.CIQ($B74, "IQ_TOTAL_DEBT_CAPITAL",IQ_FY)/100</f>
      </c>
      <c r="N74" s="551">
        <f ca="1">_xll.ciqfunctions.udf.CIQ($B74, "IQ_TOTAL_DEBT_EBITDA",IQ_FY)</f>
      </c>
      <c r="O74" s="551">
        <f ca="1">_xll.ciqfunctions.udf.CIQ($B74, "IQ_TOTAL_DEBT_EQUITY",IQ_FY)/100</f>
      </c>
      <c r="P74" s="551">
        <f ca="1">_xll.ciqfunctions.udf.CIQ($B74, "IQ_EBITDA_INT",IQ_FY)</f>
      </c>
      <c r="Q74" s="551">
        <f ca="1">_xll.ciqfunctions.udf.CIQ($B74, "IQ_EBITDA_CAPEX_INT",IQ_FY)</f>
      </c>
      <c r="R74" s="551">
        <f ca="1">_xll.ciqfunctions.udf.CIQ($B74, "IQ_EBIT_INT",IQ_FY)</f>
      </c>
      <c r="S74" s="551">
        <f ca="1">_xll.ciqfunctions.udf.CIQ($B74, "IQ_QUICK_RATIO",IQ_FY)</f>
      </c>
      <c r="T74" s="551">
        <f ca="1">_xll.ciqfunctions.udf.CIQ($B74, "IQ_CURRENT_RATIO",IQ_FY)</f>
      </c>
      <c r="U74" s="84">
        <f ca="1">_xll.ciqfunctions.udf.CIQ($B74, "IQ_SP_LC_LT",Current)</f>
      </c>
      <c r="V74" s="84">
        <f ca="1">_xll.ciqfunctions.udf.CIQ($B74, "IQ_SP_OUTLOOK_WATCH",Current)</f>
      </c>
      <c r="W74" s="16"/>
      <c r="X74" s="599" t="str">
        <f ca="1">I102</f>
        <v>IQ363263</v>
      </c>
      <c r="Y74" s="47"/>
      <c r="Z74" s="16">
        <f ca="1">Z55</f>
        <v>1e-12</v>
      </c>
      <c r="AA74" s="16"/>
      <c r="AB74" s="84" t="str">
        <f ca="1">I101</f>
        <v>HII</v>
      </c>
      <c r="AC74" s="547">
        <f ca="1">_xll.ciqfunctions.udf.CIQ($X74, "IQ_EFFECT_TAX_RATE",IQ_FY)/100</f>
      </c>
      <c r="AD74" s="581">
        <f ca="1">_xll.ciqfunctions.udf.CIQ($X74, "IQ_BETA_5YR",Current_Date)</f>
      </c>
      <c r="AE74" s="547">
        <f ca="1">_xll.ciqfunctions.udf.CIQ($X74, "IQ_DIVIDEND_YIELD",Current_Date)/100</f>
      </c>
      <c r="AF74" s="547">
        <f ca="1">(_xll.ciqfunctions.udf.CIQ($X74,"IQ_OPER_INC",IQ_LTM)*(1-AC74))/(((_xll.ciqfunctions.udf.CIQ($X74,"IQ_TOTAL_DEBT",IQ_LTM))+_xll.ciqfunctions.udf.CIQ($X74,"IQ_TOTAL_EQUITY",IQ_LTM))-_xll.ciqfunctions.udf.CIQ($X74,"IQ_CASH_EQUIV",IQ_LTM))</f>
      </c>
      <c r="AG74" s="547">
        <f ca="1">_xll.ciqfunctions.udf.CIQ($X74, "IQ_RETURN_EQUITY",IQ_LTM)/100</f>
      </c>
      <c r="AH74" s="547">
        <f ca="1">_xll.ciqfunctions.udf.CIQ($X74, "IQ_RETURN_ASSETS",IQ_LTM)/100</f>
      </c>
      <c r="AI74" s="551">
        <f ca="1">_xll.ciqfunctions.udf.CIQ($X74, "IQ_TOTAL_DEBT_CAPITAL",IQ_FY)/100</f>
      </c>
      <c r="AJ74" s="551">
        <f ca="1">_xll.ciqfunctions.udf.CIQ($X74, "IQ_TOTAL_DEBT_EBITDA",IQ_FY)</f>
      </c>
      <c r="AK74" s="551">
        <f ca="1">_xll.ciqfunctions.udf.CIQ($X74, "IQ_TOTAL_DEBT_EQUITY",IQ_FY)/100</f>
      </c>
      <c r="AL74" s="551">
        <f ca="1">_xll.ciqfunctions.udf.CIQ($X74, "IQ_EBITDA_INT",IQ_FY)</f>
      </c>
      <c r="AM74" s="551">
        <f ca="1">_xll.ciqfunctions.udf.CIQ($X74, "IQ_EBITDA_CAPEX_INT",IQ_FY)</f>
      </c>
      <c r="AN74" s="551">
        <f ca="1">_xll.ciqfunctions.udf.CIQ($X74, "IQ_EBIT_INT",IQ_FY)</f>
      </c>
      <c r="AO74" s="581">
        <f ca="1">_xll.ciqfunctions.udf.CIQ($X74, "IQ_QUICK_RATIO",IQ_FY)</f>
      </c>
      <c r="AP74" s="581">
        <f ca="1">_xll.ciqfunctions.udf.CIQ($X74, "IQ_CURRENT_RATIO",IQ_FY)</f>
      </c>
      <c r="AQ74" s="84">
        <f ca="1">_xll.ciqfunctions.udf.CIQ($X74, "IQ_SP_LC_LT",Current)</f>
      </c>
      <c r="AR74" s="84">
        <f ca="1">_xll.ciqfunctions.udf.CIQ($X74, "IQ_SP_OUTLOOK_WATCH",Current)</f>
      </c>
      <c r="AS74" s="4"/>
      <c r="AT74" s="599" t="str">
        <f ca="1">N102</f>
        <v>IQ1340740</v>
      </c>
      <c r="AU74" s="47">
        <f ca="1">AU100</f>
        <v>1e-12</v>
      </c>
      <c r="AV74" s="16">
        <f ca="1">AV55</f>
        <v>1e-12</v>
      </c>
      <c r="AW74" s="16"/>
      <c r="AX74" s="84" t="str">
        <f ca="1">AX55</f>
        <v>HON</v>
      </c>
      <c r="AY74" s="547">
        <f ca="1">_xll.ciqfunctions.udf.CIQ($AT74, "IQ_EFFECT_TAX_RATE",IQ_FY)/100</f>
      </c>
      <c r="AZ74" s="581">
        <f ca="1">_xll.ciqfunctions.udf.CIQ($AT74, "IQ_BETA_5YR",Current_Date)</f>
      </c>
      <c r="BA74" s="547">
        <f ca="1">_xll.ciqfunctions.udf.CIQ($AT74, "IQ_DIVIDEND_YIELD",Current_Date)/100</f>
      </c>
      <c r="BB74" s="547">
        <f ca="1">(_xll.ciqfunctions.udf.CIQ($AT74,"IQ_OPER_INC",IQ_LTM)*(1-AY74))/(((_xll.ciqfunctions.udf.CIQ($AT74,"IQ_TOTAL_DEBT",IQ_LTM))+_xll.ciqfunctions.udf.CIQ($AT74,"IQ_TOTAL_EQUITY",IQ_LTM))-_xll.ciqfunctions.udf.CIQ($AT74,"IQ_CASH_EQUIV",IQ_LTM))</f>
      </c>
      <c r="BC74" s="547">
        <f ca="1">_xll.ciqfunctions.udf.CIQ($AT74, "IQ_RETURN_EQUITY",IQ_LTM)/100</f>
      </c>
      <c r="BD74" s="547">
        <f ca="1">_xll.ciqfunctions.udf.CIQ($AT74, "IQ_RETURN_ASSETS",IQ_LTM)/100</f>
      </c>
      <c r="BE74" s="551">
        <f ca="1">_xll.ciqfunctions.udf.CIQ($AT74, "IQ_TOTAL_DEBT_CAPITAL",IQ_FY)/100</f>
      </c>
      <c r="BF74" s="551">
        <f ca="1">_xll.ciqfunctions.udf.CIQ($AT74, "IQ_TOTAL_DEBT_EBITDA",IQ_FY)</f>
      </c>
      <c r="BG74" s="551">
        <f ca="1">_xll.ciqfunctions.udf.CIQ($AT74, "IQ_TOTAL_DEBT_EQUITY",IQ_FY)/100</f>
      </c>
      <c r="BH74" s="551">
        <f ca="1">_xll.ciqfunctions.udf.CIQ($AT74, "IQ_EBITDA_INT",IQ_FY)</f>
      </c>
      <c r="BI74" s="551">
        <f ca="1">_xll.ciqfunctions.udf.CIQ($AT74, "IQ_EBITDA_CAPEX_INT",IQ_FY)</f>
      </c>
      <c r="BJ74" s="551">
        <f ca="1">_xll.ciqfunctions.udf.CIQ($AT74, "IQ_EBIT_INT",IQ_FY)</f>
      </c>
      <c r="BK74" s="581">
        <f ca="1">_xll.ciqfunctions.udf.CIQ($AT74, "IQ_QUICK_RATIO",IQ_FY)</f>
      </c>
      <c r="BL74" s="581">
        <f ca="1">_xll.ciqfunctions.udf.CIQ($AT74, "IQ_CURRENT_RATIO",IQ_FY)</f>
      </c>
      <c r="BM74" s="84">
        <f ca="1">_xll.ciqfunctions.udf.CIQ($AT74, "IQ_SP_LC_LT",Current)</f>
      </c>
      <c r="BN74" s="84">
        <f ca="1">_xll.ciqfunctions.udf.CIQ($AT74, "IQ_SP_OUTLOOK_WATCH",Current)</f>
      </c>
    </row>
    <row r="75" ht="13.5" customHeight="1" spans="1:66" x14ac:dyDescent="0.25" outlineLevel="1" collapsed="1">
      <c r="A75" s="4"/>
      <c r="B75" s="599" t="str">
        <f ca="1">E106</f>
        <v>IQ224055283</v>
      </c>
      <c r="C75" s="599"/>
      <c r="D75" s="16">
        <f ca="1">D56</f>
        <v>1e-12</v>
      </c>
      <c r="E75" s="16"/>
      <c r="F75" s="84" t="str">
        <f ca="1">E105</f>
        <v>""</v>
      </c>
      <c r="G75" s="547">
        <f ca="1">_xll.ciqfunctions.udf.CIQ($B75, "IQ_EFFECT_TAX_RATE",IQ_FY)/100</f>
      </c>
      <c r="H75" s="581">
        <f ca="1">_xll.ciqfunctions.udf.CIQ($B75, "IQ_BETA_5YR",Current_Date)</f>
      </c>
      <c r="I75" s="547">
        <f ca="1">_xll.ciqfunctions.udf.CIQ($B75, "IQ_DIVIDEND_YIELD",Current_Date)/100</f>
      </c>
      <c r="J75" s="547">
        <f ca="1">(_xll.ciqfunctions.udf.CIQ($B75,"IQ_OPER_INC",IQ_LTM)*(1-G75))/(((_xll.ciqfunctions.udf.CIQ($B75,"IQ_TOTAL_DEBT",IQ_LTM))+_xll.ciqfunctions.udf.CIQ($B75,"IQ_TOTAL_EQUITY",IQ_LTM))-_xll.ciqfunctions.udf.CIQ($B75,"IQ_CASH_EQUIV",IQ_LTM))</f>
      </c>
      <c r="K75" s="547">
        <f ca="1">_xll.ciqfunctions.udf.CIQ($B75, "IQ_RETURN_EQUITY",IQ_LTM)/100</f>
      </c>
      <c r="L75" s="547">
        <f ca="1">_xll.ciqfunctions.udf.CIQ($B75, "IQ_RETURN_ASSETS",IQ_LTM)/100</f>
      </c>
      <c r="M75" s="551">
        <f ca="1">_xll.ciqfunctions.udf.CIQ($B75, "IQ_TOTAL_DEBT_CAPITAL",IQ_FY)/100</f>
      </c>
      <c r="N75" s="551">
        <f ca="1">_xll.ciqfunctions.udf.CIQ($B75, "IQ_TOTAL_DEBT_EBITDA",IQ_FY)</f>
      </c>
      <c r="O75" s="551">
        <f ca="1">_xll.ciqfunctions.udf.CIQ($B75, "IQ_TOTAL_DEBT_EQUITY",IQ_FY)/100</f>
      </c>
      <c r="P75" s="551">
        <f ca="1">_xll.ciqfunctions.udf.CIQ($B75, "IQ_EBITDA_INT",IQ_FY)</f>
      </c>
      <c r="Q75" s="551">
        <f ca="1">_xll.ciqfunctions.udf.CIQ($B75, "IQ_EBITDA_CAPEX_INT",IQ_FY)</f>
      </c>
      <c r="R75" s="551">
        <f ca="1">_xll.ciqfunctions.udf.CIQ($B75, "IQ_EBIT_INT",IQ_FY)</f>
      </c>
      <c r="S75" s="551">
        <f ca="1">_xll.ciqfunctions.udf.CIQ($B75, "IQ_QUICK_RATIO",IQ_FY)</f>
      </c>
      <c r="T75" s="551">
        <f ca="1">_xll.ciqfunctions.udf.CIQ($B75, "IQ_CURRENT_RATIO",IQ_FY)</f>
      </c>
      <c r="U75" s="84">
        <f ca="1">_xll.ciqfunctions.udf.CIQ($B75, "IQ_SP_LC_LT",Current)</f>
      </c>
      <c r="V75" s="84">
        <f ca="1">_xll.ciqfunctions.udf.CIQ($B75, "IQ_SP_OUTLOOK_WATCH",Current)</f>
      </c>
      <c r="W75" s="16"/>
      <c r="X75" s="599" t="str">
        <f ca="1">I106</f>
        <v>IQ285827</v>
      </c>
      <c r="Y75" s="47"/>
      <c r="Z75" s="16">
        <f ca="1">Z56</f>
        <v>1e-12</v>
      </c>
      <c r="AA75" s="16"/>
      <c r="AB75" s="84" t="str">
        <f ca="1">I105</f>
        <v>LMT</v>
      </c>
      <c r="AC75" s="547">
        <f ca="1">_xll.ciqfunctions.udf.CIQ($X75, "IQ_EFFECT_TAX_RATE",IQ_FY)/100</f>
      </c>
      <c r="AD75" s="581">
        <f ca="1">_xll.ciqfunctions.udf.CIQ($X75, "IQ_BETA_5YR",Current_Date)</f>
      </c>
      <c r="AE75" s="547">
        <f ca="1">_xll.ciqfunctions.udf.CIQ($X75, "IQ_DIVIDEND_YIELD",Current_Date)/100</f>
      </c>
      <c r="AF75" s="547">
        <f ca="1">(_xll.ciqfunctions.udf.CIQ($X75,"IQ_OPER_INC",IQ_LTM)*(1-AC75))/(((_xll.ciqfunctions.udf.CIQ($X75,"IQ_TOTAL_DEBT",IQ_LTM))+_xll.ciqfunctions.udf.CIQ($X75,"IQ_TOTAL_EQUITY",IQ_LTM))-_xll.ciqfunctions.udf.CIQ($X75,"IQ_CASH_EQUIV",IQ_LTM))</f>
      </c>
      <c r="AG75" s="547">
        <f ca="1">_xll.ciqfunctions.udf.CIQ($X75, "IQ_RETURN_EQUITY",IQ_LTM)/100</f>
      </c>
      <c r="AH75" s="547">
        <f ca="1">_xll.ciqfunctions.udf.CIQ($X75, "IQ_RETURN_ASSETS",IQ_LTM)/100</f>
      </c>
      <c r="AI75" s="551">
        <f ca="1">_xll.ciqfunctions.udf.CIQ($X75, "IQ_TOTAL_DEBT_CAPITAL",IQ_FY)/100</f>
      </c>
      <c r="AJ75" s="551">
        <f ca="1">_xll.ciqfunctions.udf.CIQ($X75, "IQ_TOTAL_DEBT_EBITDA",IQ_FY)</f>
      </c>
      <c r="AK75" s="551">
        <f ca="1">_xll.ciqfunctions.udf.CIQ($X75, "IQ_TOTAL_DEBT_EQUITY",IQ_FY)/100</f>
      </c>
      <c r="AL75" s="551">
        <f ca="1">_xll.ciqfunctions.udf.CIQ($X75, "IQ_EBITDA_INT",IQ_FY)</f>
      </c>
      <c r="AM75" s="551">
        <f ca="1">_xll.ciqfunctions.udf.CIQ($X75, "IQ_EBITDA_CAPEX_INT",IQ_FY)</f>
      </c>
      <c r="AN75" s="551">
        <f ca="1">_xll.ciqfunctions.udf.CIQ($X75, "IQ_EBIT_INT",IQ_FY)</f>
      </c>
      <c r="AO75" s="581">
        <f ca="1">_xll.ciqfunctions.udf.CIQ($X75, "IQ_QUICK_RATIO",IQ_FY)</f>
      </c>
      <c r="AP75" s="581">
        <f ca="1">_xll.ciqfunctions.udf.CIQ($X75, "IQ_CURRENT_RATIO",IQ_FY)</f>
      </c>
      <c r="AQ75" s="84">
        <f ca="1">_xll.ciqfunctions.udf.CIQ($X75, "IQ_SP_LC_LT",Current)</f>
      </c>
      <c r="AR75" s="84">
        <f ca="1">_xll.ciqfunctions.udf.CIQ($X75, "IQ_SP_OUTLOOK_WATCH",Current)</f>
      </c>
      <c r="AS75" s="4"/>
      <c r="AT75" s="599" t="str">
        <f ca="1">N106</f>
        <v>IQ22751</v>
      </c>
      <c r="AU75" s="47">
        <f ca="1">AU104</f>
        <v>1e-12</v>
      </c>
      <c r="AV75" s="16">
        <f ca="1">AV56</f>
        <v>1e-12</v>
      </c>
      <c r="AW75" s="16"/>
      <c r="AX75" s="84" t="str">
        <f ca="1">AX56</f>
        <v>ROP</v>
      </c>
      <c r="AY75" s="547">
        <f ca="1">_xll.ciqfunctions.udf.CIQ($AT75, "IQ_EFFECT_TAX_RATE",IQ_FY)/100</f>
      </c>
      <c r="AZ75" s="581">
        <f ca="1">_xll.ciqfunctions.udf.CIQ($AT75, "IQ_BETA_5YR",Current_Date)</f>
      </c>
      <c r="BA75" s="547">
        <f ca="1">_xll.ciqfunctions.udf.CIQ($AT75, "IQ_DIVIDEND_YIELD",Current_Date)/100</f>
      </c>
      <c r="BB75" s="547">
        <f ca="1">(_xll.ciqfunctions.udf.CIQ($AT75,"IQ_OPER_INC",IQ_LTM)*(1-AY75))/(((_xll.ciqfunctions.udf.CIQ($AT75,"IQ_TOTAL_DEBT",IQ_LTM))+_xll.ciqfunctions.udf.CIQ($AT75,"IQ_TOTAL_EQUITY",IQ_LTM))-_xll.ciqfunctions.udf.CIQ($AT75,"IQ_CASH_EQUIV",IQ_LTM))</f>
      </c>
      <c r="BC75" s="547">
        <f ca="1">_xll.ciqfunctions.udf.CIQ($AT75, "IQ_RETURN_EQUITY",IQ_LTM)/100</f>
      </c>
      <c r="BD75" s="547">
        <f ca="1">_xll.ciqfunctions.udf.CIQ($AT75, "IQ_RETURN_ASSETS",IQ_LTM)/100</f>
      </c>
      <c r="BE75" s="551">
        <f ca="1">_xll.ciqfunctions.udf.CIQ($AT75, "IQ_TOTAL_DEBT_CAPITAL",IQ_FY)/100</f>
      </c>
      <c r="BF75" s="551">
        <f ca="1">_xll.ciqfunctions.udf.CIQ($AT75, "IQ_TOTAL_DEBT_EBITDA",IQ_FY)</f>
      </c>
      <c r="BG75" s="551">
        <f ca="1">_xll.ciqfunctions.udf.CIQ($AT75, "IQ_TOTAL_DEBT_EQUITY",IQ_FY)/100</f>
      </c>
      <c r="BH75" s="551">
        <f ca="1">_xll.ciqfunctions.udf.CIQ($AT75, "IQ_EBITDA_INT",IQ_FY)</f>
      </c>
      <c r="BI75" s="551">
        <f ca="1">_xll.ciqfunctions.udf.CIQ($AT75, "IQ_EBITDA_CAPEX_INT",IQ_FY)</f>
      </c>
      <c r="BJ75" s="551">
        <f ca="1">_xll.ciqfunctions.udf.CIQ($AT75, "IQ_EBIT_INT",IQ_FY)</f>
      </c>
      <c r="BK75" s="581">
        <f ca="1">_xll.ciqfunctions.udf.CIQ($AT75, "IQ_QUICK_RATIO",IQ_FY)</f>
      </c>
      <c r="BL75" s="581">
        <f ca="1">_xll.ciqfunctions.udf.CIQ($AT75, "IQ_CURRENT_RATIO",IQ_FY)</f>
      </c>
      <c r="BM75" s="84">
        <f ca="1">_xll.ciqfunctions.udf.CIQ($AT75, "IQ_SP_LC_LT",Current)</f>
      </c>
      <c r="BN75" s="84">
        <f ca="1">_xll.ciqfunctions.udf.CIQ($AT75, "IQ_SP_OUTLOOK_WATCH",Current)</f>
      </c>
    </row>
    <row r="76" ht="13.5" customHeight="1" spans="1:66" x14ac:dyDescent="0.25" outlineLevel="1" collapsed="1">
      <c r="A76" s="4"/>
      <c r="B76" s="599" t="str">
        <f ca="1">E110</f>
        <v>IQ29096</v>
      </c>
      <c r="C76" s="599"/>
      <c r="D76" s="16">
        <f ca="1">D57</f>
        <v>1e-12</v>
      </c>
      <c r="E76" s="16"/>
      <c r="F76" s="84" t="str">
        <f ca="1">E109</f>
        <v>""</v>
      </c>
      <c r="G76" s="547">
        <f ca="1">_xll.ciqfunctions.udf.CIQ($B76, "IQ_EFFECT_TAX_RATE",IQ_FY)/100</f>
      </c>
      <c r="H76" s="581">
        <f ca="1">_xll.ciqfunctions.udf.CIQ($B76, "IQ_BETA_5YR",Current_Date)</f>
      </c>
      <c r="I76" s="547">
        <f ca="1">_xll.ciqfunctions.udf.CIQ($B76, "IQ_DIVIDEND_YIELD",Current_Date)/100</f>
      </c>
      <c r="J76" s="547">
        <f ca="1">(_xll.ciqfunctions.udf.CIQ($B76,"IQ_OPER_INC",IQ_LTM)*(1-G76))/(((_xll.ciqfunctions.udf.CIQ($B76,"IQ_TOTAL_DEBT",IQ_LTM))+_xll.ciqfunctions.udf.CIQ($B76,"IQ_TOTAL_EQUITY",IQ_LTM))-_xll.ciqfunctions.udf.CIQ($B76,"IQ_CASH_EQUIV",IQ_LTM))</f>
      </c>
      <c r="K76" s="547">
        <f ca="1">_xll.ciqfunctions.udf.CIQ($B76, "IQ_RETURN_EQUITY",IQ_LTM)/100</f>
      </c>
      <c r="L76" s="547">
        <f ca="1">_xll.ciqfunctions.udf.CIQ($B76, "IQ_RETURN_ASSETS",IQ_LTM)/100</f>
      </c>
      <c r="M76" s="551">
        <f ca="1">_xll.ciqfunctions.udf.CIQ($B76, "IQ_TOTAL_DEBT_CAPITAL",IQ_FY)/100</f>
      </c>
      <c r="N76" s="551">
        <f ca="1">_xll.ciqfunctions.udf.CIQ($B76, "IQ_TOTAL_DEBT_EBITDA",IQ_FY)</f>
      </c>
      <c r="O76" s="551">
        <f ca="1">_xll.ciqfunctions.udf.CIQ($B76, "IQ_TOTAL_DEBT_EQUITY",IQ_FY)/100</f>
      </c>
      <c r="P76" s="551">
        <f ca="1">_xll.ciqfunctions.udf.CIQ($B76, "IQ_EBITDA_INT",IQ_FY)</f>
      </c>
      <c r="Q76" s="551">
        <f ca="1">_xll.ciqfunctions.udf.CIQ($B76, "IQ_EBITDA_CAPEX_INT",IQ_FY)</f>
      </c>
      <c r="R76" s="551">
        <f ca="1">_xll.ciqfunctions.udf.CIQ($B76, "IQ_EBIT_INT",IQ_FY)</f>
      </c>
      <c r="S76" s="551">
        <f ca="1">_xll.ciqfunctions.udf.CIQ($B76, "IQ_QUICK_RATIO",IQ_FY)</f>
      </c>
      <c r="T76" s="551">
        <f ca="1">_xll.ciqfunctions.udf.CIQ($B76, "IQ_CURRENT_RATIO",IQ_FY)</f>
      </c>
      <c r="U76" s="84">
        <f ca="1">_xll.ciqfunctions.udf.CIQ($B76, "IQ_SP_LC_LT",Current)</f>
      </c>
      <c r="V76" s="84">
        <f ca="1">_xll.ciqfunctions.udf.CIQ($B76, "IQ_SP_OUTLOOK_WATCH",Current)</f>
      </c>
      <c r="W76" s="16"/>
      <c r="X76" s="599" t="str">
        <f ca="1">I110</f>
        <v>IQ97199</v>
      </c>
      <c r="Y76" s="47"/>
      <c r="Z76" s="16">
        <f ca="1">Z57</f>
        <v>1e-12</v>
      </c>
      <c r="AA76" s="16"/>
      <c r="AB76" s="84" t="str">
        <f ca="1">I109</f>
        <v>NOC</v>
      </c>
      <c r="AC76" s="547">
        <f ca="1">_xll.ciqfunctions.udf.CIQ($X76, "IQ_EFFECT_TAX_RATE",IQ_FY)/100</f>
      </c>
      <c r="AD76" s="581">
        <f ca="1">_xll.ciqfunctions.udf.CIQ($X76, "IQ_BETA_5YR",Current_Date)</f>
      </c>
      <c r="AE76" s="547">
        <f ca="1">_xll.ciqfunctions.udf.CIQ($X76, "IQ_DIVIDEND_YIELD",Current_Date)/100</f>
      </c>
      <c r="AF76" s="547">
        <f ca="1">(_xll.ciqfunctions.udf.CIQ($X76,"IQ_OPER_INC",IQ_LTM)*(1-AC76))/(((_xll.ciqfunctions.udf.CIQ($X76,"IQ_TOTAL_DEBT",IQ_LTM))+_xll.ciqfunctions.udf.CIQ($X76,"IQ_TOTAL_EQUITY",IQ_LTM))-_xll.ciqfunctions.udf.CIQ($X76,"IQ_CASH_EQUIV",IQ_LTM))</f>
      </c>
      <c r="AG76" s="547">
        <f ca="1">_xll.ciqfunctions.udf.CIQ($X76, "IQ_RETURN_EQUITY",IQ_LTM)/100</f>
      </c>
      <c r="AH76" s="547">
        <f ca="1">_xll.ciqfunctions.udf.CIQ($X76, "IQ_RETURN_ASSETS",IQ_LTM)/100</f>
      </c>
      <c r="AI76" s="551">
        <f ca="1">_xll.ciqfunctions.udf.CIQ($X76, "IQ_TOTAL_DEBT_CAPITAL",IQ_FY)/100</f>
      </c>
      <c r="AJ76" s="551">
        <f ca="1">_xll.ciqfunctions.udf.CIQ($X76, "IQ_TOTAL_DEBT_EBITDA",IQ_FY)</f>
      </c>
      <c r="AK76" s="551">
        <f ca="1">_xll.ciqfunctions.udf.CIQ($X76, "IQ_TOTAL_DEBT_EQUITY",IQ_FY)/100</f>
      </c>
      <c r="AL76" s="551">
        <f ca="1">_xll.ciqfunctions.udf.CIQ($X76, "IQ_EBITDA_INT",IQ_FY)</f>
      </c>
      <c r="AM76" s="551">
        <f ca="1">_xll.ciqfunctions.udf.CIQ($X76, "IQ_EBITDA_CAPEX_INT",IQ_FY)</f>
      </c>
      <c r="AN76" s="551">
        <f ca="1">_xll.ciqfunctions.udf.CIQ($X76, "IQ_EBIT_INT",IQ_FY)</f>
      </c>
      <c r="AO76" s="581">
        <f ca="1">_xll.ciqfunctions.udf.CIQ($X76, "IQ_QUICK_RATIO",IQ_FY)</f>
      </c>
      <c r="AP76" s="581">
        <f ca="1">_xll.ciqfunctions.udf.CIQ($X76, "IQ_CURRENT_RATIO",IQ_FY)</f>
      </c>
      <c r="AQ76" s="84">
        <f ca="1">_xll.ciqfunctions.udf.CIQ($X76, "IQ_SP_LC_LT",Current)</f>
      </c>
      <c r="AR76" s="84">
        <f ca="1">_xll.ciqfunctions.udf.CIQ($X76, "IQ_SP_OUTLOOK_WATCH",Current)</f>
      </c>
      <c r="AS76" s="4"/>
      <c r="AT76" s="599" t="str">
        <f ca="1">N110</f>
        <v>IQ269231</v>
      </c>
      <c r="AU76" s="47">
        <f ca="1">AU108</f>
        <v>1e-12</v>
      </c>
      <c r="AV76" s="16">
        <f ca="1">AV57</f>
        <v>1e-12</v>
      </c>
      <c r="AW76" s="16"/>
      <c r="AX76" s="84" t="str">
        <f ca="1">AX57</f>
        <v>EMR</v>
      </c>
      <c r="AY76" s="547">
        <f ca="1">_xll.ciqfunctions.udf.CIQ($AT76, "IQ_EFFECT_TAX_RATE",IQ_FY)/100</f>
      </c>
      <c r="AZ76" s="581">
        <f ca="1">_xll.ciqfunctions.udf.CIQ($AT76, "IQ_BETA_5YR",Current_Date)</f>
      </c>
      <c r="BA76" s="547">
        <f ca="1">_xll.ciqfunctions.udf.CIQ($AT76, "IQ_DIVIDEND_YIELD",Current_Date)/100</f>
      </c>
      <c r="BB76" s="547">
        <f ca="1">(_xll.ciqfunctions.udf.CIQ($AT76,"IQ_OPER_INC",IQ_LTM)*(1-AY76))/(((_xll.ciqfunctions.udf.CIQ($AT76,"IQ_TOTAL_DEBT",IQ_LTM))+_xll.ciqfunctions.udf.CIQ($AT76,"IQ_TOTAL_EQUITY",IQ_LTM))-_xll.ciqfunctions.udf.CIQ($AT76,"IQ_CASH_EQUIV",IQ_LTM))</f>
      </c>
      <c r="BC76" s="547">
        <f ca="1">_xll.ciqfunctions.udf.CIQ($AT76, "IQ_RETURN_EQUITY",IQ_LTM)/100</f>
      </c>
      <c r="BD76" s="547">
        <f ca="1">_xll.ciqfunctions.udf.CIQ($AT76, "IQ_RETURN_ASSETS",IQ_LTM)/100</f>
      </c>
      <c r="BE76" s="551">
        <f ca="1">_xll.ciqfunctions.udf.CIQ($AT76, "IQ_TOTAL_DEBT_CAPITAL",IQ_FY)/100</f>
      </c>
      <c r="BF76" s="551">
        <f ca="1">_xll.ciqfunctions.udf.CIQ($AT76, "IQ_TOTAL_DEBT_EBITDA",IQ_FY)</f>
      </c>
      <c r="BG76" s="551">
        <f ca="1">_xll.ciqfunctions.udf.CIQ($AT76, "IQ_TOTAL_DEBT_EQUITY",IQ_FY)/100</f>
      </c>
      <c r="BH76" s="551">
        <f ca="1">_xll.ciqfunctions.udf.CIQ($AT76, "IQ_EBITDA_INT",IQ_FY)</f>
      </c>
      <c r="BI76" s="551">
        <f ca="1">_xll.ciqfunctions.udf.CIQ($AT76, "IQ_EBITDA_CAPEX_INT",IQ_FY)</f>
      </c>
      <c r="BJ76" s="551">
        <f ca="1">_xll.ciqfunctions.udf.CIQ($AT76, "IQ_EBIT_INT",IQ_FY)</f>
      </c>
      <c r="BK76" s="581">
        <f ca="1">_xll.ciqfunctions.udf.CIQ($AT76, "IQ_QUICK_RATIO",IQ_FY)</f>
      </c>
      <c r="BL76" s="581">
        <f ca="1">_xll.ciqfunctions.udf.CIQ($AT76, "IQ_CURRENT_RATIO",IQ_FY)</f>
      </c>
      <c r="BM76" s="84">
        <f ca="1">_xll.ciqfunctions.udf.CIQ($AT76, "IQ_SP_LC_LT",Current)</f>
      </c>
      <c r="BN76" s="84">
        <f ca="1">_xll.ciqfunctions.udf.CIQ($AT76, "IQ_SP_OUTLOOK_WATCH",Current)</f>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56" ca="1">D36</f>
        <v>High</v>
      </c>
      <c r="E78" s="609"/>
      <c r="F78" s="610"/>
      <c r="G78" s="611">
        <f ca="1">MAX(G72:G76)</f>
      </c>
      <c r="H78" s="634">
        <f ca="1">MAX(H72:H76)</f>
      </c>
      <c r="I78" s="612">
        <f ca="1">MAX(I72:I76)</f>
      </c>
      <c r="J78" s="612">
        <f ca="1">MAX(J72:J76)</f>
      </c>
      <c r="K78" s="612">
        <f ca="1">MAX(K72:K76)</f>
      </c>
      <c r="L78" s="612">
        <f ca="1">MAX(L72:L76)</f>
      </c>
      <c r="M78" s="613">
        <f ca="1">MAX(M72:M76)</f>
      </c>
      <c r="N78" s="612">
        <f ca="1">MAX(N72:N76)</f>
      </c>
      <c r="O78" s="612">
        <f ca="1">MAX(O72:O76)</f>
      </c>
      <c r="P78" s="613">
        <f ca="1">MAX(P72:P76)</f>
      </c>
      <c r="Q78" s="613">
        <f ca="1">MAX(Q72:Q76)</f>
      </c>
      <c r="R78" s="613">
        <f ca="1">MAX(R72:R76)</f>
      </c>
      <c r="S78" s="613">
        <f ca="1">MAX(S72:S76)</f>
      </c>
      <c r="T78" s="613">
        <f ca="1">MAX(T72:T76)</f>
      </c>
      <c r="U78" s="614"/>
      <c r="V78" s="615"/>
      <c r="W78" s="16"/>
      <c r="X78" s="4"/>
      <c r="Y78" s="47"/>
      <c r="Z78" s="608" t="str">
        <f t="shared" ref="Z78:Z81" si="57" ca="1">Z36</f>
        <v>High</v>
      </c>
      <c r="AA78" s="609"/>
      <c r="AB78" s="610"/>
      <c r="AC78" s="611">
        <f ca="1">MAX(AC72:AC76)</f>
      </c>
      <c r="AD78" s="634">
        <f ca="1">MAX(AD72:AD76)</f>
      </c>
      <c r="AE78" s="612">
        <f ca="1">MAX(AE72:AE76)</f>
      </c>
      <c r="AF78" s="612">
        <f ca="1">MAX(AF72:AF76)</f>
      </c>
      <c r="AG78" s="612">
        <f ca="1">MAX(AG72:AG76)</f>
      </c>
      <c r="AH78" s="612">
        <f ca="1">MAX(AH72:AH76)</f>
      </c>
      <c r="AI78" s="613">
        <f ca="1">MAX(AI72:AI76)</f>
      </c>
      <c r="AJ78" s="612">
        <f ca="1">MAX(AJ72:AJ76)</f>
      </c>
      <c r="AK78" s="614">
        <f ca="1">MAX(AK72:AK76)</f>
      </c>
      <c r="AL78" s="614">
        <f ca="1">MAX(AL72:AL76)</f>
      </c>
      <c r="AM78" s="614">
        <f ca="1">MAX(AM72:AM76)</f>
      </c>
      <c r="AN78" s="614">
        <f ca="1">MAX(AN72:AN76)</f>
      </c>
      <c r="AO78" s="614">
        <f ca="1">MAX(AO72:AO76)</f>
      </c>
      <c r="AP78" s="614">
        <f ca="1">MAX(AP72:AP76)</f>
      </c>
      <c r="AQ78" s="614"/>
      <c r="AR78" s="615"/>
      <c r="AS78" s="4"/>
      <c r="AT78" s="4"/>
      <c r="AU78" s="47"/>
      <c r="AV78" s="608" t="str">
        <f t="shared" ref="AV78:AV81" si="58" ca="1">AV36</f>
        <v>High</v>
      </c>
      <c r="AW78" s="609"/>
      <c r="AX78" s="610"/>
      <c r="AY78" s="611">
        <f ca="1">MAX(AY72:AY76)</f>
      </c>
      <c r="AZ78" s="611">
        <f ca="1">MAX(AZ72:AZ76)</f>
      </c>
      <c r="BA78" s="612">
        <f ca="1">MAX(BA72:BA76)</f>
      </c>
      <c r="BB78" s="612">
        <f ca="1">MAX(BB72:BB76)</f>
      </c>
      <c r="BC78" s="612">
        <f ca="1">MAX(BC72:BC76)</f>
      </c>
      <c r="BD78" s="612">
        <f ca="1">MAX(BD72:BD76)</f>
      </c>
      <c r="BE78" s="612">
        <f ca="1">MAX(BE72:BE76)</f>
      </c>
      <c r="BF78" s="612">
        <f ca="1">MAX(BF72:BF76)</f>
      </c>
      <c r="BG78" s="612">
        <f ca="1">MAX(BG72:BG76)</f>
      </c>
      <c r="BH78" s="612">
        <f ca="1">MAX(BH72:BH76)</f>
      </c>
      <c r="BI78" s="613">
        <f ca="1">MAX(BI72:BI76)</f>
      </c>
      <c r="BJ78" s="614">
        <f ca="1">MAX(BJ72:BJ76)</f>
      </c>
      <c r="BK78" s="614">
        <f ca="1">MAX(BK72:BK76)</f>
      </c>
      <c r="BL78" s="614">
        <f ca="1">MAX(BL72:BL76)</f>
      </c>
      <c r="BM78" s="614"/>
      <c r="BN78" s="615"/>
    </row>
    <row r="79" ht="13.5" customHeight="1" spans="1:66" x14ac:dyDescent="0.25" outlineLevel="1" collapsed="1">
      <c r="A79" s="4"/>
      <c r="B79" s="47"/>
      <c r="C79" s="47"/>
      <c r="D79" s="616" t="str">
        <f ca="1">D37</f>
        <v>Mean</v>
      </c>
      <c r="E79" s="617"/>
      <c r="F79" s="618"/>
      <c r="G79" s="619">
        <f ca="1">AVERAGE(G72:G76)</f>
      </c>
      <c r="H79" s="635">
        <f ca="1">AVERAGE(H72:H76)</f>
      </c>
      <c r="I79" s="620">
        <f ca="1">AVERAGE(I72:I76)</f>
      </c>
      <c r="J79" s="620">
        <f ca="1">AVERAGE(J72:J76)</f>
      </c>
      <c r="K79" s="620">
        <f ca="1">AVERAGE(K72:K76)</f>
      </c>
      <c r="L79" s="620">
        <f ca="1">AVERAGE(L72:L76)</f>
      </c>
      <c r="M79" s="636">
        <f ca="1">AVERAGE(M72:M76)</f>
      </c>
      <c r="N79" s="620">
        <f ca="1">AVERAGE(N72:N76)</f>
      </c>
      <c r="O79" s="620">
        <f ca="1">AVERAGE(O72:O76)</f>
      </c>
      <c r="P79" s="636">
        <f ca="1">AVERAGE(P72:P76)</f>
      </c>
      <c r="Q79" s="636">
        <f ca="1">AVERAGE(Q72:Q76)</f>
      </c>
      <c r="R79" s="636">
        <f ca="1">AVERAGE(R72:R76)</f>
      </c>
      <c r="S79" s="636">
        <f ca="1">AVERAGE(S72:S76)</f>
      </c>
      <c r="T79" s="636">
        <f ca="1">AVERAGE(T72:T76)</f>
      </c>
      <c r="U79" s="622"/>
      <c r="V79" s="623"/>
      <c r="W79" s="16"/>
      <c r="X79" s="4"/>
      <c r="Y79" s="47"/>
      <c r="Z79" s="616" t="str">
        <f ca="1">Z37</f>
        <v>Mean</v>
      </c>
      <c r="AA79" s="617"/>
      <c r="AB79" s="618"/>
      <c r="AC79" s="619">
        <f ca="1">AVERAGE(AC72:AC76)</f>
      </c>
      <c r="AD79" s="635">
        <f ca="1">AVERAGE(AD72:AD76)</f>
      </c>
      <c r="AE79" s="620">
        <f ca="1">AVERAGE(AE72:AE76)</f>
      </c>
      <c r="AF79" s="620">
        <f ca="1">AVERAGE(AF72:AF76)</f>
      </c>
      <c r="AG79" s="620">
        <f ca="1">AVERAGE(AG72:AG76)</f>
      </c>
      <c r="AH79" s="620">
        <f ca="1">AVERAGE(AH72:AH76)</f>
      </c>
      <c r="AI79" s="621">
        <f ca="1">AVERAGE(AI72:AI76)</f>
      </c>
      <c r="AJ79" s="620">
        <f ca="1">AVERAGE(AJ72:AJ76)</f>
      </c>
      <c r="AK79" s="622">
        <f ca="1">AVERAGE(AK72:AK76)</f>
      </c>
      <c r="AL79" s="622">
        <f ca="1">AVERAGE(AL72:AL76)</f>
      </c>
      <c r="AM79" s="622">
        <f ca="1">AVERAGE(AM72:AM76)</f>
      </c>
      <c r="AN79" s="622">
        <f ca="1">AVERAGE(AN72:AN76)</f>
      </c>
      <c r="AO79" s="622">
        <f ca="1">AVERAGE(AO72:AO76)</f>
      </c>
      <c r="AP79" s="622">
        <f ca="1">AVERAGE(AP72:AP76)</f>
      </c>
      <c r="AQ79" s="622"/>
      <c r="AR79" s="623"/>
      <c r="AS79" s="4"/>
      <c r="AT79" s="4"/>
      <c r="AU79" s="47"/>
      <c r="AV79" s="616" t="str">
        <f ca="1">AV37</f>
        <v>Mean</v>
      </c>
      <c r="AW79" s="617"/>
      <c r="AX79" s="618"/>
      <c r="AY79" s="619">
        <f ca="1">AVERAGE(AY72:AY76)</f>
      </c>
      <c r="AZ79" s="619">
        <f ca="1">AVERAGE(AZ72:AZ76)</f>
      </c>
      <c r="BA79" s="620">
        <f ca="1">AVERAGE(BA72:BA76)</f>
      </c>
      <c r="BB79" s="620">
        <f ca="1">AVERAGE(BB72:BB76)</f>
      </c>
      <c r="BC79" s="620">
        <f ca="1">AVERAGE(BC72:BC76)</f>
      </c>
      <c r="BD79" s="620">
        <f ca="1">AVERAGE(BD72:BD76)</f>
      </c>
      <c r="BE79" s="620">
        <f ca="1">AVERAGE(BE72:BE76)</f>
      </c>
      <c r="BF79" s="620">
        <f ca="1">AVERAGE(BF72:BF76)</f>
      </c>
      <c r="BG79" s="620">
        <f ca="1">AVERAGE(BG72:BG76)</f>
      </c>
      <c r="BH79" s="620">
        <f ca="1">AVERAGE(BH72:BH76)</f>
      </c>
      <c r="BI79" s="621">
        <f ca="1">AVERAGE(BI72:BI76)</f>
      </c>
      <c r="BJ79" s="622">
        <f ca="1">AVERAGE(BJ72:BJ76)</f>
      </c>
      <c r="BK79" s="622">
        <f ca="1">AVERAGE(BK72:BK76)</f>
      </c>
      <c r="BL79" s="622">
        <f ca="1">AVERAGE(BL72:BL76)</f>
      </c>
      <c r="BM79" s="622"/>
      <c r="BN79" s="623"/>
    </row>
    <row r="80" ht="13.5" customHeight="1" spans="1:66" x14ac:dyDescent="0.25" outlineLevel="1" collapsed="1">
      <c r="A80" s="4"/>
      <c r="B80" s="47"/>
      <c r="C80" s="47"/>
      <c r="D80" s="616" t="str">
        <f ca="1">D38</f>
        <v>Median</v>
      </c>
      <c r="E80" s="617"/>
      <c r="F80" s="617"/>
      <c r="G80" s="619">
        <f ca="1">MEDIAN(G72:G76)</f>
      </c>
      <c r="H80" s="635">
        <f ca="1">MEDIAN(H72:H76)</f>
      </c>
      <c r="I80" s="620">
        <f ca="1">MEDIAN(I72:I76)</f>
      </c>
      <c r="J80" s="620">
        <f ca="1">MEDIAN(J72:J76)</f>
      </c>
      <c r="K80" s="620">
        <f ca="1">MEDIAN(K72:K76)</f>
      </c>
      <c r="L80" s="620">
        <f ca="1">MEDIAN(L72:L76)</f>
      </c>
      <c r="M80" s="636">
        <f ca="1">MEDIAN(M72:M76)</f>
      </c>
      <c r="N80" s="620">
        <f ca="1">MEDIAN(N72:N76)</f>
      </c>
      <c r="O80" s="620">
        <f ca="1">MEDIAN(O72:O76)</f>
      </c>
      <c r="P80" s="636">
        <f ca="1">MEDIAN(P72:P76)</f>
      </c>
      <c r="Q80" s="636">
        <f ca="1">MEDIAN(Q72:Q76)</f>
      </c>
      <c r="R80" s="636">
        <f ca="1">MEDIAN(R72:R76)</f>
      </c>
      <c r="S80" s="636">
        <f ca="1">MEDIAN(S72:S76)</f>
      </c>
      <c r="T80" s="636">
        <f ca="1">MEDIAN(T72:T76)</f>
      </c>
      <c r="U80" s="622"/>
      <c r="V80" s="623"/>
      <c r="W80" s="16"/>
      <c r="X80" s="4"/>
      <c r="Y80" s="47"/>
      <c r="Z80" s="616" t="str">
        <f ca="1">Z38</f>
        <v>Median</v>
      </c>
      <c r="AA80" s="617"/>
      <c r="AB80" s="617"/>
      <c r="AC80" s="619">
        <f ca="1">MEDIAN(AC72:AC76)</f>
      </c>
      <c r="AD80" s="635">
        <f ca="1">MEDIAN(AD72:AD76)</f>
      </c>
      <c r="AE80" s="620">
        <f ca="1">MEDIAN(AE72:AE76)</f>
      </c>
      <c r="AF80" s="620">
        <f ca="1">MEDIAN(AF72:AF76)</f>
      </c>
      <c r="AG80" s="620">
        <f ca="1">MEDIAN(AG72:AG76)</f>
      </c>
      <c r="AH80" s="620">
        <f ca="1">MEDIAN(AH72:AH76)</f>
      </c>
      <c r="AI80" s="621">
        <f ca="1">MEDIAN(AI72:AI76)</f>
      </c>
      <c r="AJ80" s="620">
        <f ca="1">MEDIAN(AJ72:AJ76)</f>
      </c>
      <c r="AK80" s="622">
        <f ca="1">MEDIAN(AK72:AK76)</f>
      </c>
      <c r="AL80" s="622">
        <f ca="1">MEDIAN(AL72:AL76)</f>
      </c>
      <c r="AM80" s="622">
        <f ca="1">MEDIAN(AM72:AM76)</f>
      </c>
      <c r="AN80" s="622">
        <f ca="1">MEDIAN(AN72:AN76)</f>
      </c>
      <c r="AO80" s="622">
        <f ca="1">MEDIAN(AO72:AO76)</f>
      </c>
      <c r="AP80" s="622">
        <f ca="1">MEDIAN(AP72:AP76)</f>
      </c>
      <c r="AQ80" s="622"/>
      <c r="AR80" s="623"/>
      <c r="AS80" s="4"/>
      <c r="AT80" s="4"/>
      <c r="AU80" s="47"/>
      <c r="AV80" s="616" t="str">
        <f ca="1">AV38</f>
        <v>Median</v>
      </c>
      <c r="AW80" s="617"/>
      <c r="AX80" s="617"/>
      <c r="AY80" s="619">
        <f ca="1">MEDIAN(AY72:AY76)</f>
      </c>
      <c r="AZ80" s="619">
        <f ca="1">MEDIAN(AZ72:AZ76)</f>
      </c>
      <c r="BA80" s="620">
        <f ca="1">MEDIAN(BA72:BA76)</f>
      </c>
      <c r="BB80" s="620">
        <f ca="1">MEDIAN(BB72:BB76)</f>
      </c>
      <c r="BC80" s="620">
        <f ca="1">MEDIAN(BC72:BC76)</f>
      </c>
      <c r="BD80" s="620">
        <f ca="1">MEDIAN(BD72:BD76)</f>
      </c>
      <c r="BE80" s="620">
        <f ca="1">MEDIAN(BE72:BE76)</f>
      </c>
      <c r="BF80" s="620">
        <f ca="1">MEDIAN(BF72:BF76)</f>
      </c>
      <c r="BG80" s="620">
        <f ca="1">MEDIAN(BG72:BG76)</f>
      </c>
      <c r="BH80" s="620">
        <f ca="1">MEDIAN(BH72:BH76)</f>
      </c>
      <c r="BI80" s="621">
        <f ca="1">MEDIAN(BI72:BI76)</f>
      </c>
      <c r="BJ80" s="622">
        <f ca="1">MEDIAN(BJ72:BJ76)</f>
      </c>
      <c r="BK80" s="622">
        <f ca="1">MEDIAN(BK72:BK76)</f>
      </c>
      <c r="BL80" s="622">
        <f ca="1">MEDIAN(BL72:BL76)</f>
      </c>
      <c r="BM80" s="622"/>
      <c r="BN80" s="623"/>
    </row>
    <row r="81" ht="13.5" customHeight="1" spans="1:66" x14ac:dyDescent="0.25" outlineLevel="1" collapsed="1">
      <c r="A81" s="4"/>
      <c r="B81" s="47"/>
      <c r="C81" s="47"/>
      <c r="D81" s="624" t="str">
        <f ca="1">D39</f>
        <v>Low</v>
      </c>
      <c r="E81" s="625"/>
      <c r="F81" s="625"/>
      <c r="G81" s="626">
        <f ca="1">MIN(G72:G76)</f>
      </c>
      <c r="H81" s="637">
        <f ca="1">MIN(H72:H76)</f>
      </c>
      <c r="I81" s="627">
        <f ca="1">MIN(I72:I76)</f>
      </c>
      <c r="J81" s="627">
        <f ca="1">MIN(J72:J76)</f>
      </c>
      <c r="K81" s="627">
        <f ca="1">MIN(K72:K76)</f>
      </c>
      <c r="L81" s="627">
        <f ca="1">MIN(L72:L76)</f>
      </c>
      <c r="M81" s="638">
        <f ca="1">MIN(M72:M76)</f>
      </c>
      <c r="N81" s="627">
        <f ca="1">MIN(N72:N76)</f>
      </c>
      <c r="O81" s="627">
        <f ca="1">MIN(O72:O76)</f>
      </c>
      <c r="P81" s="638">
        <f ca="1">MIN(P72:P76)</f>
      </c>
      <c r="Q81" s="638">
        <f ca="1">MIN(Q72:Q76)</f>
      </c>
      <c r="R81" s="638">
        <f ca="1">MIN(R72:R76)</f>
      </c>
      <c r="S81" s="638">
        <f ca="1">MIN(S72:S76)</f>
      </c>
      <c r="T81" s="638">
        <f ca="1">MIN(T72:T76)</f>
      </c>
      <c r="U81" s="629"/>
      <c r="V81" s="630"/>
      <c r="W81" s="16"/>
      <c r="X81" s="4"/>
      <c r="Y81" s="47"/>
      <c r="Z81" s="624" t="str">
        <f ca="1">Z39</f>
        <v>Low</v>
      </c>
      <c r="AA81" s="625"/>
      <c r="AB81" s="625"/>
      <c r="AC81" s="626">
        <f ca="1">MIN(AC72:AC76)</f>
      </c>
      <c r="AD81" s="637">
        <f ca="1">MIN(AD72:AD76)</f>
      </c>
      <c r="AE81" s="627">
        <f ca="1">MIN(AE72:AE76)</f>
      </c>
      <c r="AF81" s="627">
        <f ca="1">MIN(AF72:AF76)</f>
      </c>
      <c r="AG81" s="627">
        <f ca="1">MIN(AG72:AG76)</f>
      </c>
      <c r="AH81" s="627">
        <f ca="1">MIN(AH72:AH76)</f>
      </c>
      <c r="AI81" s="628">
        <f ca="1">MIN(AI72:AI76)</f>
      </c>
      <c r="AJ81" s="627">
        <f ca="1">MIN(AJ72:AJ76)</f>
      </c>
      <c r="AK81" s="629">
        <f ca="1">MIN(AK72:AK76)</f>
      </c>
      <c r="AL81" s="629">
        <f ca="1">MIN(AL72:AL76)</f>
      </c>
      <c r="AM81" s="629">
        <f ca="1">MIN(AM72:AM76)</f>
      </c>
      <c r="AN81" s="629">
        <f ca="1">MIN(AN72:AN76)</f>
      </c>
      <c r="AO81" s="629">
        <f ca="1">MIN(AO72:AO76)</f>
      </c>
      <c r="AP81" s="629">
        <f ca="1">MIN(AP72:AP76)</f>
      </c>
      <c r="AQ81" s="629"/>
      <c r="AR81" s="630"/>
      <c r="AS81" s="4"/>
      <c r="AT81" s="4"/>
      <c r="AU81" s="47"/>
      <c r="AV81" s="624" t="str">
        <f ca="1">AV39</f>
        <v>Low</v>
      </c>
      <c r="AW81" s="625"/>
      <c r="AX81" s="625"/>
      <c r="AY81" s="626">
        <f ca="1">MIN(AY72:AY76)</f>
      </c>
      <c r="AZ81" s="626">
        <f ca="1">MIN(AZ72:AZ76)</f>
      </c>
      <c r="BA81" s="627">
        <f ca="1">MIN(BA72:BA76)</f>
      </c>
      <c r="BB81" s="627">
        <f ca="1">MIN(BB72:BB76)</f>
      </c>
      <c r="BC81" s="627">
        <f ca="1">MIN(BC72:BC76)</f>
      </c>
      <c r="BD81" s="627">
        <f ca="1">MIN(BD72:BD76)</f>
      </c>
      <c r="BE81" s="627">
        <f ca="1">MIN(BE72:BE76)</f>
      </c>
      <c r="BF81" s="627">
        <f ca="1">MIN(BF72:BF76)</f>
      </c>
      <c r="BG81" s="627">
        <f ca="1">MIN(BG72:BG76)</f>
      </c>
      <c r="BH81" s="627">
        <f ca="1">MIN(BH72:BH76)</f>
      </c>
      <c r="BI81" s="628">
        <f ca="1">MIN(BI72:BI76)</f>
      </c>
      <c r="BJ81" s="629">
        <f ca="1">MIN(BJ72:BJ76)</f>
      </c>
      <c r="BK81" s="629">
        <f ca="1">MIN(BK72:BK76)</f>
      </c>
      <c r="BL81" s="629">
        <f ca="1">MIN(BL72:BL76)</f>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555</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 ca="1">S88</f>
        <v>Primary Peer Group</v>
      </c>
      <c r="E86" s="20"/>
      <c r="F86" s="17" t="s">
        <v>1</v>
      </c>
      <c r="G86" s="18" t="str">
        <f ca="1">S89</f>
        <v>Defense Peer Group</v>
      </c>
      <c r="H86" s="19"/>
      <c r="I86" s="19"/>
      <c r="J86" s="20"/>
      <c r="K86" s="16"/>
      <c r="L86" s="18" t="str">
        <f ca="1">S90</f>
        <v>Cap. Goods Peer Group</v>
      </c>
      <c r="M86" s="19"/>
      <c r="N86" s="19"/>
      <c r="O86" s="20"/>
      <c r="P86" s="16"/>
      <c r="Q86" s="18" t="s">
        <v>556</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557</v>
      </c>
      <c r="E88" s="283" t="str">
        <f ca="1">Company_Name</f>
        <v>Lowe's Companies, Inc.</v>
      </c>
      <c r="F88" s="16"/>
      <c r="G88" s="190" t="s">
        <v>557</v>
      </c>
      <c r="H88" s="132"/>
      <c r="I88" s="132" t="str">
        <f ca="1">Company_Name</f>
        <v>Lowe's Companies, Inc.</v>
      </c>
      <c r="J88" s="283"/>
      <c r="K88" s="16"/>
      <c r="L88" s="190" t="s">
        <v>557</v>
      </c>
      <c r="M88" s="132"/>
      <c r="N88" s="132" t="str">
        <f ca="1">Company_Name</f>
        <v>Lowe's Companies, Inc.</v>
      </c>
      <c r="O88" s="283"/>
      <c r="P88" s="16"/>
      <c r="Q88" s="190" t="s">
        <v>558</v>
      </c>
      <c r="R88" s="132"/>
      <c r="S88" s="640" t="s">
        <v>559</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560</v>
      </c>
      <c r="E89" s="189" t="str">
        <f ca="1">Ticker</f>
        <v>LOW</v>
      </c>
      <c r="F89" s="16"/>
      <c r="G89" s="188" t="s">
        <v>560</v>
      </c>
      <c r="H89" s="16"/>
      <c r="I89" s="16" t="str">
        <f ca="1">Ticker</f>
        <v>LOW</v>
      </c>
      <c r="J89" s="189"/>
      <c r="K89" s="16"/>
      <c r="L89" s="188" t="s">
        <v>560</v>
      </c>
      <c r="M89" s="16"/>
      <c r="N89" s="16" t="str">
        <f ca="1">Ticker</f>
        <v>LOW</v>
      </c>
      <c r="O89" s="189"/>
      <c r="P89" s="16"/>
      <c r="Q89" s="188" t="s">
        <v>561</v>
      </c>
      <c r="R89" s="16"/>
      <c r="S89" s="641" t="s">
        <v>562</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563</v>
      </c>
      <c r="E90" s="642" t="s">
        <v>564</v>
      </c>
      <c r="F90" s="16"/>
      <c r="G90" s="192" t="s">
        <v>563</v>
      </c>
      <c r="H90" s="131"/>
      <c r="I90" s="131" t="str">
        <f ca="1">$E$90</f>
        <v>IQ180871</v>
      </c>
      <c r="J90" s="643"/>
      <c r="K90" s="16"/>
      <c r="L90" s="192" t="s">
        <v>563</v>
      </c>
      <c r="M90" s="131"/>
      <c r="N90" s="131" t="str">
        <f ca="1">$E$90</f>
        <v>IQ180871</v>
      </c>
      <c r="O90" s="643"/>
      <c r="P90" s="16"/>
      <c r="Q90" s="192" t="s">
        <v>565</v>
      </c>
      <c r="R90" s="131"/>
      <c r="S90" s="644" t="s">
        <v>566</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567</v>
      </c>
      <c r="E92" s="645" t="s">
        <v>568</v>
      </c>
      <c r="F92" s="16"/>
      <c r="G92" s="190" t="s">
        <v>567</v>
      </c>
      <c r="H92" s="132"/>
      <c r="I92" s="640" t="s">
        <v>569</v>
      </c>
      <c r="J92" s="283"/>
      <c r="K92" s="16"/>
      <c r="L92" s="190" t="s">
        <v>567</v>
      </c>
      <c r="M92" s="132"/>
      <c r="N92" s="640" t="s">
        <v>570</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560</v>
      </c>
      <c r="E93" s="646" t="s">
        <v>571</v>
      </c>
      <c r="F93" s="16"/>
      <c r="G93" s="188" t="s">
        <v>560</v>
      </c>
      <c r="H93" s="16"/>
      <c r="I93" s="641" t="s">
        <v>503</v>
      </c>
      <c r="J93" s="189"/>
      <c r="K93" s="16"/>
      <c r="L93" s="188" t="s">
        <v>560</v>
      </c>
      <c r="M93" s="16"/>
      <c r="N93" s="641" t="s">
        <v>504</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563</v>
      </c>
      <c r="E94" s="642" t="s">
        <v>572</v>
      </c>
      <c r="F94" s="16"/>
      <c r="G94" s="192" t="s">
        <v>563</v>
      </c>
      <c r="H94" s="131"/>
      <c r="I94" s="644" t="s">
        <v>573</v>
      </c>
      <c r="J94" s="643"/>
      <c r="K94" s="16"/>
      <c r="L94" s="192" t="s">
        <v>563</v>
      </c>
      <c r="M94" s="131"/>
      <c r="N94" s="644" t="s">
        <v>574</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567</v>
      </c>
      <c r="E96" s="645" t="s">
        <v>575</v>
      </c>
      <c r="F96" s="16"/>
      <c r="G96" s="190" t="s">
        <v>567</v>
      </c>
      <c r="H96" s="132"/>
      <c r="I96" s="640" t="s">
        <v>576</v>
      </c>
      <c r="J96" s="283"/>
      <c r="K96" s="16"/>
      <c r="L96" s="190" t="s">
        <v>567</v>
      </c>
      <c r="M96" s="132"/>
      <c r="N96" s="640" t="s">
        <v>577</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560</v>
      </c>
      <c r="E97" s="646" t="s">
        <v>454</v>
      </c>
      <c r="F97" s="16"/>
      <c r="G97" s="188" t="s">
        <v>560</v>
      </c>
      <c r="H97" s="16"/>
      <c r="I97" s="641" t="s">
        <v>506</v>
      </c>
      <c r="J97" s="189"/>
      <c r="K97" s="16"/>
      <c r="L97" s="188" t="s">
        <v>560</v>
      </c>
      <c r="M97" s="16"/>
      <c r="N97" s="641" t="s">
        <v>508</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563</v>
      </c>
      <c r="E98" s="642" t="s">
        <v>578</v>
      </c>
      <c r="F98" s="16"/>
      <c r="G98" s="192" t="s">
        <v>563</v>
      </c>
      <c r="H98" s="131"/>
      <c r="I98" s="644" t="s">
        <v>579</v>
      </c>
      <c r="J98" s="643"/>
      <c r="K98" s="16"/>
      <c r="L98" s="192" t="s">
        <v>563</v>
      </c>
      <c r="M98" s="131"/>
      <c r="N98" s="644" t="s">
        <v>580</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567</v>
      </c>
      <c r="E100" s="645" t="s">
        <v>581</v>
      </c>
      <c r="F100" s="16"/>
      <c r="G100" s="190" t="s">
        <v>567</v>
      </c>
      <c r="H100" s="132"/>
      <c r="I100" s="640" t="s">
        <v>582</v>
      </c>
      <c r="J100" s="283"/>
      <c r="K100" s="16"/>
      <c r="L100" s="190" t="s">
        <v>567</v>
      </c>
      <c r="M100" s="132"/>
      <c r="N100" s="640" t="s">
        <v>583</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560</v>
      </c>
      <c r="E101" s="646" t="s">
        <v>454</v>
      </c>
      <c r="F101" s="16"/>
      <c r="G101" s="188" t="s">
        <v>560</v>
      </c>
      <c r="H101" s="47"/>
      <c r="I101" s="641" t="s">
        <v>510</v>
      </c>
      <c r="J101" s="189"/>
      <c r="K101" s="16"/>
      <c r="L101" s="188" t="s">
        <v>560</v>
      </c>
      <c r="M101" s="47"/>
      <c r="N101" s="641" t="s">
        <v>511</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563</v>
      </c>
      <c r="E102" s="642" t="s">
        <v>584</v>
      </c>
      <c r="F102" s="16"/>
      <c r="G102" s="192" t="s">
        <v>563</v>
      </c>
      <c r="H102" s="131"/>
      <c r="I102" s="644" t="s">
        <v>585</v>
      </c>
      <c r="J102" s="643"/>
      <c r="K102" s="16"/>
      <c r="L102" s="192" t="s">
        <v>563</v>
      </c>
      <c r="M102" s="131"/>
      <c r="N102" s="644" t="s">
        <v>586</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567</v>
      </c>
      <c r="E104" s="645" t="s">
        <v>587</v>
      </c>
      <c r="F104" s="16"/>
      <c r="G104" s="190" t="s">
        <v>567</v>
      </c>
      <c r="H104" s="132"/>
      <c r="I104" s="640" t="s">
        <v>588</v>
      </c>
      <c r="J104" s="283"/>
      <c r="K104" s="16"/>
      <c r="L104" s="190" t="s">
        <v>567</v>
      </c>
      <c r="M104" s="132"/>
      <c r="N104" s="640" t="s">
        <v>589</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560</v>
      </c>
      <c r="E105" s="646" t="s">
        <v>454</v>
      </c>
      <c r="F105" s="16"/>
      <c r="G105" s="188" t="s">
        <v>560</v>
      </c>
      <c r="H105" s="16"/>
      <c r="I105" s="641" t="s">
        <v>513</v>
      </c>
      <c r="J105" s="189"/>
      <c r="K105" s="16"/>
      <c r="L105" s="188" t="s">
        <v>560</v>
      </c>
      <c r="M105" s="16"/>
      <c r="N105" s="641" t="s">
        <v>514</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563</v>
      </c>
      <c r="E106" s="642" t="s">
        <v>590</v>
      </c>
      <c r="F106" s="16"/>
      <c r="G106" s="192" t="s">
        <v>563</v>
      </c>
      <c r="H106" s="131"/>
      <c r="I106" s="644" t="s">
        <v>591</v>
      </c>
      <c r="J106" s="643"/>
      <c r="K106" s="16"/>
      <c r="L106" s="192" t="s">
        <v>563</v>
      </c>
      <c r="M106" s="131"/>
      <c r="N106" s="644" t="s">
        <v>592</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567</v>
      </c>
      <c r="E108" s="645" t="s">
        <v>593</v>
      </c>
      <c r="F108" s="16"/>
      <c r="G108" s="190" t="s">
        <v>567</v>
      </c>
      <c r="H108" s="132"/>
      <c r="I108" s="640" t="s">
        <v>594</v>
      </c>
      <c r="J108" s="283"/>
      <c r="K108" s="16"/>
      <c r="L108" s="190" t="s">
        <v>567</v>
      </c>
      <c r="M108" s="132"/>
      <c r="N108" s="640" t="s">
        <v>595</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560</v>
      </c>
      <c r="E109" s="646" t="s">
        <v>454</v>
      </c>
      <c r="F109" s="16"/>
      <c r="G109" s="188" t="s">
        <v>560</v>
      </c>
      <c r="H109" s="16"/>
      <c r="I109" s="641" t="s">
        <v>516</v>
      </c>
      <c r="J109" s="189"/>
      <c r="K109" s="16"/>
      <c r="L109" s="188" t="s">
        <v>560</v>
      </c>
      <c r="M109" s="16"/>
      <c r="N109" s="641" t="s">
        <v>517</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563</v>
      </c>
      <c r="E110" s="642" t="s">
        <v>596</v>
      </c>
      <c r="F110" s="16"/>
      <c r="G110" s="192" t="s">
        <v>563</v>
      </c>
      <c r="H110" s="131"/>
      <c r="I110" s="644" t="s">
        <v>597</v>
      </c>
      <c r="J110" s="643"/>
      <c r="K110" s="16"/>
      <c r="L110" s="192" t="s">
        <v>563</v>
      </c>
      <c r="M110" s="131"/>
      <c r="N110" s="644" t="s">
        <v>598</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599</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f ca="1">_xll.ciqfunctions.udf.CIQ("3304","iq_ev_over_ltm_ebitda")</f>
      </c>
    </row>
    <row r="3" ht="12.75" customHeight="1" spans="1:29" x14ac:dyDescent="0.25">
      <c r="A3" s="16"/>
      <c r="B3" s="16" t="s">
        <v>600</v>
      </c>
      <c r="C3" s="16"/>
      <c r="D3" s="16"/>
      <c r="E3" s="16"/>
      <c r="F3" s="16"/>
      <c r="G3" s="16"/>
      <c r="H3" s="647"/>
      <c r="I3" s="647"/>
      <c r="J3" s="647"/>
      <c r="K3" s="647"/>
      <c r="L3" s="647">
        <f t="shared" ref="L3:L6" si="0" ca="1">L2+1</f>
        <v>2</v>
      </c>
      <c r="M3" s="647"/>
      <c r="N3" s="647"/>
      <c r="O3" s="647"/>
      <c r="P3" s="647"/>
      <c r="Q3" s="647"/>
      <c r="R3" s="647"/>
      <c r="S3" s="647"/>
      <c r="T3" s="647"/>
      <c r="U3" s="16"/>
      <c r="V3" s="16"/>
      <c r="W3" s="16"/>
      <c r="X3" s="16"/>
      <c r="Y3" s="16"/>
      <c r="Z3" s="16"/>
      <c r="AA3" s="16"/>
      <c r="AB3" s="16"/>
      <c r="AC3" s="16"/>
    </row>
    <row r="4" ht="12.75" customHeight="1" spans="1:29" x14ac:dyDescent="0.25">
      <c r="A4" s="16"/>
      <c r="B4" s="16" t="s">
        <v>601</v>
      </c>
      <c r="C4" s="16"/>
      <c r="D4" s="16"/>
      <c r="E4" s="16"/>
      <c r="F4" s="16"/>
      <c r="G4" s="16"/>
      <c r="H4" s="647"/>
      <c r="I4" s="647"/>
      <c r="J4" s="647"/>
      <c r="K4" s="647"/>
      <c r="L4" s="647">
        <f ca="1">L3+1</f>
        <v>3</v>
      </c>
      <c r="M4" s="647"/>
      <c r="N4" s="647"/>
      <c r="O4" s="647"/>
      <c r="P4" s="647"/>
      <c r="Q4" s="647"/>
      <c r="R4" s="647"/>
      <c r="S4" s="647"/>
      <c r="T4" s="647"/>
      <c r="U4" s="16"/>
      <c r="V4" s="16"/>
      <c r="W4" s="16"/>
      <c r="X4" s="16"/>
      <c r="Y4" s="16"/>
      <c r="Z4" s="16"/>
      <c r="AA4" s="16"/>
      <c r="AB4" s="16"/>
      <c r="AC4" s="16"/>
    </row>
    <row r="5" ht="12.75" customHeight="1" spans="1:29" x14ac:dyDescent="0.25">
      <c r="A5" s="16"/>
      <c r="B5" s="16" t="s">
        <v>602</v>
      </c>
      <c r="C5" s="16"/>
      <c r="D5" s="16"/>
      <c r="E5" s="16"/>
      <c r="F5" s="16"/>
      <c r="G5" s="16"/>
      <c r="H5" s="647"/>
      <c r="I5" s="647"/>
      <c r="J5" s="647"/>
      <c r="K5" s="647"/>
      <c r="L5" s="647">
        <f ca="1">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 ca="1">L5+1</f>
        <v>5</v>
      </c>
      <c r="M6" s="647"/>
      <c r="N6" s="647"/>
      <c r="O6" s="647"/>
      <c r="P6" s="647"/>
      <c r="Q6" s="647"/>
      <c r="R6" s="647"/>
      <c r="S6" s="647"/>
      <c r="T6" s="647"/>
      <c r="U6" s="16"/>
      <c r="V6" s="16"/>
      <c r="W6" s="16"/>
      <c r="X6" s="16"/>
      <c r="Y6" s="16"/>
      <c r="Z6" s="16"/>
      <c r="AA6" s="16"/>
      <c r="AB6" s="16"/>
      <c r="AC6" s="16"/>
    </row>
    <row r="7" ht="12.75" customHeight="1" spans="1:29" x14ac:dyDescent="0.25">
      <c r="A7" s="16"/>
      <c r="B7" s="16" t="s">
        <v>603</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604</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605</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606</v>
      </c>
      <c r="D11" s="652" t="s">
        <v>607</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608</v>
      </c>
      <c r="C12" s="653" t="s">
        <v>609</v>
      </c>
      <c r="D12" s="653" t="s">
        <v>610</v>
      </c>
      <c r="E12" s="653" t="s">
        <v>611</v>
      </c>
      <c r="F12" s="653" t="s">
        <v>612</v>
      </c>
      <c r="G12" s="653" t="s">
        <v>25</v>
      </c>
      <c r="H12" s="647"/>
      <c r="I12" s="647"/>
      <c r="J12" s="16"/>
      <c r="K12" s="16">
        <f t="shared" ref="K12:O12" si="1" ca="1">J12+1</f>
        <v>1</v>
      </c>
      <c r="L12" s="16">
        <f ca="1">K12+1</f>
        <v>2</v>
      </c>
      <c r="M12" s="16">
        <f ca="1">L12+1</f>
        <v>3</v>
      </c>
      <c r="N12" s="16">
        <f ca="1">M12+1</f>
        <v>4</v>
      </c>
      <c r="O12" s="16">
        <f ca="1">N12+1</f>
        <v>5</v>
      </c>
      <c r="P12" s="647"/>
      <c r="Q12" s="647">
        <f t="shared" ref="Q12:U12" si="2" ca="1">P12+1</f>
        <v>1</v>
      </c>
      <c r="R12" s="647">
        <f ca="1">Q12+1</f>
        <v>2</v>
      </c>
      <c r="S12" s="647">
        <f ca="1">R12+1</f>
        <v>3</v>
      </c>
      <c r="T12" s="647">
        <f ca="1">S12+1</f>
        <v>4</v>
      </c>
      <c r="U12" s="647">
        <f ca="1">T12+1</f>
        <v>5</v>
      </c>
      <c r="V12" s="16"/>
      <c r="W12" s="16"/>
      <c r="X12" s="16"/>
      <c r="Y12" s="16"/>
      <c r="Z12" s="16"/>
      <c r="AA12" s="16"/>
      <c r="AB12" s="16"/>
      <c r="AC12" s="16"/>
    </row>
    <row r="13" ht="12.75" customHeight="1" hidden="1" spans="1:29" x14ac:dyDescent="0.25" outlineLevel="1" collapsed="1">
      <c r="A13" s="16"/>
      <c r="B13" s="641" t="s">
        <v>613</v>
      </c>
      <c r="C13" s="506" t="str">
        <f ca="1">IF(J13="","",IFERROR(MATCH(B13,$K13:O13,0),"NO"))</f>
        <v/>
      </c>
      <c r="D13" s="641">
        <v>1</v>
      </c>
      <c r="E13" s="16" t="str">
        <f t="shared" ref="E13:E30" si="3" ca="1">IF(INDEX($K13:$O13,,MATCH($D13,$K$12:$O$12,0))=0,"No Result",INDEX($K13:$O13,,MATCH($D13,$K$12:$O$12,0)))</f>
        <v>No Result</v>
      </c>
      <c r="F13" s="16">
        <f t="shared" ref="F13:F30" si="4" ca="1">IF(INDEX($Q13:$U13,,MATCH($D13,$Q$12:$U$12,0))=0,"",INDEX($Q13:$U13,,MATCH($D13,$Q$12:$U$12,0)))</f>
      </c>
      <c r="G13" s="461">
        <f ca="1">IF(OR(_xll.ciqfunctions.udf.CIQ($F13,"IQ_COMPANY_TICKER")=0,_xll.ciqfunctions.udf.CIQ($F13,"IQ_COMPANY_TICKER")="(Invalid Identifier)"),"-",_xll.ciqfunctions.udf.CIQ($F13,"IQ_COMPANY_TICKER"))</f>
      </c>
      <c r="H13" s="647"/>
      <c r="I13" s="647"/>
      <c r="J13" s="16">
        <f ca="1">_xll.ciqfunctions.udf.CIQRANGEA($B13,"IQ_COMPANY_NAME_QUICK_MATCH",1,5,,,,,,,"NAME")</f>
      </c>
      <c r="K13" s="16"/>
      <c r="L13" s="16"/>
      <c r="M13" s="16"/>
      <c r="N13" s="16"/>
      <c r="O13" s="647"/>
      <c r="P13" s="647">
        <f ca="1">_xll.ciqfunctions.udf.CIQRANGEA($B13,"IQ_COMPANY_ID_QUICK_MATCH",1,5,,,,,,,"ID")</f>
      </c>
      <c r="Q13" s="647"/>
      <c r="R13" s="647"/>
      <c r="S13" s="647"/>
      <c r="T13" s="647"/>
      <c r="U13" s="647"/>
      <c r="V13" s="16"/>
      <c r="W13" s="16"/>
      <c r="X13" s="16"/>
      <c r="Y13" s="16"/>
      <c r="Z13" s="16"/>
      <c r="AA13" s="16"/>
      <c r="AB13" s="16"/>
      <c r="AC13" s="16"/>
    </row>
    <row r="14" ht="12.75" customHeight="1" spans="1:29" x14ac:dyDescent="0.25">
      <c r="A14" s="16"/>
      <c r="B14" s="641" t="s">
        <v>570</v>
      </c>
      <c r="C14" s="506" t="str">
        <f ca="1">IF(J14="","",IFERROR(MATCH(B14,$K14:O14,0),"NO"))</f>
        <v/>
      </c>
      <c r="D14" s="641">
        <v>1</v>
      </c>
      <c r="E14" s="16" t="str">
        <f ca="1">IF(INDEX($K14:$O14,,MATCH($D14,$K$12:$O$12,0))=0,"No Result",INDEX($K14:$O14,,MATCH($D14,$K$12:$O$12,0)))</f>
        <v>3M Company</v>
      </c>
      <c r="F14" s="16" t="str">
        <f ca="1">IF(INDEX($Q14:$U14,,MATCH($D14,$Q$12:$U$12,0))=0,"",INDEX($Q14:$U14,,MATCH($D14,$Q$12:$U$12,0)))</f>
        <v>IQ289194</v>
      </c>
      <c r="G14" s="461">
        <f ca="1">IF(OR(_xll.ciqfunctions.udf.CIQ($F14,"IQ_COMPANY_TICKER")=0,_xll.ciqfunctions.udf.CIQ($F14,"IQ_COMPANY_TICKER")="(Invalid Identifier)"),"-",_xll.ciqfunctions.udf.CIQ($F14,"IQ_COMPANY_TICKER"))</f>
      </c>
      <c r="H14" s="647"/>
      <c r="I14" s="647"/>
      <c r="J14" s="16">
        <f ca="1">_xll.ciqfunctions.udf.CIQRANGEA($B14,"IQ_COMPANY_NAME_QUICK_MATCH",1,5,,,,,,,"NAME")</f>
      </c>
      <c r="K14" s="16" t="s">
        <v>570</v>
      </c>
      <c r="L14" s="16" t="s">
        <v>614</v>
      </c>
      <c r="M14" s="16" t="s">
        <v>615</v>
      </c>
      <c r="N14" s="16" t="s">
        <v>616</v>
      </c>
      <c r="O14" s="647" t="s">
        <v>617</v>
      </c>
      <c r="P14" s="647">
        <f ca="1">_xll.ciqfunctions.udf.CIQRANGEA($B14,"IQ_COMPANY_ID_QUICK_MATCH",1,5,,,,,,,"ID")</f>
      </c>
      <c r="Q14" s="647" t="s">
        <v>574</v>
      </c>
      <c r="R14" s="647" t="s">
        <v>618</v>
      </c>
      <c r="S14" s="647" t="s">
        <v>619</v>
      </c>
      <c r="T14" s="647" t="s">
        <v>620</v>
      </c>
      <c r="U14" s="647" t="s">
        <v>621</v>
      </c>
      <c r="V14" s="16"/>
      <c r="W14" s="16"/>
      <c r="X14" s="16"/>
      <c r="Y14" s="16"/>
      <c r="Z14" s="16"/>
      <c r="AA14" s="16"/>
      <c r="AB14" s="16"/>
      <c r="AC14" s="16"/>
    </row>
    <row r="15" ht="12.75" customHeight="1" spans="1:29" x14ac:dyDescent="0.25">
      <c r="A15" s="16"/>
      <c r="B15" s="641" t="s">
        <v>622</v>
      </c>
      <c r="C15" s="506" t="str">
        <f ca="1">IF(J15="","",IFERROR(MATCH(B15,$K15:O15,0),"NO"))</f>
        <v/>
      </c>
      <c r="D15" s="641">
        <v>1</v>
      </c>
      <c r="E15" s="16" t="str">
        <f ca="1">IF(INDEX($K15:$O15,,MATCH($D15,$K$12:$O$12,0))=0,"No Result",INDEX($K15:$O15,,MATCH($D15,$K$12:$O$12,0)))</f>
        <v>General Electric Company</v>
      </c>
      <c r="F15" s="16" t="str">
        <f ca="1">IF(INDEX($Q15:$U15,,MATCH($D15,$Q$12:$U$12,0))=0,"",INDEX($Q15:$U15,,MATCH($D15,$Q$12:$U$12,0)))</f>
        <v>IQ177031</v>
      </c>
      <c r="G15" s="461">
        <f ca="1">IF(OR(_xll.ciqfunctions.udf.CIQ($F15,"IQ_COMPANY_TICKER")=0,_xll.ciqfunctions.udf.CIQ($F15,"IQ_COMPANY_TICKER")="(Invalid Identifier)"),"-",_xll.ciqfunctions.udf.CIQ($F15,"IQ_COMPANY_TICKER"))</f>
      </c>
      <c r="H15" s="647"/>
      <c r="I15" s="647"/>
      <c r="J15" s="16">
        <f ca="1">_xll.ciqfunctions.udf.CIQRANGEA($B15,"IQ_COMPANY_NAME_QUICK_MATCH",1,5,,,,,,,"NAME")</f>
      </c>
      <c r="K15" s="16" t="s">
        <v>622</v>
      </c>
      <c r="L15" s="16" t="s">
        <v>623</v>
      </c>
      <c r="M15" s="16" t="s">
        <v>624</v>
      </c>
      <c r="N15" s="16" t="s">
        <v>625</v>
      </c>
      <c r="O15" s="647" t="s">
        <v>622</v>
      </c>
      <c r="P15" s="647">
        <f ca="1">_xll.ciqfunctions.udf.CIQRANGEA($B15,"IQ_COMPANY_ID_QUICK_MATCH",1,5,,,,,,,"ID")</f>
      </c>
      <c r="Q15" s="647" t="s">
        <v>580</v>
      </c>
      <c r="R15" s="647" t="s">
        <v>626</v>
      </c>
      <c r="S15" s="647" t="s">
        <v>627</v>
      </c>
      <c r="T15" s="647" t="s">
        <v>628</v>
      </c>
      <c r="U15" s="647" t="s">
        <v>629</v>
      </c>
      <c r="V15" s="16"/>
      <c r="W15" s="16"/>
      <c r="X15" s="16"/>
      <c r="Y15" s="16"/>
      <c r="Z15" s="16"/>
      <c r="AA15" s="16"/>
      <c r="AB15" s="16"/>
      <c r="AC15" s="16"/>
    </row>
    <row r="16" ht="12.75" customHeight="1" spans="1:29" x14ac:dyDescent="0.25">
      <c r="A16" s="16"/>
      <c r="B16" s="641" t="s">
        <v>622</v>
      </c>
      <c r="C16" s="506" t="str">
        <f ca="1">IF(J16="","",IFERROR(MATCH(B16,$K16:O16,0),"NO"))</f>
        <v/>
      </c>
      <c r="D16" s="641">
        <v>1</v>
      </c>
      <c r="E16" s="16" t="str">
        <f ca="1">IF(INDEX($K16:$O16,,MATCH($D16,$K$12:$O$12,0))=0,"No Result",INDEX($K16:$O16,,MATCH($D16,$K$12:$O$12,0)))</f>
        <v>General Electric Company</v>
      </c>
      <c r="F16" s="16" t="str">
        <f ca="1">IF(INDEX($Q16:$U16,,MATCH($D16,$Q$12:$U$12,0))=0,"",INDEX($Q16:$U16,,MATCH($D16,$Q$12:$U$12,0)))</f>
        <v>IQ177031</v>
      </c>
      <c r="G16" s="461">
        <f ca="1">IF(OR(_xll.ciqfunctions.udf.CIQ($F16,"IQ_COMPANY_TICKER")=0,_xll.ciqfunctions.udf.CIQ($F16,"IQ_COMPANY_TICKER")="(Invalid Identifier)"),"-",_xll.ciqfunctions.udf.CIQ($F16,"IQ_COMPANY_TICKER"))</f>
      </c>
      <c r="H16" s="647"/>
      <c r="I16" s="647"/>
      <c r="J16" s="16">
        <f ca="1">_xll.ciqfunctions.udf.CIQRANGEA($B16,"IQ_COMPANY_NAME_QUICK_MATCH",1,5,,,,,,,"NAME")</f>
      </c>
      <c r="K16" s="16" t="s">
        <v>622</v>
      </c>
      <c r="L16" s="16" t="s">
        <v>623</v>
      </c>
      <c r="M16" s="16" t="s">
        <v>624</v>
      </c>
      <c r="N16" s="16" t="s">
        <v>625</v>
      </c>
      <c r="O16" s="647" t="s">
        <v>622</v>
      </c>
      <c r="P16" s="647">
        <f ca="1">_xll.ciqfunctions.udf.CIQRANGEA($B16,"IQ_COMPANY_ID_QUICK_MATCH",1,5,,,,,,,"ID")</f>
      </c>
      <c r="Q16" s="647" t="s">
        <v>580</v>
      </c>
      <c r="R16" s="647" t="s">
        <v>626</v>
      </c>
      <c r="S16" s="647" t="s">
        <v>627</v>
      </c>
      <c r="T16" s="647" t="s">
        <v>628</v>
      </c>
      <c r="U16" s="647" t="s">
        <v>629</v>
      </c>
      <c r="V16" s="16"/>
      <c r="W16" s="16"/>
      <c r="X16" s="16"/>
      <c r="Y16" s="16"/>
      <c r="Z16" s="16"/>
      <c r="AA16" s="16"/>
      <c r="AB16" s="16"/>
      <c r="AC16" s="16"/>
    </row>
    <row r="17" ht="12.75" customHeight="1" spans="1:29" x14ac:dyDescent="0.25">
      <c r="A17" s="16"/>
      <c r="B17" s="641" t="s">
        <v>630</v>
      </c>
      <c r="C17" s="506" t="str">
        <f ca="1">IF(J17="","",IFERROR(MATCH(B17,$K17:O17,0),"NO"))</f>
        <v/>
      </c>
      <c r="D17" s="641">
        <v>1</v>
      </c>
      <c r="E17" s="16" t="str">
        <f ca="1">IF(INDEX($K17:$O17,,MATCH($D17,$K$12:$O$12,0))=0,"No Result",INDEX($K17:$O17,,MATCH($D17,$K$12:$O$12,0)))</f>
        <v>The Home Depot, Inc.</v>
      </c>
      <c r="F17" s="16" t="str">
        <f ca="1">IF(INDEX($Q17:$U17,,MATCH($D17,$Q$12:$U$12,0))=0,"",INDEX($Q17:$U17,,MATCH($D17,$Q$12:$U$12,0)))</f>
        <v>IQ278679</v>
      </c>
      <c r="G17" s="461">
        <f ca="1">IF(OR(_xll.ciqfunctions.udf.CIQ($F17,"IQ_COMPANY_TICKER")=0,_xll.ciqfunctions.udf.CIQ($F17,"IQ_COMPANY_TICKER")="(Invalid Identifier)"),"-",_xll.ciqfunctions.udf.CIQ($F17,"IQ_COMPANY_TICKER"))</f>
      </c>
      <c r="H17" s="647"/>
      <c r="I17" s="647"/>
      <c r="J17" s="16">
        <f ca="1">_xll.ciqfunctions.udf.CIQRANGEA($B17,"IQ_COMPANY_NAME_QUICK_MATCH",1,5,,,,,,,"NAME")</f>
      </c>
      <c r="K17" s="16" t="s">
        <v>568</v>
      </c>
      <c r="L17" s="16" t="s">
        <v>631</v>
      </c>
      <c r="M17" s="16" t="s">
        <v>630</v>
      </c>
      <c r="N17" s="16" t="s">
        <v>632</v>
      </c>
      <c r="O17" s="647" t="s">
        <v>633</v>
      </c>
      <c r="P17" s="647">
        <f ca="1">_xll.ciqfunctions.udf.CIQRANGEA($B17,"IQ_COMPANY_ID_QUICK_MATCH",1,5,,,,,,,"ID")</f>
      </c>
      <c r="Q17" s="647" t="s">
        <v>572</v>
      </c>
      <c r="R17" s="647" t="s">
        <v>634</v>
      </c>
      <c r="S17" s="647" t="s">
        <v>635</v>
      </c>
      <c r="T17" s="647" t="s">
        <v>636</v>
      </c>
      <c r="U17" s="647" t="s">
        <v>637</v>
      </c>
      <c r="V17" s="16"/>
      <c r="W17" s="16"/>
      <c r="X17" s="16"/>
      <c r="Y17" s="16"/>
      <c r="Z17" s="16"/>
      <c r="AA17" s="16"/>
      <c r="AB17" s="16"/>
      <c r="AC17" s="16"/>
    </row>
    <row r="18" ht="12.75" customHeight="1" spans="1:29" x14ac:dyDescent="0.25">
      <c r="A18" s="16"/>
      <c r="B18" s="641" t="s">
        <v>638</v>
      </c>
      <c r="C18" s="506" t="str">
        <f ca="1">IF(J18="","",IFERROR(MATCH(B18,$K18:O18,0),"NO"))</f>
        <v/>
      </c>
      <c r="D18" s="641">
        <v>1</v>
      </c>
      <c r="E18" s="16" t="str">
        <f ca="1">IF(INDEX($K18:$O18,,MATCH($D18,$K$12:$O$12,0))=0,"No Result",INDEX($K18:$O18,,MATCH($D18,$K$12:$O$12,0)))</f>
        <v>Roper Technologies, Inc.</v>
      </c>
      <c r="F18" s="16" t="str">
        <f ca="1">IF(INDEX($Q18:$U18,,MATCH($D18,$Q$12:$U$12,0))=0,"",INDEX($Q18:$U18,,MATCH($D18,$Q$12:$U$12,0)))</f>
        <v>IQ22751</v>
      </c>
      <c r="G18" s="461">
        <f ca="1">IF(OR(_xll.ciqfunctions.udf.CIQ($F18,"IQ_COMPANY_TICKER")=0,_xll.ciqfunctions.udf.CIQ($F18,"IQ_COMPANY_TICKER")="(Invalid Identifier)"),"-",_xll.ciqfunctions.udf.CIQ($F18,"IQ_COMPANY_TICKER"))</f>
      </c>
      <c r="H18" s="647"/>
      <c r="I18" s="647"/>
      <c r="J18" s="16">
        <f ca="1">_xll.ciqfunctions.udf.CIQRANGEA($B18,"IQ_COMPANY_NAME_QUICK_MATCH",1,5,,,,,,,"NAME")</f>
      </c>
      <c r="K18" s="16" t="s">
        <v>638</v>
      </c>
      <c r="L18" s="16" t="s">
        <v>639</v>
      </c>
      <c r="M18" s="16" t="s">
        <v>640</v>
      </c>
      <c r="N18" s="16" t="s">
        <v>641</v>
      </c>
      <c r="O18" s="647"/>
      <c r="P18" s="647">
        <f ca="1">_xll.ciqfunctions.udf.CIQRANGEA($B18,"IQ_COMPANY_ID_QUICK_MATCH",1,5,,,,,,,"ID")</f>
      </c>
      <c r="Q18" s="647" t="s">
        <v>592</v>
      </c>
      <c r="R18" s="647" t="s">
        <v>642</v>
      </c>
      <c r="S18" s="647" t="s">
        <v>643</v>
      </c>
      <c r="T18" s="647" t="s">
        <v>644</v>
      </c>
      <c r="U18" s="647"/>
      <c r="V18" s="16"/>
      <c r="W18" s="16"/>
      <c r="X18" s="16"/>
      <c r="Y18" s="16"/>
      <c r="Z18" s="16"/>
      <c r="AA18" s="16"/>
      <c r="AB18" s="16"/>
      <c r="AC18" s="16"/>
    </row>
    <row r="19" ht="12.75" customHeight="1" spans="1:29" x14ac:dyDescent="0.25">
      <c r="A19" s="16"/>
      <c r="B19" s="641" t="s">
        <v>645</v>
      </c>
      <c r="C19" s="506" t="str">
        <f ca="1">IF(J19="","",IFERROR(MATCH(B19,$K19:O19,0),"NO"))</f>
        <v/>
      </c>
      <c r="D19" s="641">
        <v>1</v>
      </c>
      <c r="E19" s="16" t="str">
        <f ca="1">IF(INDEX($K19:$O19,,MATCH($D19,$K$12:$O$12,0))=0,"No Result",INDEX($K19:$O19,,MATCH($D19,$K$12:$O$12,0)))</f>
        <v>Emerson Electric Co.</v>
      </c>
      <c r="F19" s="16" t="str">
        <f ca="1">IF(INDEX($Q19:$U19,,MATCH($D19,$Q$12:$U$12,0))=0,"",INDEX($Q19:$U19,,MATCH($D19,$Q$12:$U$12,0)))</f>
        <v>IQ269231</v>
      </c>
      <c r="G19" s="461">
        <f ca="1">IF(OR(_xll.ciqfunctions.udf.CIQ($F19,"IQ_COMPANY_TICKER")=0,_xll.ciqfunctions.udf.CIQ($F19,"IQ_COMPANY_TICKER")="(Invalid Identifier)"),"-",_xll.ciqfunctions.udf.CIQ($F19,"IQ_COMPANY_TICKER"))</f>
      </c>
      <c r="H19" s="647"/>
      <c r="I19" s="647"/>
      <c r="J19" s="16">
        <f ca="1">_xll.ciqfunctions.udf.CIQRANGEA($B19,"IQ_COMPANY_NAME_QUICK_MATCH",1,5,,,,,,,"NAME")</f>
      </c>
      <c r="K19" s="16" t="s">
        <v>645</v>
      </c>
      <c r="L19" s="16" t="s">
        <v>646</v>
      </c>
      <c r="M19" s="16" t="s">
        <v>647</v>
      </c>
      <c r="N19" s="16" t="s">
        <v>648</v>
      </c>
      <c r="O19" s="647" t="s">
        <v>649</v>
      </c>
      <c r="P19" s="647">
        <f ca="1">_xll.ciqfunctions.udf.CIQRANGEA($B19,"IQ_COMPANY_ID_QUICK_MATCH",1,5,,,,,,,"ID")</f>
      </c>
      <c r="Q19" s="647" t="s">
        <v>598</v>
      </c>
      <c r="R19" s="647" t="s">
        <v>650</v>
      </c>
      <c r="S19" s="647" t="s">
        <v>651</v>
      </c>
      <c r="T19" s="647" t="s">
        <v>652</v>
      </c>
      <c r="U19" s="647" t="s">
        <v>653</v>
      </c>
      <c r="V19" s="16"/>
      <c r="W19" s="16"/>
      <c r="X19" s="16"/>
      <c r="Y19" s="16"/>
      <c r="Z19" s="16"/>
      <c r="AA19" s="16"/>
      <c r="AB19" s="16"/>
      <c r="AC19" s="16"/>
    </row>
    <row r="20" ht="12.75" customHeight="1" spans="1:29" x14ac:dyDescent="0.25">
      <c r="A20" s="16"/>
      <c r="B20" s="641" t="s">
        <v>575</v>
      </c>
      <c r="C20" s="506" t="str">
        <f ca="1">IF(J20="","",IFERROR(MATCH(B20,$K20:O20,0),"NO"))</f>
        <v/>
      </c>
      <c r="D20" s="641">
        <v>1</v>
      </c>
      <c r="E20" s="16" t="str">
        <f ca="1">IF(INDEX($K20:$O20,,MATCH($D20,$K$12:$O$12,0))=0,"No Result",INDEX($K20:$O20,,MATCH($D20,$K$12:$O$12,0)))</f>
        <v>Apple Inc.</v>
      </c>
      <c r="F20" s="16" t="str">
        <f ca="1">IF(INDEX($Q20:$U20,,MATCH($D20,$Q$12:$U$12,0))=0,"",INDEX($Q20:$U20,,MATCH($D20,$Q$12:$U$12,0)))</f>
        <v>IQ24937</v>
      </c>
      <c r="G20" s="461">
        <f ca="1">IF(OR(_xll.ciqfunctions.udf.CIQ($F20,"IQ_COMPANY_TICKER")=0,_xll.ciqfunctions.udf.CIQ($F20,"IQ_COMPANY_TICKER")="(Invalid Identifier)"),"-",_xll.ciqfunctions.udf.CIQ($F20,"IQ_COMPANY_TICKER"))</f>
      </c>
      <c r="H20" s="647"/>
      <c r="I20" s="647"/>
      <c r="J20" s="16">
        <f ca="1">_xll.ciqfunctions.udf.CIQRANGEA($B20,"IQ_COMPANY_NAME_QUICK_MATCH",1,5,,,,,,,"NAME")</f>
      </c>
      <c r="K20" s="16" t="s">
        <v>654</v>
      </c>
      <c r="L20" s="16" t="s">
        <v>575</v>
      </c>
      <c r="M20" s="16" t="s">
        <v>655</v>
      </c>
      <c r="N20" s="16" t="s">
        <v>656</v>
      </c>
      <c r="O20" s="647" t="s">
        <v>654</v>
      </c>
      <c r="P20" s="647">
        <f ca="1">_xll.ciqfunctions.udf.CIQRANGEA($B20,"IQ_COMPANY_ID_QUICK_MATCH",1,5,,,,,,,"ID")</f>
      </c>
      <c r="Q20" s="647" t="s">
        <v>657</v>
      </c>
      <c r="R20" s="647" t="s">
        <v>658</v>
      </c>
      <c r="S20" s="647" t="s">
        <v>659</v>
      </c>
      <c r="T20" s="647" t="s">
        <v>660</v>
      </c>
      <c r="U20" s="647" t="s">
        <v>661</v>
      </c>
      <c r="V20" s="16"/>
      <c r="W20" s="16"/>
      <c r="X20" s="16"/>
      <c r="Y20" s="16"/>
      <c r="Z20" s="16"/>
      <c r="AA20" s="16"/>
      <c r="AB20" s="16"/>
      <c r="AC20" s="16"/>
    </row>
    <row r="21" ht="12.75" customHeight="1" spans="1:29" x14ac:dyDescent="0.25">
      <c r="A21" s="16"/>
      <c r="B21" s="641" t="s">
        <v>662</v>
      </c>
      <c r="C21" s="506" t="str">
        <f ca="1">IF(J21="","",IFERROR(MATCH(B21,$K21:O21,0),"NO"))</f>
        <v/>
      </c>
      <c r="D21" s="641">
        <v>1</v>
      </c>
      <c r="E21" s="16" t="str">
        <f ca="1">IF(INDEX($K21:$O21,,MATCH($D21,$K$12:$O$12,0))=0,"No Result",INDEX($K21:$O21,,MATCH($D21,$K$12:$O$12,0)))</f>
        <v>Oracle Corporation</v>
      </c>
      <c r="F21" s="16" t="str">
        <f ca="1">IF(INDEX($Q21:$U21,,MATCH($D21,$Q$12:$U$12,0))=0,"",INDEX($Q21:$U21,,MATCH($D21,$Q$12:$U$12,0)))</f>
        <v>IQ22247</v>
      </c>
      <c r="G21" s="461">
        <f ca="1">IF(OR(_xll.ciqfunctions.udf.CIQ($F21,"IQ_COMPANY_TICKER")=0,_xll.ciqfunctions.udf.CIQ($F21,"IQ_COMPANY_TICKER")="(Invalid Identifier)"),"-",_xll.ciqfunctions.udf.CIQ($F21,"IQ_COMPANY_TICKER"))</f>
      </c>
      <c r="H21" s="647"/>
      <c r="I21" s="647"/>
      <c r="J21" s="16">
        <f ca="1">_xll.ciqfunctions.udf.CIQRANGEA($B21,"IQ_COMPANY_NAME_QUICK_MATCH",1,5,,,,,,,"NAME")</f>
      </c>
      <c r="K21" s="16" t="s">
        <v>663</v>
      </c>
      <c r="L21" s="16" t="s">
        <v>664</v>
      </c>
      <c r="M21" s="16" t="s">
        <v>665</v>
      </c>
      <c r="N21" s="16" t="s">
        <v>666</v>
      </c>
      <c r="O21" s="647" t="s">
        <v>667</v>
      </c>
      <c r="P21" s="647">
        <f ca="1">_xll.ciqfunctions.udf.CIQRANGEA($B21,"IQ_COMPANY_ID_QUICK_MATCH",1,5,,,,,,,"ID")</f>
      </c>
      <c r="Q21" s="647" t="s">
        <v>668</v>
      </c>
      <c r="R21" s="647" t="s">
        <v>669</v>
      </c>
      <c r="S21" s="647" t="s">
        <v>670</v>
      </c>
      <c r="T21" s="647" t="s">
        <v>671</v>
      </c>
      <c r="U21" s="647" t="s">
        <v>672</v>
      </c>
      <c r="V21" s="16"/>
      <c r="W21" s="16"/>
      <c r="X21" s="16"/>
      <c r="Y21" s="16"/>
      <c r="Z21" s="16"/>
      <c r="AA21" s="16"/>
      <c r="AB21" s="16"/>
      <c r="AC21" s="16"/>
    </row>
    <row r="22" ht="12.75" customHeight="1" spans="1:29" x14ac:dyDescent="0.25">
      <c r="A22" s="16"/>
      <c r="B22" s="641" t="s">
        <v>673</v>
      </c>
      <c r="C22" s="506" t="str">
        <f ca="1">IF(J22="","",IFERROR(MATCH(B22,$K22:O22,0),"NO"))</f>
        <v/>
      </c>
      <c r="D22" s="641">
        <v>1</v>
      </c>
      <c r="E22" s="16" t="str">
        <f ca="1">IF(INDEX($K22:$O22,,MATCH($D22,$K$12:$O$12,0))=0,"No Result",INDEX($K22:$O22,,MATCH($D22,$K$12:$O$12,0)))</f>
        <v>Citrix Systems, Inc.</v>
      </c>
      <c r="F22" s="16" t="str">
        <f ca="1">IF(INDEX($Q22:$U22,,MATCH($D22,$Q$12:$U$12,0))=0,"",INDEX($Q22:$U22,,MATCH($D22,$Q$12:$U$12,0)))</f>
        <v>IQ26524</v>
      </c>
      <c r="G22" s="461">
        <f ca="1">IF(OR(_xll.ciqfunctions.udf.CIQ($F22,"IQ_COMPANY_TICKER")=0,_xll.ciqfunctions.udf.CIQ($F22,"IQ_COMPANY_TICKER")="(Invalid Identifier)"),"-",_xll.ciqfunctions.udf.CIQ($F22,"IQ_COMPANY_TICKER"))</f>
      </c>
      <c r="H22" s="647"/>
      <c r="I22" s="647"/>
      <c r="J22" s="16">
        <f ca="1">_xll.ciqfunctions.udf.CIQRANGEA($B22,"IQ_COMPANY_NAME_QUICK_MATCH",1,5,,,,,,,"NAME")</f>
      </c>
      <c r="K22" s="16" t="s">
        <v>674</v>
      </c>
      <c r="L22" s="16" t="s">
        <v>675</v>
      </c>
      <c r="M22" s="16" t="s">
        <v>676</v>
      </c>
      <c r="N22" s="16" t="s">
        <v>677</v>
      </c>
      <c r="O22" s="647" t="s">
        <v>678</v>
      </c>
      <c r="P22" s="647">
        <f ca="1">_xll.ciqfunctions.udf.CIQRANGEA($B22,"IQ_COMPANY_ID_QUICK_MATCH",1,5,,,,,,,"ID")</f>
      </c>
      <c r="Q22" s="647" t="s">
        <v>679</v>
      </c>
      <c r="R22" s="647" t="s">
        <v>680</v>
      </c>
      <c r="S22" s="647" t="s">
        <v>681</v>
      </c>
      <c r="T22" s="647" t="s">
        <v>682</v>
      </c>
      <c r="U22" s="647" t="s">
        <v>683</v>
      </c>
      <c r="V22" s="16"/>
      <c r="W22" s="16"/>
      <c r="X22" s="16"/>
      <c r="Y22" s="16"/>
      <c r="Z22" s="16"/>
      <c r="AA22" s="16"/>
      <c r="AB22" s="16"/>
      <c r="AC22" s="16"/>
    </row>
    <row r="23" ht="12.75" customHeight="1" spans="1:29" x14ac:dyDescent="0.25">
      <c r="A23" s="16"/>
      <c r="B23" s="641" t="s">
        <v>684</v>
      </c>
      <c r="C23" s="506" t="str">
        <f ca="1">IF(J23="","",IFERROR(MATCH(B23,$K23:O23,0),"NO"))</f>
        <v/>
      </c>
      <c r="D23" s="641">
        <v>1</v>
      </c>
      <c r="E23" s="16" t="str">
        <f ca="1">IF(INDEX($K23:$O23,,MATCH($D23,$K$12:$O$12,0))=0,"No Result",INDEX($K23:$O23,,MATCH($D23,$K$12:$O$12,0)))</f>
        <v>Cyren Ltd.</v>
      </c>
      <c r="F23" s="16" t="str">
        <f ca="1">IF(INDEX($Q23:$U23,,MATCH($D23,$Q$12:$U$12,0))=0,"",INDEX($Q23:$U23,,MATCH($D23,$Q$12:$U$12,0)))</f>
        <v>IQ26767</v>
      </c>
      <c r="G23" s="461">
        <f ca="1">IF(OR(_xll.ciqfunctions.udf.CIQ($F23,"IQ_COMPANY_TICKER")=0,_xll.ciqfunctions.udf.CIQ($F23,"IQ_COMPANY_TICKER")="(Invalid Identifier)"),"-",_xll.ciqfunctions.udf.CIQ($F23,"IQ_COMPANY_TICKER"))</f>
      </c>
      <c r="H23" s="647"/>
      <c r="I23" s="647"/>
      <c r="J23" s="16">
        <f ca="1">_xll.ciqfunctions.udf.CIQRANGEA($B23,"IQ_COMPANY_NAME_QUICK_MATCH",1,5,,,,,,,"NAME")</f>
      </c>
      <c r="K23" s="16" t="s">
        <v>685</v>
      </c>
      <c r="L23" s="16" t="s">
        <v>686</v>
      </c>
      <c r="M23" s="16" t="s">
        <v>687</v>
      </c>
      <c r="N23" s="16" t="s">
        <v>688</v>
      </c>
      <c r="O23" s="647" t="s">
        <v>689</v>
      </c>
      <c r="P23" s="647">
        <f ca="1">_xll.ciqfunctions.udf.CIQRANGEA($B23,"IQ_COMPANY_ID_QUICK_MATCH",1,5,,,,,,,"ID")</f>
      </c>
      <c r="Q23" s="647" t="s">
        <v>690</v>
      </c>
      <c r="R23" s="647" t="s">
        <v>691</v>
      </c>
      <c r="S23" s="647" t="s">
        <v>692</v>
      </c>
      <c r="T23" s="647" t="s">
        <v>693</v>
      </c>
      <c r="U23" s="647" t="s">
        <v>694</v>
      </c>
      <c r="V23" s="16"/>
      <c r="W23" s="16"/>
      <c r="X23" s="16"/>
      <c r="Y23" s="16"/>
      <c r="Z23" s="16"/>
      <c r="AA23" s="16"/>
      <c r="AB23" s="16"/>
      <c r="AC23" s="16"/>
    </row>
    <row r="24" ht="12.75" customHeight="1" spans="1:29" x14ac:dyDescent="0.25">
      <c r="A24" s="16"/>
      <c r="B24" s="641" t="s">
        <v>695</v>
      </c>
      <c r="C24" s="506" t="str">
        <f ca="1">IF(J24="","",IFERROR(MATCH(B24,$K24:O24,0),"NO"))</f>
        <v/>
      </c>
      <c r="D24" s="641">
        <v>1</v>
      </c>
      <c r="E24" s="16" t="str">
        <f ca="1">IF(INDEX($K24:$O24,,MATCH($D24,$K$12:$O$12,0))=0,"No Result",INDEX($K24:$O24,,MATCH($D24,$K$12:$O$12,0)))</f>
        <v>Commvault Systems, Inc.</v>
      </c>
      <c r="F24" s="16" t="str">
        <f ca="1">IF(INDEX($Q24:$U24,,MATCH($D24,$Q$12:$U$12,0))=0,"",INDEX($Q24:$U24,,MATCH($D24,$Q$12:$U$12,0)))</f>
        <v>IQ26789</v>
      </c>
      <c r="G24" s="461">
        <f ca="1">IF(OR(_xll.ciqfunctions.udf.CIQ($F24,"IQ_COMPANY_TICKER")=0,_xll.ciqfunctions.udf.CIQ($F24,"IQ_COMPANY_TICKER")="(Invalid Identifier)"),"-",_xll.ciqfunctions.udf.CIQ($F24,"IQ_COMPANY_TICKER"))</f>
      </c>
      <c r="H24" s="647"/>
      <c r="I24" s="647"/>
      <c r="J24" s="16">
        <f ca="1">_xll.ciqfunctions.udf.CIQRANGEA($B24,"IQ_COMPANY_NAME_QUICK_MATCH",1,5,,,,,,,"NAME")</f>
      </c>
      <c r="K24" s="16" t="s">
        <v>696</v>
      </c>
      <c r="L24" s="16" t="s">
        <v>697</v>
      </c>
      <c r="M24" s="16" t="s">
        <v>698</v>
      </c>
      <c r="N24" s="16" t="s">
        <v>699</v>
      </c>
      <c r="O24" s="647" t="s">
        <v>700</v>
      </c>
      <c r="P24" s="647">
        <f ca="1">_xll.ciqfunctions.udf.CIQRANGEA($B24,"IQ_COMPANY_ID_QUICK_MATCH",1,5,,,,,,,"ID")</f>
      </c>
      <c r="Q24" s="647" t="s">
        <v>701</v>
      </c>
      <c r="R24" s="647" t="s">
        <v>702</v>
      </c>
      <c r="S24" s="647" t="s">
        <v>703</v>
      </c>
      <c r="T24" s="647" t="s">
        <v>704</v>
      </c>
      <c r="U24" s="647" t="s">
        <v>705</v>
      </c>
      <c r="V24" s="16"/>
      <c r="W24" s="16"/>
      <c r="X24" s="16"/>
      <c r="Y24" s="16"/>
      <c r="Z24" s="16"/>
      <c r="AA24" s="16"/>
      <c r="AB24" s="16"/>
      <c r="AC24" s="16"/>
    </row>
    <row r="25" ht="12.75" customHeight="1" spans="1:29" x14ac:dyDescent="0.25">
      <c r="A25" s="16"/>
      <c r="B25" s="641" t="s">
        <v>706</v>
      </c>
      <c r="C25" s="506" t="str">
        <f ca="1">IF(J25="","",IFERROR(MATCH(B25,$K25:O25,0),"NO"))</f>
        <v/>
      </c>
      <c r="D25" s="641">
        <v>1</v>
      </c>
      <c r="E25" s="16" t="str">
        <f ca="1">IF(INDEX($K25:$O25,,MATCH($D25,$K$12:$O$12,0))=0,"No Result",INDEX($K25:$O25,,MATCH($D25,$K$12:$O$12,0)))</f>
        <v>eGain Corporation</v>
      </c>
      <c r="F25" s="16" t="str">
        <f ca="1">IF(INDEX($Q25:$U25,,MATCH($D25,$Q$12:$U$12,0))=0,"",INDEX($Q25:$U25,,MATCH($D25,$Q$12:$U$12,0)))</f>
        <v>IQ27928</v>
      </c>
      <c r="G25" s="461">
        <f ca="1">IF(OR(_xll.ciqfunctions.udf.CIQ($F25,"IQ_COMPANY_TICKER")=0,_xll.ciqfunctions.udf.CIQ($F25,"IQ_COMPANY_TICKER")="(Invalid Identifier)"),"-",_xll.ciqfunctions.udf.CIQ($F25,"IQ_COMPANY_TICKER"))</f>
      </c>
      <c r="H25" s="647"/>
      <c r="I25" s="647"/>
      <c r="J25" s="16">
        <f ca="1">_xll.ciqfunctions.udf.CIQRANGEA($B25,"IQ_COMPANY_NAME_QUICK_MATCH",1,5,,,,,,,"NAME")</f>
      </c>
      <c r="K25" s="16" t="s">
        <v>706</v>
      </c>
      <c r="L25" s="16" t="s">
        <v>707</v>
      </c>
      <c r="M25" s="16" t="s">
        <v>708</v>
      </c>
      <c r="N25" s="16" t="s">
        <v>709</v>
      </c>
      <c r="O25" s="647" t="s">
        <v>710</v>
      </c>
      <c r="P25" s="647">
        <f ca="1">_xll.ciqfunctions.udf.CIQRANGEA($B25,"IQ_COMPANY_ID_QUICK_MATCH",1,5,,,,,,,"ID")</f>
      </c>
      <c r="Q25" s="647" t="s">
        <v>711</v>
      </c>
      <c r="R25" s="647" t="s">
        <v>712</v>
      </c>
      <c r="S25" s="647" t="s">
        <v>713</v>
      </c>
      <c r="T25" s="647" t="s">
        <v>714</v>
      </c>
      <c r="U25" s="647" t="s">
        <v>715</v>
      </c>
      <c r="V25" s="16"/>
      <c r="W25" s="16"/>
      <c r="X25" s="16"/>
      <c r="Y25" s="16"/>
      <c r="Z25" s="16"/>
      <c r="AA25" s="16"/>
      <c r="AB25" s="16"/>
      <c r="AC25" s="16"/>
    </row>
    <row r="26" ht="12.75" customHeight="1" spans="1:29" x14ac:dyDescent="0.25">
      <c r="A26" s="16"/>
      <c r="B26" s="641" t="s">
        <v>716</v>
      </c>
      <c r="C26" s="506" t="str">
        <f ca="1">IF(J26="","",IFERROR(MATCH(B26,$K26:O26,0),"NO"))</f>
        <v/>
      </c>
      <c r="D26" s="641">
        <v>1</v>
      </c>
      <c r="E26" s="16" t="str">
        <f ca="1">IF(INDEX($K26:$O26,,MATCH($D26,$K$12:$O$12,0))=0,"No Result",INDEX($K26:$O26,,MATCH($D26,$K$12:$O$12,0)))</f>
        <v>Harmonic Inc.</v>
      </c>
      <c r="F26" s="16" t="str">
        <f ca="1">IF(INDEX($Q26:$U26,,MATCH($D26,$Q$12:$U$12,0))=0,"",INDEX($Q26:$U26,,MATCH($D26,$Q$12:$U$12,0)))</f>
        <v>IQ29282</v>
      </c>
      <c r="G26" s="461">
        <f ca="1">IF(OR(_xll.ciqfunctions.udf.CIQ($F26,"IQ_COMPANY_TICKER")=0,_xll.ciqfunctions.udf.CIQ($F26,"IQ_COMPANY_TICKER")="(Invalid Identifier)"),"-",_xll.ciqfunctions.udf.CIQ($F26,"IQ_COMPANY_TICKER"))</f>
      </c>
      <c r="H26" s="647"/>
      <c r="I26" s="647"/>
      <c r="J26" s="16">
        <f ca="1">_xll.ciqfunctions.udf.CIQRANGEA($B26,"IQ_COMPANY_NAME_QUICK_MATCH",1,5,,,,,,,"NAME")</f>
      </c>
      <c r="K26" s="16" t="s">
        <v>717</v>
      </c>
      <c r="L26" s="16" t="s">
        <v>718</v>
      </c>
      <c r="M26" s="16" t="s">
        <v>719</v>
      </c>
      <c r="N26" s="16" t="s">
        <v>720</v>
      </c>
      <c r="O26" s="647" t="s">
        <v>721</v>
      </c>
      <c r="P26" s="647">
        <f ca="1">_xll.ciqfunctions.udf.CIQRANGEA($B26,"IQ_COMPANY_ID_QUICK_MATCH",1,5,,,,,,,"ID")</f>
      </c>
      <c r="Q26" s="647" t="s">
        <v>722</v>
      </c>
      <c r="R26" s="647" t="s">
        <v>723</v>
      </c>
      <c r="S26" s="647" t="s">
        <v>724</v>
      </c>
      <c r="T26" s="647" t="s">
        <v>725</v>
      </c>
      <c r="U26" s="647" t="s">
        <v>726</v>
      </c>
      <c r="V26" s="16"/>
      <c r="W26" s="16"/>
      <c r="X26" s="16"/>
      <c r="Y26" s="16"/>
      <c r="Z26" s="16"/>
      <c r="AA26" s="16"/>
      <c r="AB26" s="16"/>
      <c r="AC26" s="16"/>
    </row>
    <row r="27" ht="12.75" customHeight="1" spans="1:29" x14ac:dyDescent="0.25">
      <c r="A27" s="16"/>
      <c r="B27" s="641" t="s">
        <v>727</v>
      </c>
      <c r="C27" s="506" t="str">
        <f ca="1">IF(J27="","",IFERROR(MATCH(B27,$K27:O27,0),"NO"))</f>
        <v/>
      </c>
      <c r="D27" s="641">
        <v>1</v>
      </c>
      <c r="E27" s="16" t="str">
        <f ca="1">IF(INDEX($K27:$O27,,MATCH($D27,$K$12:$O$12,0))=0,"No Result",INDEX($K27:$O27,,MATCH($D27,$K$12:$O$12,0)))</f>
        <v>NetApp, Inc.</v>
      </c>
      <c r="F27" s="16" t="str">
        <f ca="1">IF(INDEX($Q27:$U27,,MATCH($D27,$Q$12:$U$12,0))=0,"",INDEX($Q27:$U27,,MATCH($D27,$Q$12:$U$12,0)))</f>
        <v>IQ32052</v>
      </c>
      <c r="G27" s="461">
        <f ca="1">IF(OR(_xll.ciqfunctions.udf.CIQ($F27,"IQ_COMPANY_TICKER")=0,_xll.ciqfunctions.udf.CIQ($F27,"IQ_COMPANY_TICKER")="(Invalid Identifier)"),"-",_xll.ciqfunctions.udf.CIQ($F27,"IQ_COMPANY_TICKER"))</f>
      </c>
      <c r="H27" s="647"/>
      <c r="I27" s="647"/>
      <c r="J27" s="16">
        <f ca="1">_xll.ciqfunctions.udf.CIQRANGEA($B27,"IQ_COMPANY_NAME_QUICK_MATCH",1,5,,,,,,,"NAME")</f>
      </c>
      <c r="K27" s="16" t="s">
        <v>728</v>
      </c>
      <c r="L27" s="16" t="s">
        <v>729</v>
      </c>
      <c r="M27" s="16" t="s">
        <v>730</v>
      </c>
      <c r="N27" s="16" t="s">
        <v>731</v>
      </c>
      <c r="O27" s="647" t="s">
        <v>732</v>
      </c>
      <c r="P27" s="647">
        <f ca="1">_xll.ciqfunctions.udf.CIQRANGEA($B27,"IQ_COMPANY_ID_QUICK_MATCH",1,5,,,,,,,"ID")</f>
      </c>
      <c r="Q27" s="647" t="s">
        <v>733</v>
      </c>
      <c r="R27" s="647" t="s">
        <v>734</v>
      </c>
      <c r="S27" s="647" t="s">
        <v>735</v>
      </c>
      <c r="T27" s="647" t="s">
        <v>736</v>
      </c>
      <c r="U27" s="647" t="s">
        <v>737</v>
      </c>
      <c r="V27" s="16"/>
      <c r="W27" s="16"/>
      <c r="X27" s="16"/>
      <c r="Y27" s="16"/>
      <c r="Z27" s="16"/>
      <c r="AA27" s="16"/>
      <c r="AB27" s="16"/>
      <c r="AC27" s="16"/>
    </row>
    <row r="28" ht="12.75" customHeight="1" spans="1:29" x14ac:dyDescent="0.25">
      <c r="A28" s="16"/>
      <c r="B28" s="641" t="s">
        <v>738</v>
      </c>
      <c r="C28" s="506" t="str">
        <f ca="1">IF(J28="","",IFERROR(MATCH(B28,$K28:O28,0),"NO"))</f>
        <v/>
      </c>
      <c r="D28" s="641">
        <v>1</v>
      </c>
      <c r="E28" s="16" t="str">
        <f ca="1">IF(INDEX($K28:$O28,,MATCH($D28,$K$12:$O$12,0))=0,"No Result",INDEX($K28:$O28,,MATCH($D28,$K$12:$O$12,0)))</f>
        <v>Inseego Corp.</v>
      </c>
      <c r="F28" s="16" t="str">
        <f ca="1">IF(INDEX($Q28:$U28,,MATCH($D28,$Q$12:$U$12,0))=0,"",INDEX($Q28:$U28,,MATCH($D28,$Q$12:$U$12,0)))</f>
        <v>IQ32261</v>
      </c>
      <c r="G28" s="461">
        <f ca="1">IF(OR(_xll.ciqfunctions.udf.CIQ($F28,"IQ_COMPANY_TICKER")=0,_xll.ciqfunctions.udf.CIQ($F28,"IQ_COMPANY_TICKER")="(Invalid Identifier)"),"-",_xll.ciqfunctions.udf.CIQ($F28,"IQ_COMPANY_TICKER"))</f>
      </c>
      <c r="H28" s="647"/>
      <c r="I28" s="647"/>
      <c r="J28" s="16">
        <f ca="1">_xll.ciqfunctions.udf.CIQRANGEA($B28,"IQ_COMPANY_NAME_QUICK_MATCH",1,5,,,,,,,"NAME")</f>
      </c>
      <c r="K28" s="16" t="s">
        <v>739</v>
      </c>
      <c r="L28" s="16" t="s">
        <v>740</v>
      </c>
      <c r="M28" s="16" t="s">
        <v>741</v>
      </c>
      <c r="N28" s="16" t="s">
        <v>742</v>
      </c>
      <c r="O28" s="647" t="s">
        <v>743</v>
      </c>
      <c r="P28" s="647">
        <f ca="1">_xll.ciqfunctions.udf.CIQRANGEA($B28,"IQ_COMPANY_ID_QUICK_MATCH",1,5,,,,,,,"ID")</f>
      </c>
      <c r="Q28" s="647" t="s">
        <v>744</v>
      </c>
      <c r="R28" s="647" t="s">
        <v>745</v>
      </c>
      <c r="S28" s="647" t="s">
        <v>746</v>
      </c>
      <c r="T28" s="647" t="s">
        <v>747</v>
      </c>
      <c r="U28" s="647" t="s">
        <v>748</v>
      </c>
      <c r="V28" s="16"/>
      <c r="W28" s="16"/>
      <c r="X28" s="16"/>
      <c r="Y28" s="16"/>
      <c r="Z28" s="16"/>
      <c r="AA28" s="16"/>
      <c r="AB28" s="16"/>
      <c r="AC28" s="16"/>
    </row>
    <row r="29" ht="12.75" customHeight="1" spans="1:29" x14ac:dyDescent="0.25">
      <c r="A29" s="16"/>
      <c r="B29" s="641" t="s">
        <v>749</v>
      </c>
      <c r="C29" s="506" t="str">
        <f ca="1">IF(J29="","",IFERROR(MATCH(B29,$K29:O29,0),"NO"))</f>
        <v/>
      </c>
      <c r="D29" s="641">
        <v>1</v>
      </c>
      <c r="E29" s="16" t="str">
        <f ca="1">IF(INDEX($K29:$O29,,MATCH($D29,$K$12:$O$12,0))=0,"No Result",INDEX($K29:$O29,,MATCH($D29,$K$12:$O$12,0)))</f>
        <v>Intouch Insight Ltd.</v>
      </c>
      <c r="F29" s="16" t="str">
        <f ca="1">IF(INDEX($Q29:$U29,,MATCH($D29,$Q$12:$U$12,0))=0,"",INDEX($Q29:$U29,,MATCH($D29,$Q$12:$U$12,0)))</f>
        <v>IQ3160034</v>
      </c>
      <c r="G29" s="461">
        <f ca="1">IF(OR(_xll.ciqfunctions.udf.CIQ($F29,"IQ_COMPANY_TICKER")=0,_xll.ciqfunctions.udf.CIQ($F29,"IQ_COMPANY_TICKER")="(Invalid Identifier)"),"-",_xll.ciqfunctions.udf.CIQ($F29,"IQ_COMPANY_TICKER"))</f>
      </c>
      <c r="H29" s="647"/>
      <c r="I29" s="647"/>
      <c r="J29" s="16">
        <f ca="1">_xll.ciqfunctions.udf.CIQRANGEA($B29,"IQ_COMPANY_NAME_QUICK_MATCH",1,5,,,,,,,"NAME")</f>
      </c>
      <c r="K29" s="16" t="s">
        <v>750</v>
      </c>
      <c r="L29" s="16" t="s">
        <v>751</v>
      </c>
      <c r="M29" s="16"/>
      <c r="N29" s="16"/>
      <c r="O29" s="647"/>
      <c r="P29" s="647">
        <f ca="1">_xll.ciqfunctions.udf.CIQRANGEA($B29,"IQ_COMPANY_ID_QUICK_MATCH",1,5,,,,,,,"ID")</f>
      </c>
      <c r="Q29" s="647" t="s">
        <v>752</v>
      </c>
      <c r="R29" s="647" t="s">
        <v>753</v>
      </c>
      <c r="S29" s="647"/>
      <c r="T29" s="647"/>
      <c r="U29" s="647"/>
      <c r="V29" s="16"/>
      <c r="W29" s="16"/>
      <c r="X29" s="16"/>
      <c r="Y29" s="16"/>
      <c r="Z29" s="16"/>
      <c r="AA29" s="16"/>
      <c r="AB29" s="16"/>
      <c r="AC29" s="16"/>
    </row>
    <row r="30" ht="12.75" customHeight="1" spans="1:29" x14ac:dyDescent="0.25">
      <c r="A30" s="16"/>
      <c r="B30" s="641" t="s">
        <v>754</v>
      </c>
      <c r="C30" s="506" t="str">
        <f ca="1">IF(J30="","",IFERROR(MATCH(B30,$K30:O30,0),"NO"))</f>
        <v/>
      </c>
      <c r="D30" s="641">
        <v>1</v>
      </c>
      <c r="E30" s="16" t="str">
        <f ca="1">IF(INDEX($K30:$O30,,MATCH($D30,$K$12:$O$12,0))=0,"No Result",INDEX($K30:$O30,,MATCH($D30,$K$12:$O$12,0)))</f>
        <v>Energy Plug Technologies Corp.</v>
      </c>
      <c r="F30" s="16" t="str">
        <f ca="1">IF(INDEX($Q30:$U30,,MATCH($D30,$Q$12:$U$12,0))=0,"",INDEX($Q30:$U30,,MATCH($D30,$Q$12:$U$12,0)))</f>
        <v>IQ282167789</v>
      </c>
      <c r="G30" s="461">
        <f ca="1">IF(OR(_xll.ciqfunctions.udf.CIQ($F30,"IQ_COMPANY_TICKER")=0,_xll.ciqfunctions.udf.CIQ($F30,"IQ_COMPANY_TICKER")="(Invalid Identifier)"),"-",_xll.ciqfunctions.udf.CIQ($F30,"IQ_COMPANY_TICKER"))</f>
      </c>
      <c r="H30" s="647"/>
      <c r="I30" s="647"/>
      <c r="J30" s="16">
        <f ca="1">_xll.ciqfunctions.udf.CIQRANGEA($B30,"IQ_COMPANY_NAME_QUICK_MATCH",1,5,,,,,,,"NAME")</f>
      </c>
      <c r="K30" s="16" t="s">
        <v>755</v>
      </c>
      <c r="L30" s="16"/>
      <c r="M30" s="16"/>
      <c r="N30" s="16"/>
      <c r="O30" s="647"/>
      <c r="P30" s="647">
        <f ca="1">_xll.ciqfunctions.udf.CIQRANGEA($B30,"IQ_COMPANY_ID_QUICK_MATCH",1,5,,,,,,,"ID")</f>
      </c>
      <c r="Q30" s="647" t="s">
        <v>756</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 ca="1">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757</v>
      </c>
      <c r="D4" s="19"/>
      <c r="E4" s="19"/>
      <c r="F4" s="19"/>
      <c r="G4" s="20"/>
      <c r="H4" s="16"/>
      <c r="I4" s="16"/>
      <c r="J4" s="18" t="s">
        <v>758</v>
      </c>
      <c r="K4" s="19"/>
      <c r="L4" s="19"/>
      <c r="M4" s="63" t="s">
        <v>759</v>
      </c>
      <c r="N4" s="63" t="s">
        <v>760</v>
      </c>
      <c r="O4" s="64" t="s">
        <v>761</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762</v>
      </c>
      <c r="D6" s="16"/>
      <c r="E6" s="16"/>
      <c r="F6" s="16"/>
      <c r="G6" s="656">
        <v>0.0349</v>
      </c>
      <c r="H6" s="16"/>
      <c r="I6" s="16"/>
      <c r="J6" s="16" t="s">
        <v>763</v>
      </c>
      <c r="K6" s="16"/>
      <c r="L6" s="16"/>
      <c r="M6" s="657">
        <f ca="1">Model!V139+Model!V140</f>
        <v>23311</v>
      </c>
      <c r="N6" s="552">
        <f ca="1">M6/$M$9</f>
        <v>0.12388314648205556</v>
      </c>
      <c r="O6" s="552">
        <f ca="1">Cost_of_Debt</f>
        <v>0.01277020530796194</v>
      </c>
      <c r="P6" s="16"/>
      <c r="Q6" s="16"/>
      <c r="R6" s="132"/>
      <c r="S6" s="16"/>
      <c r="T6" s="16"/>
      <c r="U6" s="16"/>
      <c r="V6" s="16"/>
      <c r="W6" s="16"/>
      <c r="X6" s="16"/>
      <c r="Y6" s="16"/>
      <c r="Z6" s="16"/>
    </row>
    <row r="7" ht="13.5" customHeight="1" spans="1:26" x14ac:dyDescent="0.25">
      <c r="A7" s="17"/>
      <c r="B7" s="16"/>
      <c r="C7" s="16" t="s">
        <v>764</v>
      </c>
      <c r="D7" s="16"/>
      <c r="E7" s="16"/>
      <c r="F7" s="16"/>
      <c r="G7" s="656">
        <v>0.049</v>
      </c>
      <c r="H7" s="16"/>
      <c r="I7" s="16"/>
      <c r="J7" s="16" t="s">
        <v>765</v>
      </c>
      <c r="K7" s="16"/>
      <c r="L7" s="16"/>
      <c r="M7" s="549">
        <f ca="1">Diluted_Shares*Share_Price</f>
        <v>164858.26</v>
      </c>
      <c r="N7" s="658">
        <f ca="1">1-Weight_of_Debt-Weight_of_Preferred</f>
        <v>0.8761168535179444</v>
      </c>
      <c r="O7" s="552">
        <f ca="1">Cost_of_Equity</f>
        <v>0.09991271</v>
      </c>
      <c r="P7" s="16"/>
      <c r="Q7" s="16"/>
      <c r="R7" s="16"/>
      <c r="S7" s="16"/>
      <c r="T7" s="16"/>
      <c r="U7" s="16"/>
      <c r="V7" s="16"/>
      <c r="W7" s="16"/>
      <c r="X7" s="16"/>
      <c r="Y7" s="16"/>
      <c r="Z7" s="16"/>
    </row>
    <row r="8" ht="13.5" customHeight="1" spans="1:26" x14ac:dyDescent="0.25">
      <c r="A8" s="17"/>
      <c r="B8" s="16"/>
      <c r="C8" s="16" t="s">
        <v>766</v>
      </c>
      <c r="D8" s="16"/>
      <c r="E8" s="16"/>
      <c r="F8" s="16"/>
      <c r="G8" s="656">
        <v>0.0169</v>
      </c>
      <c r="H8" s="16"/>
      <c r="I8" s="16"/>
      <c r="J8" s="16" t="s">
        <v>767</v>
      </c>
      <c r="K8" s="16"/>
      <c r="L8" s="16"/>
      <c r="M8" s="659">
        <v>0</v>
      </c>
      <c r="N8" s="552">
        <f ca="1">M8/$M$9</f>
        <v>1e-12</v>
      </c>
      <c r="O8" s="552">
        <f ca="1">Cost_of_Preferred</f>
        <v>0</v>
      </c>
      <c r="P8" s="16"/>
      <c r="Q8" s="16"/>
      <c r="R8" s="16"/>
      <c r="S8" s="16"/>
      <c r="T8" s="16"/>
      <c r="U8" s="16"/>
      <c r="V8" s="16"/>
      <c r="W8" s="16"/>
      <c r="X8" s="16"/>
      <c r="Y8" s="16"/>
      <c r="Z8" s="16"/>
    </row>
    <row r="9" ht="13.5" customHeight="1" spans="1:26" x14ac:dyDescent="0.25">
      <c r="A9" s="17"/>
      <c r="B9" s="16"/>
      <c r="C9" s="16" t="s">
        <v>768</v>
      </c>
      <c r="D9" s="16"/>
      <c r="E9" s="16"/>
      <c r="F9" s="16"/>
      <c r="G9" s="153">
        <f ca="1">Tax_Rate</f>
        <v>0.2443665498247371</v>
      </c>
      <c r="H9" s="16"/>
      <c r="I9" s="16"/>
      <c r="J9" s="132" t="s">
        <v>769</v>
      </c>
      <c r="K9" s="132"/>
      <c r="L9" s="132"/>
      <c r="M9" s="660">
        <f t="shared" ref="M9:N9" si="0" ca="1">SUM(M6:M8)</f>
        <v>188169.26</v>
      </c>
      <c r="N9" s="661">
        <f ca="1">SUM(N6:N8)</f>
        <v>1</v>
      </c>
      <c r="O9" s="661">
        <f ca="1">SUMPRODUCT(N6:N8,O6:O8)</f>
        <v>0.08911722232642302</v>
      </c>
      <c r="P9" s="16"/>
      <c r="Q9" s="16"/>
      <c r="R9" s="16"/>
      <c r="S9" s="16"/>
      <c r="T9" s="16"/>
      <c r="U9" s="16"/>
      <c r="V9" s="16"/>
      <c r="W9" s="16"/>
      <c r="X9" s="16"/>
      <c r="Y9" s="16"/>
      <c r="Z9" s="16"/>
    </row>
    <row r="10" ht="13.5" customHeight="1" spans="1:26" x14ac:dyDescent="0.25">
      <c r="A10" s="17"/>
      <c r="B10" s="16"/>
      <c r="C10" s="16" t="s">
        <v>770</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771</v>
      </c>
      <c r="D13" s="19"/>
      <c r="E13" s="19"/>
      <c r="F13" s="19"/>
      <c r="G13" s="20"/>
      <c r="H13" s="16"/>
      <c r="I13" s="16"/>
      <c r="J13" s="663" t="s">
        <v>772</v>
      </c>
      <c r="K13" s="664"/>
      <c r="L13" s="664"/>
      <c r="M13" s="664"/>
      <c r="N13" s="664"/>
      <c r="O13" s="665">
        <f ca="1">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766</v>
      </c>
      <c r="D15" s="16"/>
      <c r="E15" s="16"/>
      <c r="F15" s="16"/>
      <c r="G15" s="656">
        <f ca="1">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773</v>
      </c>
      <c r="D16" s="16"/>
      <c r="E16" s="16"/>
      <c r="F16" s="16"/>
      <c r="G16" s="153">
        <f ca="1">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774</v>
      </c>
      <c r="D17" s="132"/>
      <c r="E17" s="132"/>
      <c r="F17" s="132"/>
      <c r="G17" s="666">
        <f ca="1">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775</v>
      </c>
      <c r="D20" s="19"/>
      <c r="E20" s="19"/>
      <c r="F20" s="19"/>
      <c r="G20" s="20"/>
      <c r="H20" s="16"/>
      <c r="I20" s="16"/>
      <c r="J20" s="18" t="s">
        <v>776</v>
      </c>
      <c r="K20" s="19"/>
      <c r="L20" s="19"/>
      <c r="M20" s="19"/>
      <c r="N20" s="19"/>
      <c r="O20" s="19"/>
      <c r="P20" s="20"/>
      <c r="Q20" s="667">
        <f ca="1">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 ca="1">C6</f>
        <v>Risk-Free Rate:</v>
      </c>
      <c r="D22" s="16"/>
      <c r="E22" s="16"/>
      <c r="F22" s="16"/>
      <c r="G22" s="656">
        <f ca="1">Risk_Free_Rate</f>
        <v>0.0349</v>
      </c>
      <c r="H22" s="16"/>
      <c r="I22" s="16"/>
      <c r="J22" s="590"/>
      <c r="K22" s="592"/>
      <c r="L22" s="592" t="s">
        <v>777</v>
      </c>
      <c r="M22" s="668"/>
      <c r="N22" s="668"/>
      <c r="O22" s="668"/>
      <c r="P22" s="668"/>
      <c r="Q22" s="16"/>
      <c r="R22" s="16"/>
      <c r="S22" s="16"/>
      <c r="T22" s="16"/>
      <c r="U22" s="16"/>
      <c r="V22" s="16"/>
      <c r="W22" s="16"/>
      <c r="X22" s="16"/>
      <c r="Y22" s="16"/>
      <c r="Z22" s="16"/>
    </row>
    <row r="23" ht="14.25" customHeight="1" spans="1:26" x14ac:dyDescent="0.25">
      <c r="A23" s="17"/>
      <c r="B23" s="16"/>
      <c r="C23" s="16" t="str">
        <f ca="1">C7</f>
        <v>Equity Risk Premium (ERP):</v>
      </c>
      <c r="D23" s="16"/>
      <c r="E23" s="16"/>
      <c r="F23" s="16"/>
      <c r="G23" s="656">
        <f ca="1">ERP</f>
        <v>0.049</v>
      </c>
      <c r="H23" s="16"/>
      <c r="I23" s="16"/>
      <c r="J23" s="16"/>
      <c r="K23" s="669">
        <f ca="1">Discount_Rate</f>
        <v>0.08911722232642302</v>
      </c>
      <c r="L23" s="670">
        <f t="shared" ref="L23:M23" si="2" ca="1">M23-$M$34</f>
        <v>0.006899999999999997</v>
      </c>
      <c r="M23" s="670">
        <f ca="1">N23-$M$34</f>
        <v>0.011899999999999997</v>
      </c>
      <c r="N23" s="671">
        <v>0.0169</v>
      </c>
      <c r="O23" s="670">
        <f t="shared" ref="O23:P23" si="3" ca="1">N23+$M$34</f>
        <v>0.0219</v>
      </c>
      <c r="P23" s="670">
        <f ca="1">O23+$M$34</f>
        <v>0.0269</v>
      </c>
      <c r="Q23" s="16"/>
      <c r="R23" s="16"/>
      <c r="S23" s="16"/>
      <c r="T23" s="16"/>
      <c r="U23" s="16"/>
      <c r="V23" s="16"/>
      <c r="W23" s="16"/>
      <c r="X23" s="16"/>
      <c r="Y23" s="16"/>
      <c r="Z23" s="16"/>
    </row>
    <row r="24" ht="14.25" customHeight="1" spans="1:26" x14ac:dyDescent="0.25">
      <c r="A24" s="17"/>
      <c r="B24" s="16"/>
      <c r="C24" s="131" t="s">
        <v>778</v>
      </c>
      <c r="D24" s="131"/>
      <c r="E24" s="131"/>
      <c r="F24" s="131"/>
      <c r="G24" s="672">
        <f ca="1">IF(J44="Comps Relevered Beta",G47,G49)</f>
        <v>1.32679</v>
      </c>
      <c r="H24" s="16"/>
      <c r="I24" s="16"/>
      <c r="J24" s="673" t="s">
        <v>779</v>
      </c>
      <c r="K24" s="674">
        <f t="shared" ref="K24:K25" si="4" ca="1">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775</v>
      </c>
      <c r="D25" s="16"/>
      <c r="E25" s="16"/>
      <c r="F25" s="16"/>
      <c r="G25" s="656">
        <f ca="1">G22+G24*G23</f>
        <v>0.09991271</v>
      </c>
      <c r="H25" s="16"/>
      <c r="I25" s="16"/>
      <c r="J25" s="678"/>
      <c r="K25" s="674">
        <f ca="1">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 ca="1">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 ca="1">Company_Name&amp;" - Peer Group Unlevered Beta:"</f>
        <v>Lowe's Companies, Inc. - Peer Group Unlevered Beta:</v>
      </c>
      <c r="D28" s="19"/>
      <c r="E28" s="19"/>
      <c r="F28" s="19"/>
      <c r="G28" s="20"/>
      <c r="H28" s="16"/>
      <c r="I28" s="16"/>
      <c r="J28" s="683"/>
      <c r="K28" s="674">
        <f ca="1">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780</v>
      </c>
      <c r="E30" s="84" t="s">
        <v>781</v>
      </c>
      <c r="F30" s="84" t="s">
        <v>782</v>
      </c>
      <c r="G30" s="84" t="s">
        <v>783</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520</v>
      </c>
      <c r="D31" s="210" t="s">
        <v>532</v>
      </c>
      <c r="E31" s="210" t="s">
        <v>537</v>
      </c>
      <c r="F31" s="210" t="s">
        <v>784</v>
      </c>
      <c r="G31" s="210" t="s">
        <v>532</v>
      </c>
      <c r="H31" s="16"/>
      <c r="I31" s="16"/>
      <c r="J31" s="92" t="s">
        <v>785</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f ca="1">Comparables!D12</f>
        <v>1e-12</v>
      </c>
      <c r="D33" s="689">
        <f ca="1">Comparables!H30</f>
        <v>1.20277</v>
      </c>
      <c r="E33" s="690">
        <f ca="1">Comparables!O30</f>
        <v>1.871439</v>
      </c>
      <c r="F33" s="691">
        <f ca="1">Comparables!G30</f>
        <v>0.144281</v>
      </c>
      <c r="G33" s="692">
        <f t="shared" ref="G33:G37" si="6" ca="1">IF(ISERROR(D33/(1+(1-F33)*E33)),"NA",(D33/(1+(1-F33)*E33)))</f>
        <v>0.4623502808757615</v>
      </c>
      <c r="H33" s="16"/>
      <c r="I33" s="16"/>
      <c r="J33" s="16" t="s">
        <v>786</v>
      </c>
      <c r="K33" s="16"/>
      <c r="L33" s="16"/>
      <c r="M33" s="693">
        <f ca="1">G8</f>
        <v>0.0169</v>
      </c>
      <c r="N33" s="667">
        <f ca="1">M33-N23</f>
        <v>1e-12</v>
      </c>
      <c r="O33" s="16"/>
      <c r="P33" s="16"/>
      <c r="Q33" s="16"/>
      <c r="R33" s="16"/>
      <c r="S33" s="16"/>
      <c r="T33" s="16"/>
      <c r="U33" s="16"/>
      <c r="V33" s="16"/>
      <c r="W33" s="16"/>
      <c r="X33" s="16"/>
      <c r="Y33" s="16"/>
      <c r="Z33" s="16"/>
    </row>
    <row r="34" ht="13.5" customHeight="1" spans="1:26" x14ac:dyDescent="0.25">
      <c r="A34" s="17"/>
      <c r="B34" s="16"/>
      <c r="C34" s="461">
        <f ca="1">Comparables!D13</f>
        <v>1e-12</v>
      </c>
      <c r="D34" s="689">
        <f ca="1">Comparables!H31</f>
        <v>1.29172</v>
      </c>
      <c r="E34" s="690">
        <f ca="1">Comparables!O31</f>
        <v>0.08712199999999999</v>
      </c>
      <c r="F34" s="691">
        <f ca="1">Comparables!G31</f>
        <v>0.12157899999999999</v>
      </c>
      <c r="G34" s="692">
        <f ca="1">IF(ISERROR(D34/(1+(1-F34)*E34)),"NA",(D34/(1+(1-F34)*E34)))</f>
        <v>1.1998924755868288</v>
      </c>
      <c r="H34" s="16"/>
      <c r="I34" s="16"/>
      <c r="J34" s="16" t="s">
        <v>787</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f ca="1">Comparables!D14</f>
        <v>1e-12</v>
      </c>
      <c r="D35" s="689">
        <f ca="1">Comparables!H32</f>
        <v>0.77608</v>
      </c>
      <c r="E35" s="690">
        <f ca="1">Comparables!O32</f>
        <v>0.579471</v>
      </c>
      <c r="F35" s="691">
        <f ca="1">Comparables!G32</f>
        <v>0.138266</v>
      </c>
      <c r="G35" s="692">
        <f ca="1">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f ca="1">Comparables!D15</f>
        <v>1e-12</v>
      </c>
      <c r="D36" s="689">
        <f ca="1">Comparables!H33</f>
        <v>1.27315</v>
      </c>
      <c r="E36" s="690">
        <f ca="1">Comparables!O33</f>
        <v>0.859896</v>
      </c>
      <c r="F36" s="691">
        <f ca="1">Comparables!G33</f>
        <v>0.138266</v>
      </c>
      <c r="G36" s="692">
        <f ca="1">IF(ISERROR(D36/(1+(1-F36)*E36)),"NA",(D36/(1+(1-F36)*E36)))</f>
        <v>0.731274448926537</v>
      </c>
      <c r="H36" s="16"/>
      <c r="I36" s="16"/>
      <c r="J36" s="16" t="s">
        <v>788</v>
      </c>
      <c r="K36" s="16"/>
      <c r="L36" s="16"/>
      <c r="M36" s="695">
        <f ca="1">Weight_of_Debt</f>
        <v>0.12388314648205556</v>
      </c>
      <c r="N36" s="667">
        <f ca="1">M36-K26</f>
        <v>-0.0023463606494161238</v>
      </c>
      <c r="O36" s="16"/>
      <c r="P36" s="16"/>
      <c r="Q36" s="16"/>
      <c r="R36" s="16"/>
      <c r="S36" s="16"/>
      <c r="T36" s="16"/>
      <c r="U36" s="16"/>
      <c r="V36" s="16"/>
      <c r="W36" s="16"/>
      <c r="X36" s="16"/>
      <c r="Y36" s="16"/>
      <c r="Z36" s="16"/>
    </row>
    <row r="37" ht="13.5" customHeight="1" spans="1:26" x14ac:dyDescent="0.25">
      <c r="A37" s="17"/>
      <c r="B37" s="16"/>
      <c r="C37" s="461">
        <f ca="1">Comparables!D16</f>
        <v>1e-12</v>
      </c>
      <c r="D37" s="689">
        <f ca="1">Comparables!H34</f>
        <v>0.99925</v>
      </c>
      <c r="E37" s="690">
        <f ca="1">Comparables!O34</f>
        <v>0.125242</v>
      </c>
      <c r="F37" s="691">
        <f ca="1">Comparables!G34</f>
        <v>0.16249300000000003</v>
      </c>
      <c r="G37" s="692">
        <f ca="1">IF(ISERROR(D37/(1+(1-F37)*E37)),"NA",(D37/(1+(1-F37)*E37)))</f>
        <v>0.9043878113303271</v>
      </c>
      <c r="H37" s="16"/>
      <c r="I37" s="16"/>
      <c r="J37" s="16" t="s">
        <v>789</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790</v>
      </c>
      <c r="D39" s="692">
        <f t="shared" ref="D39:G39" si="7" ca="1">AVERAGE(D32:D38)</f>
        <v>1.1085939999999999</v>
      </c>
      <c r="E39" s="548">
        <f ca="1">AVERAGE(E32:E38)</f>
        <v>0.704634</v>
      </c>
      <c r="F39" s="552">
        <f ca="1">AVERAGE(F32:F38)</f>
        <v>0.140977</v>
      </c>
      <c r="G39" s="692">
        <f ca="1">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791</v>
      </c>
      <c r="D40" s="692">
        <f t="shared" ref="D40:G40" si="8" ca="1">MEDIAN(D32:D38)</f>
        <v>1.20277</v>
      </c>
      <c r="E40" s="548">
        <f ca="1">MEDIAN(E32:E38)</f>
        <v>0.579471</v>
      </c>
      <c r="F40" s="552">
        <f ca="1">MEDIAN(F32:F38)</f>
        <v>0.138266</v>
      </c>
      <c r="G40" s="692">
        <f ca="1">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 ca="1">Company_Name&amp;" - Relevered Beta"</f>
        <v>Lowe's Companies, Inc. - Relevered Beta</v>
      </c>
      <c r="D43" s="19"/>
      <c r="E43" s="19"/>
      <c r="F43" s="19"/>
      <c r="G43" s="20"/>
      <c r="H43" s="16"/>
      <c r="I43" s="16"/>
      <c r="J43" s="104" t="s">
        <v>792</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793</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794</v>
      </c>
      <c r="E45" s="84" t="s">
        <v>795</v>
      </c>
      <c r="F45" s="84" t="s">
        <v>782</v>
      </c>
      <c r="G45" s="84" t="s">
        <v>796</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532</v>
      </c>
      <c r="E46" s="84" t="s">
        <v>537</v>
      </c>
      <c r="F46" s="84" t="s">
        <v>784</v>
      </c>
      <c r="G46" s="84" t="s">
        <v>532</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797</v>
      </c>
      <c r="D47" s="701">
        <f ca="1">G39</f>
        <v>0.7631032057730429</v>
      </c>
      <c r="E47" s="702">
        <f ca="1">Comparables!O28</f>
        <v>18.240083</v>
      </c>
      <c r="F47" s="703">
        <f ca="1">Tax_Rate</f>
        <v>0.2443665498247371</v>
      </c>
      <c r="G47" s="704">
        <f ca="1">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 ca="1">Company_Name&amp;" Levered Beta"</f>
        <v>Lowe's Companies, Inc. Levered Beta</v>
      </c>
      <c r="D49" s="705"/>
      <c r="E49" s="706"/>
      <c r="F49" s="706"/>
      <c r="G49" s="707">
        <f ca="1">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9" activePane="bottomLeft" state="frozen"/>
      <selection pane="bottomLeft" activeCell="L22" sqref="L22"/>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 ca="1">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 ca="1">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798</v>
      </c>
      <c r="W4" s="709" t="str">
        <f ca="1">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799</v>
      </c>
      <c r="E6" s="109" t="s">
        <v>800</v>
      </c>
      <c r="F6" s="710" t="s">
        <v>801</v>
      </c>
      <c r="G6" s="711" t="s">
        <v>802</v>
      </c>
      <c r="H6" s="16"/>
      <c r="I6" s="16"/>
      <c r="J6" s="16"/>
      <c r="K6" s="16"/>
      <c r="L6" s="712" t="s">
        <v>803</v>
      </c>
      <c r="M6" s="713"/>
      <c r="N6" s="713"/>
      <c r="O6" s="713"/>
      <c r="P6" s="713"/>
      <c r="Q6" s="713"/>
      <c r="R6" s="181"/>
      <c r="S6" s="16"/>
      <c r="T6" s="16"/>
      <c r="U6" s="16"/>
      <c r="V6" s="16"/>
      <c r="W6" s="16"/>
      <c r="X6" s="16"/>
      <c r="Y6" s="16"/>
      <c r="Z6" s="16"/>
      <c r="AA6" s="16"/>
      <c r="AB6" s="16"/>
    </row>
    <row r="7" ht="14.25" customHeight="1" spans="1:28" x14ac:dyDescent="0.25">
      <c r="A7" s="16"/>
      <c r="B7" s="16"/>
      <c r="C7" s="714">
        <f ca="1">Diluted_Shares</f>
        <v>707</v>
      </c>
      <c r="D7" s="715">
        <f ca="1">Share_Price</f>
        <v>233.18</v>
      </c>
      <c r="E7" s="716">
        <f ca="1">C7*D7</f>
        <v>164858.26</v>
      </c>
      <c r="F7" s="716">
        <f ca="1">Model!V140-Model!V120</f>
        <v>17056</v>
      </c>
      <c r="G7" s="716">
        <f ca="1">SUM(E7:F7)</f>
        <v>181914.26</v>
      </c>
      <c r="H7" s="16"/>
      <c r="I7" s="16"/>
      <c r="J7" s="16"/>
      <c r="K7" s="16"/>
      <c r="L7" s="700"/>
      <c r="M7" s="109" t="s">
        <v>804</v>
      </c>
      <c r="N7" s="109"/>
      <c r="O7" s="109"/>
      <c r="P7" s="109"/>
      <c r="Q7" s="109" t="s">
        <v>805</v>
      </c>
      <c r="R7" s="45" t="s">
        <v>806</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807</v>
      </c>
      <c r="N8" s="16"/>
      <c r="O8" s="16"/>
      <c r="P8" s="16"/>
      <c r="Q8" s="717"/>
      <c r="R8" s="207"/>
      <c r="S8" s="16"/>
      <c r="T8" s="16"/>
      <c r="U8" s="16"/>
      <c r="V8" s="16"/>
      <c r="W8" s="16"/>
      <c r="X8" s="16"/>
      <c r="Y8" s="16"/>
      <c r="Z8" s="16"/>
      <c r="AA8" s="16"/>
      <c r="AB8" s="16"/>
    </row>
    <row r="9" ht="14.25" customHeight="1" spans="1:28" x14ac:dyDescent="0.25">
      <c r="A9" s="16"/>
      <c r="B9" s="718" t="str">
        <f ca="1">C9</f>
        <v>Primary Peer Group</v>
      </c>
      <c r="C9" s="712" t="str">
        <f ca="1">'Multiples Data'!L4</f>
        <v>Primary Peer Group</v>
      </c>
      <c r="D9" s="713"/>
      <c r="E9" s="713"/>
      <c r="F9" s="713"/>
      <c r="G9" s="713"/>
      <c r="H9" s="713"/>
      <c r="I9" s="713"/>
      <c r="J9" s="713"/>
      <c r="K9" s="16"/>
      <c r="L9" s="719">
        <v>0.5</v>
      </c>
      <c r="M9" s="120" t="s">
        <v>148</v>
      </c>
      <c r="N9" s="16"/>
      <c r="O9" s="16"/>
      <c r="P9" s="16"/>
      <c r="Q9" s="717">
        <f ca="1">$AB$76</f>
        <v>-58.590077163821434</v>
      </c>
      <c r="R9" s="207">
        <f ca="1">Q9/Share_Price-1</f>
      </c>
      <c r="S9" s="16"/>
      <c r="T9" s="16"/>
      <c r="U9" s="16"/>
      <c r="V9" s="16"/>
      <c r="W9" s="16"/>
      <c r="X9" s="16"/>
      <c r="Y9" s="16"/>
      <c r="Z9" s="16"/>
      <c r="AA9" s="16"/>
      <c r="AB9" s="16"/>
    </row>
    <row r="10" ht="14.25" customHeight="1" spans="1:28" x14ac:dyDescent="0.25">
      <c r="A10" s="16"/>
      <c r="B10" s="718" t="str">
        <f ca="1">C14</f>
        <v>Defense Peer Group</v>
      </c>
      <c r="C10" s="374"/>
      <c r="D10" s="720" t="str">
        <f ca="1">Ticker</f>
        <v>LOW</v>
      </c>
      <c r="E10" s="720" t="s">
        <v>152</v>
      </c>
      <c r="F10" s="721" t="str">
        <f ca="1">'Multiples Data'!M$6</f>
        <v>The Home Depot, Inc.</v>
      </c>
      <c r="G10" s="721" t="str">
        <f ca="1">'Multiples Data'!N$6</f>
        <v>Apple</v>
      </c>
      <c r="H10" s="721" t="str">
        <f ca="1">'Multiples Data'!O$6</f>
        <v>Microsoft</v>
      </c>
      <c r="I10" s="721" t="str">
        <f ca="1">'Multiples Data'!P$6</f>
        <v>Broadcom</v>
      </c>
      <c r="J10" s="721" t="str">
        <f ca="1">'Multiples Data'!Q$6</f>
        <v>Disney</v>
      </c>
      <c r="K10" s="16"/>
      <c r="L10" s="719">
        <v>0.5</v>
      </c>
      <c r="M10" s="120" t="s">
        <v>808</v>
      </c>
      <c r="N10" s="16"/>
      <c r="O10" s="16"/>
      <c r="P10" s="16"/>
      <c r="Q10" s="717">
        <f ca="1">$R$76</f>
        <v>-58.590077163821434</v>
      </c>
      <c r="R10" s="207">
        <f ca="1">Q10/Share_Price-1</f>
      </c>
      <c r="S10" s="16"/>
      <c r="T10" s="16"/>
      <c r="U10" s="16"/>
      <c r="V10" s="16"/>
      <c r="W10" s="16"/>
      <c r="X10" s="16"/>
      <c r="Y10" s="16"/>
      <c r="Z10" s="16"/>
      <c r="AA10" s="16"/>
      <c r="AB10" s="16"/>
    </row>
    <row r="11" ht="14.25" customHeight="1" spans="1:28" x14ac:dyDescent="0.25">
      <c r="A11" s="16"/>
      <c r="B11" s="718" t="str">
        <f ca="1">C19</f>
        <v>Cap. Goods Peer Group</v>
      </c>
      <c r="C11" s="84" t="s">
        <v>138</v>
      </c>
      <c r="D11" s="722">
        <f ca="1">IF($D$24="LTM",'Multiples Data'!L$86,IF($D$24="NTM",'Multiples Data'!R$86,"N/A"))</f>
        <v>18.6398</v>
      </c>
      <c r="E11" s="723">
        <f t="shared" ref="E11:E12" si="0" ca="1">AVERAGE(F11:J11)</f>
        <v>22.233219999999996</v>
      </c>
      <c r="F11" s="724">
        <f ca="1">IF($D$24="LTM",'Multiples Data'!M$86,IF($D$24="NTM",'Multiples Data'!S$86,"N/A"))</f>
        <v>22.4473</v>
      </c>
      <c r="G11" s="724">
        <f ca="1">IF($D$24="LTM",'Multiples Data'!N$86,IF($D$24="NTM",'Multiples Data'!T$86,"N/A"))</f>
        <v>22.1797</v>
      </c>
      <c r="H11" s="724">
        <f ca="1">IF($D$24="LTM",'Multiples Data'!O$86,IF($D$24="NTM",'Multiples Data'!U$86,"N/A"))</f>
        <v>22.1797</v>
      </c>
      <c r="I11" s="724">
        <f ca="1">IF($D$24="LTM",'Multiples Data'!P$86,IF($D$24="NTM",'Multiples Data'!V$86,"N/A"))</f>
        <v>22.1797</v>
      </c>
      <c r="J11" s="724">
        <f ca="1">IF($D$24="LTM",'Multiples Data'!Q$86,IF($D$24="NTM",'Multiples Data'!W$86,"N/A"))</f>
        <v>22.1797</v>
      </c>
      <c r="K11" s="16"/>
      <c r="L11" s="16"/>
      <c r="M11" s="263" t="s">
        <v>809</v>
      </c>
      <c r="N11" s="16"/>
      <c r="O11" s="16"/>
      <c r="P11" s="16"/>
      <c r="Q11" s="717"/>
      <c r="R11" s="207"/>
      <c r="S11" s="16"/>
      <c r="T11" s="16"/>
      <c r="U11" s="16"/>
      <c r="V11" s="16"/>
      <c r="W11" s="16"/>
      <c r="X11" s="16"/>
      <c r="Y11" s="16"/>
      <c r="Z11" s="16"/>
      <c r="AA11" s="16"/>
      <c r="AB11" s="16"/>
    </row>
    <row r="12" ht="14.25" customHeight="1" spans="1:28" x14ac:dyDescent="0.25">
      <c r="A12" s="16"/>
      <c r="B12" s="718" t="str">
        <f ca="1">Company_Name</f>
        <v>Lowe's Companies, Inc.</v>
      </c>
      <c r="C12" s="84" t="s">
        <v>140</v>
      </c>
      <c r="D12" s="725">
        <f ca="1">IF($D$24="LTM",'Multiples Data'!X$86,IF($D$24="NTM",'Multiples Data'!AD$86,"N/A"))</f>
        <v>12.4849</v>
      </c>
      <c r="E12" s="726">
        <f ca="1">AVERAGE(F12:J12)</f>
        <v>15.517159999999999</v>
      </c>
      <c r="F12" s="724">
        <f ca="1">IF($D$24="LTM",'Multiples Data'!Y$86,IF($D$24="NTM",'Multiples Data'!AE$86,"N/A"))</f>
        <v>15.5814</v>
      </c>
      <c r="G12" s="724">
        <f ca="1">IF($D$24="LTM",'Multiples Data'!Z$86,IF($D$24="NTM",'Multiples Data'!AF$86,"N/A"))</f>
        <v>15.5011</v>
      </c>
      <c r="H12" s="724">
        <f ca="1">IF($D$24="LTM",'Multiples Data'!AA$86,IF($D$24="NTM",'Multiples Data'!AG$86,"N/A"))</f>
        <v>15.5011</v>
      </c>
      <c r="I12" s="724">
        <f ca="1">IF($D$24="LTM",'Multiples Data'!AB$86,IF($D$24="NTM",'Multiples Data'!AH$86,"N/A"))</f>
        <v>15.5011</v>
      </c>
      <c r="J12" s="724">
        <f ca="1">IF($D$24="LTM",'Multiples Data'!AC$86,IF($D$24="NTM",'Multiples Data'!AI$86,"N/A"))</f>
        <v>15.5011</v>
      </c>
      <c r="K12" s="16"/>
      <c r="L12" s="719">
        <v>0</v>
      </c>
      <c r="M12" s="120" t="str">
        <f ca="1">$G$144&amp;" P/E"</f>
        <v>NTM P/E</v>
      </c>
      <c r="N12" s="16"/>
      <c r="O12" s="16"/>
      <c r="P12" s="16"/>
      <c r="Q12" s="717">
        <f ca="1">$F$126</f>
        <v>1e-12</v>
      </c>
      <c r="R12" s="207">
        <f ca="1">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 ca="1">$G$144&amp;" P/E Spread to Comps"</f>
        <v>NTM P/E Spread to Comps</v>
      </c>
      <c r="N13" s="16"/>
      <c r="O13" s="16"/>
      <c r="P13" s="16"/>
      <c r="Q13" s="717">
        <f ca="1">$J$126</f>
        <v>1e-12</v>
      </c>
      <c r="R13" s="207">
        <f ca="1">Q13/Share_Price-1</f>
      </c>
      <c r="S13" s="16"/>
      <c r="T13" s="16"/>
      <c r="U13" s="16"/>
      <c r="V13" s="16"/>
      <c r="W13" s="16"/>
      <c r="X13" s="16"/>
      <c r="Y13" s="16"/>
      <c r="Z13" s="16"/>
      <c r="AA13" s="16"/>
      <c r="AB13" s="16"/>
    </row>
    <row r="14" ht="14.25" customHeight="1" spans="1:28" x14ac:dyDescent="0.25">
      <c r="A14" s="16"/>
      <c r="B14" s="16"/>
      <c r="C14" s="712" t="str">
        <f ca="1">'Multiples Data'!AL4</f>
        <v>Defense Peer Group</v>
      </c>
      <c r="D14" s="713"/>
      <c r="E14" s="713"/>
      <c r="F14" s="713"/>
      <c r="G14" s="713"/>
      <c r="H14" s="713"/>
      <c r="I14" s="713"/>
      <c r="J14" s="181"/>
      <c r="K14" s="16"/>
      <c r="L14" s="719">
        <v>0</v>
      </c>
      <c r="M14" s="120" t="str">
        <f ca="1">$G$144&amp;" EV/EBITDA"</f>
        <v>NTM EV/EBITDA</v>
      </c>
      <c r="N14" s="16"/>
      <c r="O14" s="16"/>
      <c r="P14" s="16"/>
      <c r="Q14" s="717">
        <f ca="1">$N$137</f>
        <v>-24.124469589816126</v>
      </c>
      <c r="R14" s="207">
        <f ca="1">Q14/Share_Price-1</f>
      </c>
      <c r="S14" s="16"/>
      <c r="T14" s="16"/>
      <c r="U14" s="16"/>
      <c r="V14" s="16"/>
      <c r="W14" s="16"/>
      <c r="X14" s="16"/>
      <c r="Y14" s="16"/>
      <c r="Z14" s="16"/>
      <c r="AA14" s="16"/>
      <c r="AB14" s="16"/>
    </row>
    <row r="15" ht="14.25" customHeight="1" spans="1:28" x14ac:dyDescent="0.25">
      <c r="A15" s="16"/>
      <c r="B15" s="16"/>
      <c r="C15" s="374"/>
      <c r="D15" s="720" t="str">
        <f ca="1">Ticker</f>
        <v>LOW</v>
      </c>
      <c r="E15" s="720" t="s">
        <v>152</v>
      </c>
      <c r="F15" s="721" t="str">
        <f ca="1">'Multiples Data'!AM$6</f>
        <v>Raytheon</v>
      </c>
      <c r="G15" s="720" t="str">
        <f ca="1">'Multiples Data'!AN$6</f>
        <v>Boeing</v>
      </c>
      <c r="H15" s="720" t="str">
        <f ca="1">'Multiples Data'!AO$6</f>
        <v>Huntington Ingalls</v>
      </c>
      <c r="I15" s="720" t="str">
        <f ca="1">'Multiples Data'!AP$6</f>
        <v>Lockheed Martin</v>
      </c>
      <c r="J15" s="727" t="str">
        <f ca="1">'Multiples Data'!AQ$6</f>
        <v>Northrop Grumman</v>
      </c>
      <c r="K15" s="16"/>
      <c r="L15" s="719">
        <v>0</v>
      </c>
      <c r="M15" s="120" t="str">
        <f ca="1">$G$144&amp;" EV/EBITDA Spread to Comps"</f>
        <v>NTM EV/EBITDA Spread to Comps</v>
      </c>
      <c r="N15" s="16"/>
      <c r="O15" s="16"/>
      <c r="P15" s="16"/>
      <c r="Q15" s="717">
        <f ca="1">$R$137</f>
        <v>-24.124469589816126</v>
      </c>
      <c r="R15" s="207">
        <f ca="1">Q15/Share_Price-1</f>
      </c>
      <c r="S15" s="16"/>
      <c r="T15" s="16"/>
      <c r="U15" s="16"/>
      <c r="V15" s="16"/>
      <c r="W15" s="16"/>
      <c r="X15" s="16"/>
      <c r="Y15" s="16"/>
      <c r="Z15" s="16"/>
      <c r="AA15" s="16"/>
      <c r="AB15" s="16"/>
    </row>
    <row r="16" ht="14.25" customHeight="1" spans="1:28" x14ac:dyDescent="0.25">
      <c r="A16" s="16"/>
      <c r="B16" s="16"/>
      <c r="C16" s="84" t="s">
        <v>138</v>
      </c>
      <c r="D16" s="722">
        <f ca="1">D$11</f>
        <v>18.6398</v>
      </c>
      <c r="E16" s="723">
        <f t="shared" ref="E16:E17" si="1" ca="1">AVERAGE(F16:J16)</f>
        <v>16.20704618026362</v>
      </c>
      <c r="F16" s="724">
        <f ca="1">IF($D$24="LTM",'Multiples Data'!AM$86,IF($D$24="NTM",'Multiples Data'!AS$86,"N/A"))</f>
        <v>18.0372200865908</v>
      </c>
      <c r="G16" s="724">
        <f ca="1">IF($D$24="LTM",'Multiples Data'!AN$86,IF($D$24="NTM",'Multiples Data'!AT$86,"N/A"))</f>
        <v>18.548904045644</v>
      </c>
      <c r="H16" s="724">
        <f ca="1">IF($D$24="LTM",'Multiples Data'!AO$86,IF($D$24="NTM",'Multiples Data'!AU$86,"N/A"))</f>
        <v>17.3009847075473</v>
      </c>
      <c r="I16" s="724">
        <f ca="1">IF($D$24="LTM",'Multiples Data'!AP$86,IF($D$24="NTM",'Multiples Data'!AV$86,"N/A"))</f>
        <v>15.0214839738927</v>
      </c>
      <c r="J16" s="724">
        <f ca="1">IF($D$24="LTM",'Multiples Data'!AQ$86,IF($D$24="NTM",'Multiples Data'!AW$86,"N/A"))</f>
        <v>12.1266380876433</v>
      </c>
      <c r="K16" s="16"/>
      <c r="L16" s="16"/>
      <c r="M16" s="263" t="s">
        <v>810</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 ca="1">D$12</f>
        <v>12.4849</v>
      </c>
      <c r="E17" s="726">
        <f ca="1">AVERAGE(F17:J17)</f>
        <v>12.189450395723323</v>
      </c>
      <c r="F17" s="724">
        <f ca="1">IF($D$24="LTM",'Multiples Data'!AY$86,IF($D$24="NTM",'Multiples Data'!BE$86,"N/A"))</f>
        <v>12.7838345671624</v>
      </c>
      <c r="G17" s="724">
        <f ca="1">IF($D$24="LTM",'Multiples Data'!AZ$86,IF($D$24="NTM",'Multiples Data'!BF$86,"N/A"))</f>
        <v>15.5062457521629</v>
      </c>
      <c r="H17" s="724">
        <f ca="1">IF($D$24="LTM",'Multiples Data'!BA$86,IF($D$24="NTM",'Multiples Data'!BG$86,"N/A"))</f>
        <v>11.4931908863573</v>
      </c>
      <c r="I17" s="724">
        <f ca="1">IF($D$24="LTM",'Multiples Data'!BB$86,IF($D$24="NTM",'Multiples Data'!BH$86,"N/A"))</f>
        <v>12.2156576237082</v>
      </c>
      <c r="J17" s="724">
        <f ca="1">IF($D$24="LTM",'Multiples Data'!BC$86,IF($D$24="NTM",'Multiples Data'!BI$86,"N/A"))</f>
        <v>8.94832314922583</v>
      </c>
      <c r="K17" s="16"/>
      <c r="L17" s="719">
        <v>0</v>
      </c>
      <c r="M17" s="120" t="str">
        <f ca="1">$G$222&amp;" P/E"</f>
        <v>NTM P/E</v>
      </c>
      <c r="N17" s="16"/>
      <c r="O17" s="16"/>
      <c r="P17" s="16"/>
      <c r="Q17" s="717">
        <f ca="1">$F$204</f>
        <v>1e-12</v>
      </c>
      <c r="R17" s="207">
        <f ca="1">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 ca="1">$G$222&amp;" P/E Spread to Comps"</f>
        <v>NTM P/E Spread to Comps</v>
      </c>
      <c r="N18" s="16"/>
      <c r="O18" s="16"/>
      <c r="P18" s="16"/>
      <c r="Q18" s="717">
        <f ca="1">$J$204</f>
        <v>1e-12</v>
      </c>
      <c r="R18" s="207">
        <f ca="1">Q18/Share_Price-1</f>
      </c>
      <c r="S18" s="16"/>
      <c r="T18" s="16"/>
      <c r="U18" s="16"/>
      <c r="V18" s="16"/>
      <c r="W18" s="16"/>
      <c r="X18" s="16"/>
      <c r="Y18" s="16"/>
      <c r="Z18" s="16"/>
      <c r="AA18" s="16"/>
      <c r="AB18" s="16"/>
    </row>
    <row r="19" ht="14.25" customHeight="1" spans="1:28" x14ac:dyDescent="0.25">
      <c r="A19" s="16"/>
      <c r="B19" s="16"/>
      <c r="C19" s="712" t="str">
        <f ca="1">'Multiples Data'!BL4</f>
        <v>Cap. Goods Peer Group</v>
      </c>
      <c r="D19" s="713"/>
      <c r="E19" s="713"/>
      <c r="F19" s="713"/>
      <c r="G19" s="713"/>
      <c r="H19" s="713"/>
      <c r="I19" s="713"/>
      <c r="J19" s="181"/>
      <c r="K19" s="16"/>
      <c r="L19" s="719">
        <v>0</v>
      </c>
      <c r="M19" s="120" t="str">
        <f ca="1">$G$222&amp;" EV/EBITDA"</f>
        <v>NTM EV/EBITDA</v>
      </c>
      <c r="N19" s="16"/>
      <c r="O19" s="16"/>
      <c r="P19" s="16"/>
      <c r="Q19" s="717">
        <f ca="1">$N$215</f>
        <v>-24.124469589816126</v>
      </c>
      <c r="R19" s="207">
        <f ca="1">Q19/Share_Price-1</f>
      </c>
      <c r="S19" s="16"/>
      <c r="T19" s="16"/>
      <c r="U19" s="16"/>
      <c r="V19" s="16"/>
      <c r="W19" s="16"/>
      <c r="X19" s="16"/>
      <c r="Y19" s="16"/>
      <c r="Z19" s="16"/>
      <c r="AA19" s="16"/>
      <c r="AB19" s="16"/>
    </row>
    <row r="20" ht="14.25" customHeight="1" spans="1:28" x14ac:dyDescent="0.25">
      <c r="A20" s="16"/>
      <c r="B20" s="16"/>
      <c r="C20" s="374"/>
      <c r="D20" s="720" t="str">
        <f ca="1">Ticker</f>
        <v>LOW</v>
      </c>
      <c r="E20" s="720" t="s">
        <v>152</v>
      </c>
      <c r="F20" s="721" t="str">
        <f ca="1">'Multiples Data'!BM$6</f>
        <v>3M Company</v>
      </c>
      <c r="G20" s="720" t="str">
        <f ca="1">'Multiples Data'!BN$6</f>
        <v>General Electric</v>
      </c>
      <c r="H20" s="720" t="str">
        <f ca="1">'Multiples Data'!BO$6</f>
        <v>Honeywell</v>
      </c>
      <c r="I20" s="720" t="str">
        <f ca="1">'Multiples Data'!BP$6</f>
        <v>Roper Technologies</v>
      </c>
      <c r="J20" s="727" t="str">
        <f ca="1">'Multiples Data'!BQ$6</f>
        <v>Emerson Electric</v>
      </c>
      <c r="K20" s="16"/>
      <c r="L20" s="719">
        <v>0</v>
      </c>
      <c r="M20" s="120" t="str">
        <f ca="1">$G$222&amp;" EV/EBITDA Spread to Comps"</f>
        <v>NTM EV/EBITDA Spread to Comps</v>
      </c>
      <c r="N20" s="16"/>
      <c r="O20" s="16"/>
      <c r="P20" s="16"/>
      <c r="Q20" s="717">
        <f ca="1">$R$215</f>
        <v>-24.124469589816126</v>
      </c>
      <c r="R20" s="207">
        <f ca="1">Q20/Share_Price-1</f>
      </c>
      <c r="S20" s="16"/>
      <c r="T20" s="16"/>
      <c r="U20" s="16"/>
      <c r="V20" s="16"/>
      <c r="W20" s="16"/>
      <c r="X20" s="16"/>
      <c r="Y20" s="16"/>
      <c r="Z20" s="16"/>
      <c r="AA20" s="16"/>
      <c r="AB20" s="16"/>
    </row>
    <row r="21" ht="14.25" customHeight="1" spans="1:28" x14ac:dyDescent="0.25">
      <c r="A21" s="16"/>
      <c r="B21" s="16"/>
      <c r="C21" s="84" t="s">
        <v>138</v>
      </c>
      <c r="D21" s="722">
        <f ca="1">D$11</f>
        <v>18.6398</v>
      </c>
      <c r="E21" s="723">
        <f t="shared" ref="E21:E22" si="2" ca="1">AVERAGE(F21:J21)</f>
        <v>16.16874562323472</v>
      </c>
      <c r="F21" s="724">
        <f ca="1">IF($D$24="LTM",'Multiples Data'!BM$86,IF($D$24="NTM",'Multiples Data'!BS$86,"N/A"))</f>
        <v>11.0988919387388</v>
      </c>
      <c r="G21" s="724">
        <f ca="1">IF($D$24="LTM",'Multiples Data'!BN$86,IF($D$24="NTM",'Multiples Data'!BT$86,"N/A"))</f>
        <v>17.1678038497184</v>
      </c>
      <c r="H21" s="724">
        <f ca="1">IF($D$24="LTM",'Multiples Data'!BO$86,IF($D$24="NTM",'Multiples Data'!BU$86,"N/A"))</f>
        <v>15.3184158666614</v>
      </c>
      <c r="I21" s="724">
        <f ca="1">IF($D$24="LTM",'Multiples Data'!BP$86,IF($D$24="NTM",'Multiples Data'!BV$86,"N/A"))</f>
        <v>20.2337090247079</v>
      </c>
      <c r="J21" s="724">
        <f ca="1">IF($D$24="LTM",'Multiples Data'!BQ$86,IF($D$24="NTM",'Multiples Data'!BW$86,"N/A"))</f>
        <v>17.0249074363471</v>
      </c>
      <c r="K21" s="16"/>
      <c r="L21" s="16"/>
      <c r="M21" s="263" t="s">
        <v>811</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 ca="1">D$12</f>
        <v>12.4849</v>
      </c>
      <c r="E22" s="726">
        <f ca="1">AVERAGE(F22:J22)</f>
        <v>11.6208901847341</v>
      </c>
      <c r="F22" s="724">
        <f ca="1">IF($D$24="LTM",'Multiples Data'!BY$86,IF($D$24="NTM",'Multiples Data'!CE$86,"N/A"))</f>
        <v>6.6876218938895</v>
      </c>
      <c r="G22" s="724">
        <f ca="1">IF($D$24="LTM",'Multiples Data'!BZ$86,IF($D$24="NTM",'Multiples Data'!CF$86,"N/A"))</f>
        <v>13.0119608316293</v>
      </c>
      <c r="H22" s="724">
        <f ca="1">IF($D$24="LTM",'Multiples Data'!CA$86,IF($D$24="NTM",'Multiples Data'!CG$86,"N/A"))</f>
        <v>12.4521138558247</v>
      </c>
      <c r="I22" s="724">
        <f ca="1">IF($D$24="LTM",'Multiples Data'!CB$86,IF($D$24="NTM",'Multiples Data'!CH$86,"N/A"))</f>
        <v>14.1638045774507</v>
      </c>
      <c r="J22" s="724">
        <f ca="1">IF($D$24="LTM",'Multiples Data'!CC$86,IF($D$24="NTM",'Multiples Data'!CI$86,"N/A"))</f>
        <v>11.7889497648763</v>
      </c>
      <c r="K22" s="16"/>
      <c r="L22" s="719">
        <v>0</v>
      </c>
      <c r="M22" s="728" t="str">
        <f ca="1">D24&amp;" EV/EBITDA"</f>
        <v>NTM EV/EBITDA</v>
      </c>
      <c r="N22" s="131"/>
      <c r="O22" s="131"/>
      <c r="P22" s="131"/>
      <c r="Q22" s="729">
        <f ca="1">$R$284</f>
        <v>302.6306400799248</v>
      </c>
      <c r="R22" s="730">
        <f ca="1">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812</v>
      </c>
      <c r="N23" s="16"/>
      <c r="O23" s="16"/>
      <c r="P23" s="16"/>
      <c r="Q23" s="717">
        <f ca="1">AVERAGE(Q9:Q22)</f>
      </c>
      <c r="R23" s="207">
        <f ca="1">Q23/Share_Price-1</f>
      </c>
      <c r="S23" s="16"/>
      <c r="T23" s="16"/>
      <c r="U23" s="16"/>
      <c r="V23" s="16"/>
      <c r="W23" s="16"/>
      <c r="X23" s="16"/>
      <c r="Y23" s="16"/>
      <c r="Z23" s="16"/>
      <c r="AA23" s="16"/>
      <c r="AB23" s="16"/>
    </row>
    <row r="24" ht="14.25" customHeight="1" spans="1:28" x14ac:dyDescent="0.25">
      <c r="A24" s="16"/>
      <c r="B24" s="16"/>
      <c r="C24" s="16" t="s">
        <v>813</v>
      </c>
      <c r="D24" s="267" t="s">
        <v>814</v>
      </c>
      <c r="E24" s="16"/>
      <c r="F24" s="16"/>
      <c r="G24" s="16"/>
      <c r="H24" s="724"/>
      <c r="I24" s="724"/>
      <c r="J24" s="724"/>
      <c r="K24" s="16"/>
      <c r="L24" s="303"/>
      <c r="M24" s="16" t="s">
        <v>815</v>
      </c>
      <c r="N24" s="16"/>
      <c r="O24" s="731"/>
      <c r="P24" s="16"/>
      <c r="Q24" s="717">
        <f ca="1">SUMPRODUCT(L9:L22,Q9:Q22)</f>
      </c>
      <c r="R24" s="207">
        <f ca="1">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 ca="1">N26+1</f>
        <v>2</v>
      </c>
      <c r="P26" s="732">
        <f ca="1">O26+1</f>
        <v>3</v>
      </c>
      <c r="Q26" s="732">
        <f ca="1">P26+1</f>
        <v>4</v>
      </c>
      <c r="R26" s="732">
        <f ca="1">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 ca="1">LEN(J28)</f>
        <v>4</v>
      </c>
      <c r="K27" s="47">
        <f ca="1">LEN(K28)</f>
        <v>4</v>
      </c>
      <c r="L27" s="47">
        <f ca="1">LEN(L28)</f>
        <v>5</v>
      </c>
      <c r="M27" s="47">
        <f ca="1">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816</v>
      </c>
      <c r="D28" s="373"/>
      <c r="E28" s="373"/>
      <c r="F28" s="373"/>
      <c r="G28" s="733">
        <f t="shared" ref="G28:I28" si="5" ca="1">G29</f>
        <v>2023</v>
      </c>
      <c r="H28" s="733">
        <f ca="1">H29</f>
        <v>2024</v>
      </c>
      <c r="I28" s="733">
        <f ca="1">I29</f>
        <v>2025</v>
      </c>
      <c r="J28" s="734" t="str">
        <f ca="1">IF(Last_FQR="4Q","1Q"&amp;RIGHT(J29,2)&amp;"e","1Q"&amp;RIGHT(J29,2))</f>
        <v>1Q26</v>
      </c>
      <c r="K28" s="194" t="str">
        <f ca="1">IF(Last_FQR="4Q","2Q"&amp;RIGHT(K29,2)&amp;"e",IF(Last_FQR="1Q","2Q"&amp;RIGHT(K29,2)&amp;"e","2Q"&amp;RIGHT(K29,2)))</f>
        <v>2Q26</v>
      </c>
      <c r="L28" s="194" t="str">
        <f ca="1">IF(Last_FQR="4Q","3Q"&amp;RIGHT(L29,2)&amp;"e",IF(Last_FQR="1Q","3Q"&amp;RIGHT(L29,2)&amp;"e",IF(Last_FQR="2Q","3Q"&amp;RIGHT(L29,2)&amp;"e","3Q"&amp;RIGHT(L29,2))))</f>
        <v>3Q26e</v>
      </c>
      <c r="M28" s="735" t="str">
        <f ca="1">"4Q"&amp;RIGHT(M29,2)&amp;"e"</f>
        <v>4Q26e</v>
      </c>
      <c r="N28" s="194" t="str">
        <f t="shared" ref="N28:R28" si="6" ca="1">N29&amp;"e"</f>
        <v>2026e</v>
      </c>
      <c r="O28" s="194" t="str">
        <f ca="1">O29&amp;"e"</f>
        <v>2027e</v>
      </c>
      <c r="P28" s="194" t="str">
        <f ca="1">P29&amp;"e"</f>
        <v>2028e</v>
      </c>
      <c r="Q28" s="194" t="str">
        <f ca="1">Q29&amp;"e"</f>
        <v>2029e</v>
      </c>
      <c r="R28" s="352" t="str">
        <f ca="1">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 ca="1">H29-1</f>
        <v>2023</v>
      </c>
      <c r="H29" s="740">
        <f ca="1">I29-1</f>
        <v>2024</v>
      </c>
      <c r="I29" s="740">
        <f ca="1">YEAR(Last_FYE)</f>
        <v>2025</v>
      </c>
      <c r="J29" s="740">
        <f ca="1">I29+1</f>
        <v>2026</v>
      </c>
      <c r="K29" s="740">
        <f t="shared" ref="K29:N29" si="8" ca="1">J29</f>
        <v>2026</v>
      </c>
      <c r="L29" s="740">
        <f ca="1">K29</f>
        <v>2026</v>
      </c>
      <c r="M29" s="740">
        <f ca="1">L29</f>
        <v>2026</v>
      </c>
      <c r="N29" s="740">
        <f ca="1">M29</f>
        <v>2026</v>
      </c>
      <c r="O29" s="740">
        <f t="shared" ref="O29:R29" si="9" ca="1">N29+1</f>
        <v>2027</v>
      </c>
      <c r="P29" s="740">
        <f ca="1">O29+1</f>
        <v>2028</v>
      </c>
      <c r="Q29" s="740">
        <f ca="1">P29+1</f>
        <v>2029</v>
      </c>
      <c r="R29" s="741">
        <f ca="1">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 ca="1">Model!C28</f>
        <v>Revenue</v>
      </c>
      <c r="D31" s="16"/>
      <c r="E31" s="16"/>
      <c r="F31" s="16"/>
      <c r="G31" s="282">
        <f ca="1">Model!J28</f>
        <v>71309</v>
      </c>
      <c r="H31" s="282">
        <f ca="1">Model!O28</f>
        <v>72148</v>
      </c>
      <c r="I31" s="282">
        <f ca="1">Model!T28</f>
        <v>89597</v>
      </c>
      <c r="J31" s="745">
        <f ca="1">Model!U28</f>
        <v>24422</v>
      </c>
      <c r="K31" s="746">
        <f ca="1">Model!V28</f>
        <v>27570</v>
      </c>
      <c r="L31" s="746">
        <f ca="1">Model!W28</f>
        <v>22918</v>
      </c>
      <c r="M31" s="747">
        <f ca="1">Model!X28</f>
        <v>21772.1</v>
      </c>
      <c r="N31" s="282">
        <f ca="1">Model!Y28</f>
        <v>96682.1</v>
      </c>
      <c r="O31" s="282">
        <f ca="1">Model!AD28</f>
        <v>105236.82134671998</v>
      </c>
      <c r="P31" s="282">
        <f ca="1">Model!AE28</f>
        <v>107341.55777365438</v>
      </c>
      <c r="Q31" s="282">
        <f ca="1">Model!AF28</f>
        <v>109488.38892912747</v>
      </c>
      <c r="R31" s="282">
        <f ca="1">Model!AG28</f>
        <v>111678.15670771002</v>
      </c>
      <c r="S31" s="16"/>
      <c r="T31" s="16"/>
      <c r="U31" s="16"/>
      <c r="V31" s="16"/>
      <c r="W31" s="16"/>
      <c r="X31" s="16"/>
      <c r="Y31" s="16"/>
      <c r="Z31" s="16"/>
      <c r="AA31" s="16"/>
      <c r="AB31" s="16"/>
    </row>
    <row r="32" ht="13.5" customHeight="1" spans="1:28" x14ac:dyDescent="0.25">
      <c r="A32" s="16"/>
      <c r="B32" s="16"/>
      <c r="C32" s="139" t="str">
        <f ca="1">Model!C61</f>
        <v>EBITDA</v>
      </c>
      <c r="D32" s="16"/>
      <c r="E32" s="16"/>
      <c r="F32" s="16"/>
      <c r="G32" s="329">
        <f ca="1">Model!J61</f>
        <v>7341.59</v>
      </c>
      <c r="H32" s="329">
        <f ca="1">Model!O61</f>
        <v>7764.5</v>
      </c>
      <c r="I32" s="329">
        <f ca="1">Model!T61</f>
        <v>13111.87</v>
      </c>
      <c r="J32" s="748">
        <f ca="1">Model!U61</f>
        <v>3636</v>
      </c>
      <c r="K32" s="749">
        <f ca="1">Model!V61</f>
        <v>4619</v>
      </c>
      <c r="L32" s="749">
        <f ca="1">Model!W61</f>
        <v>3207</v>
      </c>
      <c r="M32" s="750">
        <f ca="1">Model!X61</f>
        <v>-1959.4890000000005</v>
      </c>
      <c r="N32" s="329">
        <f ca="1">Model!Y61</f>
        <v>10588.510999999999</v>
      </c>
      <c r="O32" s="329">
        <f ca="1">Model!AD61</f>
        <v>-9185.290011615205</v>
      </c>
      <c r="P32" s="329">
        <f ca="1">Model!AE61</f>
        <v>-8157.958390797736</v>
      </c>
      <c r="Q32" s="329">
        <f ca="1">Model!AF61</f>
        <v>-7773.6756139680565</v>
      </c>
      <c r="R32" s="329">
        <f ca="1">Model!AG61</f>
        <v>-7147.402029293433</v>
      </c>
      <c r="S32" s="16"/>
      <c r="T32" s="16"/>
      <c r="U32" s="16"/>
      <c r="V32" s="16"/>
      <c r="W32" s="16"/>
      <c r="X32" s="16"/>
      <c r="Y32" s="16"/>
      <c r="Z32" s="16"/>
      <c r="AA32" s="16"/>
      <c r="AB32" s="16"/>
    </row>
    <row r="33" ht="13.5" customHeight="1" spans="1:28" x14ac:dyDescent="0.25">
      <c r="A33" s="16"/>
      <c r="B33" s="16"/>
      <c r="C33" s="16" t="str">
        <f ca="1">Model!C59</f>
        <v>EBIT</v>
      </c>
      <c r="D33" s="16"/>
      <c r="E33" s="16"/>
      <c r="F33" s="16"/>
      <c r="G33" s="329">
        <f ca="1">Model!J36</f>
        <v>4018</v>
      </c>
      <c r="H33" s="329">
        <f ca="1">Model!O36</f>
        <v>6314</v>
      </c>
      <c r="I33" s="329">
        <f ca="1">Model!T36</f>
        <v>10892</v>
      </c>
      <c r="J33" s="748">
        <f ca="1">Model!U36</f>
        <v>3245</v>
      </c>
      <c r="K33" s="749">
        <f ca="1">Model!V36</f>
        <v>4210</v>
      </c>
      <c r="L33" s="749">
        <f ca="1">Model!W36</f>
        <v>2789</v>
      </c>
      <c r="M33" s="750">
        <f ca="1">Model!X36</f>
        <v>-2290.6765000000005</v>
      </c>
      <c r="N33" s="329">
        <f ca="1">Model!Y36</f>
        <v>7953.3234999999995</v>
      </c>
      <c r="O33" s="329">
        <f ca="1">Model!AD36</f>
        <v>-10540.153639645196</v>
      </c>
      <c r="P33" s="329">
        <f ca="1">Model!AE36</f>
        <v>-9578.113551031161</v>
      </c>
      <c r="Q33" s="329">
        <f ca="1">Model!AF36</f>
        <v>-9246.151445858737</v>
      </c>
      <c r="R33" s="329">
        <f ca="1">Model!AG36</f>
        <v>-8671.522881345929</v>
      </c>
      <c r="S33" s="16"/>
      <c r="T33" s="16"/>
      <c r="U33" s="16"/>
      <c r="V33" s="16"/>
      <c r="W33" s="16"/>
      <c r="X33" s="16"/>
      <c r="Y33" s="16"/>
      <c r="Z33" s="16"/>
      <c r="AA33" s="16"/>
      <c r="AB33" s="16"/>
    </row>
    <row r="34" ht="13.5" customHeight="1" spans="1:28" x14ac:dyDescent="0.25">
      <c r="A34" s="16"/>
      <c r="B34" s="16"/>
      <c r="C34" s="139" t="str">
        <f ca="1">Model!C44</f>
        <v>Income Tax Benefit (Expense)</v>
      </c>
      <c r="D34" s="16"/>
      <c r="E34" s="16"/>
      <c r="F34" s="16"/>
      <c r="G34" s="414">
        <f ca="1">Model!J44</f>
        <v>-1080</v>
      </c>
      <c r="H34" s="414">
        <f ca="1">Model!O44</f>
        <v>-1342</v>
      </c>
      <c r="I34" s="414">
        <f ca="1">Model!T44</f>
        <v>-1903</v>
      </c>
      <c r="J34" s="751">
        <f ca="1">Model!U44</f>
        <v>-713</v>
      </c>
      <c r="K34" s="752">
        <f ca="1">Model!V44</f>
        <v>-976</v>
      </c>
      <c r="L34" s="752">
        <f ca="1">Model!W44</f>
        <v>-670</v>
      </c>
      <c r="M34" s="753">
        <f ca="1">Model!X44</f>
        <v>602.076762</v>
      </c>
      <c r="N34" s="414">
        <f ca="1">Model!Y44</f>
        <v>-1688.9232379999999</v>
      </c>
      <c r="O34" s="414">
        <f ca="1">Model!AD44</f>
        <v>2813.3694504887317</v>
      </c>
      <c r="P34" s="414">
        <f ca="1">Model!AE44</f>
        <v>2785.9123374258625</v>
      </c>
      <c r="Q34" s="414">
        <f ca="1">Model!AF44</f>
        <v>2941.5254234736817</v>
      </c>
      <c r="R34" s="414">
        <f ca="1">Model!AG44</f>
        <v>3071.6295721944</v>
      </c>
      <c r="S34" s="16"/>
      <c r="T34" s="16"/>
      <c r="U34" s="16"/>
      <c r="V34" s="16"/>
      <c r="W34" s="16"/>
      <c r="X34" s="16"/>
      <c r="Y34" s="16"/>
      <c r="Z34" s="16"/>
      <c r="AA34" s="16"/>
      <c r="AB34" s="16"/>
    </row>
    <row r="35" ht="13.5" customHeight="1" spans="1:28" x14ac:dyDescent="0.25">
      <c r="A35" s="16"/>
      <c r="B35" s="16"/>
      <c r="C35" s="16" t="s">
        <v>817</v>
      </c>
      <c r="D35" s="16"/>
      <c r="E35" s="16"/>
      <c r="F35" s="16"/>
      <c r="G35" s="282">
        <f t="shared" ref="G35:R35" si="10" ca="1">SUM(G33:G34)</f>
        <v>2938</v>
      </c>
      <c r="H35" s="282">
        <f ca="1">SUM(H33:H34)</f>
        <v>4972</v>
      </c>
      <c r="I35" s="282">
        <f ca="1">SUM(I33:I34)</f>
        <v>8989</v>
      </c>
      <c r="J35" s="745">
        <f ca="1">SUM(J33:J34)</f>
        <v>2532</v>
      </c>
      <c r="K35" s="746">
        <f ca="1">SUM(K33:K34)</f>
        <v>3234</v>
      </c>
      <c r="L35" s="746">
        <f ca="1">SUM(L33:L34)</f>
        <v>2119</v>
      </c>
      <c r="M35" s="747">
        <f ca="1">SUM(M33:M34)</f>
        <v>-1688.5997380000003</v>
      </c>
      <c r="N35" s="282">
        <f ca="1">SUM(N33:N34)</f>
        <v>7399.400261999999</v>
      </c>
      <c r="O35" s="282">
        <f ca="1">SUM(O33:O34)</f>
        <v>-7726.784189156464</v>
      </c>
      <c r="P35" s="282">
        <f ca="1">SUM(P33:P34)</f>
        <v>-6792.201213605299</v>
      </c>
      <c r="Q35" s="282">
        <f ca="1">SUM(Q33:Q34)</f>
        <v>-6304.626022385055</v>
      </c>
      <c r="R35" s="282">
        <f ca="1">SUM(R33:R34)</f>
        <v>-5599.893309151528</v>
      </c>
      <c r="S35" s="16"/>
      <c r="T35" s="16"/>
      <c r="U35" s="16"/>
      <c r="V35" s="16"/>
      <c r="W35" s="16"/>
      <c r="X35" s="16"/>
      <c r="Y35" s="16"/>
      <c r="Z35" s="16"/>
      <c r="AA35" s="16"/>
      <c r="AB35" s="16"/>
    </row>
    <row r="36" ht="13.5" customHeight="1" spans="1:28" x14ac:dyDescent="0.25">
      <c r="A36" s="16"/>
      <c r="B36" s="16"/>
      <c r="C36" s="303" t="s">
        <v>818</v>
      </c>
      <c r="D36" s="16"/>
      <c r="E36" s="16"/>
      <c r="F36" s="16"/>
      <c r="G36" s="282"/>
      <c r="H36" s="464">
        <f t="shared" ref="H36:I36" si="11" ca="1">H35/G35-1</f>
        <v>0.6923076923076923</v>
      </c>
      <c r="I36" s="464">
        <f ca="1">I35/H35-1</f>
        <v>0.8079243765084474</v>
      </c>
      <c r="J36" s="754"/>
      <c r="K36" s="755"/>
      <c r="L36" s="755"/>
      <c r="M36" s="756"/>
      <c r="N36" s="464">
        <f ca="1">N35/I35-1</f>
        <v>0.02941016444073452</v>
      </c>
      <c r="O36" s="464">
        <f ca="1">O35/N35-1</f>
        <v>-2.0442446570754877</v>
      </c>
      <c r="P36" s="464">
        <f ca="1">P35/O35-1</f>
        <v>-0.12095367913377608</v>
      </c>
      <c r="Q36" s="464">
        <f ca="1">Q35/P35-1</f>
        <v>-0.07178456230707564</v>
      </c>
      <c r="R36" s="464">
        <f ca="1">R35/Q35-1</f>
        <v>-0.11178025639131006</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 ca="1">Model!C76</f>
        <v>Depreciation &amp; Amortization</v>
      </c>
      <c r="D38" s="16"/>
      <c r="E38" s="16"/>
      <c r="F38" s="16"/>
      <c r="G38" s="329"/>
      <c r="H38" s="329"/>
      <c r="I38" s="329"/>
      <c r="J38" s="748">
        <f ca="1">-Model!U34</f>
        <v>391</v>
      </c>
      <c r="K38" s="749">
        <f ca="1">-Model!V34</f>
        <v>409</v>
      </c>
      <c r="L38" s="749">
        <f ca="1">-Model!W34</f>
        <v>425</v>
      </c>
      <c r="M38" s="750">
        <f ca="1">-Model!X34</f>
        <v>331.18750000000006</v>
      </c>
      <c r="N38" s="329">
        <f ca="1">-Model!Y34</f>
        <v>1556.1875</v>
      </c>
      <c r="O38" s="329">
        <f ca="1">-Model!AD34</f>
        <v>1354.863628029993</v>
      </c>
      <c r="P38" s="329">
        <f ca="1">-Model!AE34</f>
        <v>1420.1551602334257</v>
      </c>
      <c r="Q38" s="329">
        <f ca="1">-Model!AF34</f>
        <v>1472.475831890681</v>
      </c>
      <c r="R38" s="329">
        <f ca="1">-Model!AG34</f>
        <v>1524.1208520524956</v>
      </c>
      <c r="S38" s="16"/>
      <c r="T38" s="16"/>
      <c r="U38" s="16"/>
      <c r="V38" s="16"/>
      <c r="W38" s="16"/>
      <c r="X38" s="16"/>
      <c r="Y38" s="16"/>
      <c r="Z38" s="16"/>
      <c r="AA38" s="16"/>
      <c r="AB38" s="16"/>
    </row>
    <row r="39" ht="13.5" customHeight="1" spans="1:28" x14ac:dyDescent="0.25">
      <c r="A39" s="16"/>
      <c r="B39" s="16"/>
      <c r="C39" s="139" t="str">
        <f ca="1">Model!C77</f>
        <v>Stock-Based Compensation</v>
      </c>
      <c r="D39" s="16"/>
      <c r="E39" s="16"/>
      <c r="F39" s="16"/>
      <c r="G39" s="329"/>
      <c r="H39" s="329"/>
      <c r="I39" s="329"/>
      <c r="J39" s="748">
        <f ca="1">Model!U246</f>
        <v>54</v>
      </c>
      <c r="K39" s="749">
        <f ca="1">Model!V246</f>
        <v>61</v>
      </c>
      <c r="L39" s="749">
        <f ca="1">Model!W246</f>
        <v>54</v>
      </c>
      <c r="M39" s="750">
        <f ca="1">Model!X246</f>
        <v>51.3</v>
      </c>
      <c r="N39" s="329">
        <f ca="1">Model!Y246</f>
        <v>220.3</v>
      </c>
      <c r="O39" s="329">
        <f ca="1">Model!AD246</f>
        <v>247.96179216000002</v>
      </c>
      <c r="P39" s="329">
        <f ca="1">Model!AE246</f>
        <v>252.92102800319995</v>
      </c>
      <c r="Q39" s="329">
        <f ca="1">Model!AF246</f>
        <v>257.979448563264</v>
      </c>
      <c r="R39" s="329">
        <f ca="1">Model!AG246</f>
        <v>263.1390375345292</v>
      </c>
      <c r="S39" s="16"/>
      <c r="T39" s="16"/>
      <c r="U39" s="16"/>
      <c r="V39" s="16"/>
      <c r="W39" s="16"/>
      <c r="X39" s="16"/>
      <c r="Y39" s="16"/>
      <c r="Z39" s="16"/>
      <c r="AA39" s="16"/>
      <c r="AB39" s="16"/>
    </row>
    <row r="40" ht="13.5" customHeight="1" spans="1:28" x14ac:dyDescent="0.25">
      <c r="A40" s="16"/>
      <c r="B40" s="16"/>
      <c r="C40" s="139" t="str">
        <f ca="1">Model!C82</f>
        <v>Capital Expenditures</v>
      </c>
      <c r="D40" s="16"/>
      <c r="E40" s="16"/>
      <c r="F40" s="16"/>
      <c r="G40" s="329"/>
      <c r="H40" s="329"/>
      <c r="I40" s="329"/>
      <c r="J40" s="748">
        <f ca="1">-Model!U193</f>
        <v>-461</v>
      </c>
      <c r="K40" s="749">
        <f ca="1">-Model!V193</f>
        <v>-385</v>
      </c>
      <c r="L40" s="749">
        <f ca="1">-Model!W193</f>
        <v>-410</v>
      </c>
      <c r="M40" s="750">
        <f ca="1">-Model!X193</f>
        <v>-370.1257</v>
      </c>
      <c r="N40" s="329">
        <f ca="1">-Model!Y193</f>
        <v>-1626.1257</v>
      </c>
      <c r="O40" s="329">
        <f ca="1">-Model!AD193</f>
        <v>-2115.30265349424</v>
      </c>
      <c r="P40" s="329">
        <f ca="1">-Model!AE193</f>
        <v>-2146.8311554730876</v>
      </c>
      <c r="Q40" s="329">
        <f ca="1">-Model!AF193</f>
        <v>-2189.7677785825495</v>
      </c>
      <c r="R40" s="329">
        <f ca="1">-Model!AG193</f>
        <v>-2345.2412908619103</v>
      </c>
      <c r="S40" s="16"/>
      <c r="T40" s="16"/>
      <c r="U40" s="16"/>
      <c r="V40" s="16"/>
      <c r="W40" s="16"/>
      <c r="X40" s="16"/>
      <c r="Y40" s="16"/>
      <c r="Z40" s="16"/>
      <c r="AA40" s="16"/>
      <c r="AB40" s="16"/>
    </row>
    <row r="41" ht="13.5" customHeight="1" spans="1:28" x14ac:dyDescent="0.25">
      <c r="A41" s="16"/>
      <c r="B41" s="16"/>
      <c r="C41" s="139" t="str">
        <f ca="1">Drivers!C62</f>
        <v>Goodwill Impairment</v>
      </c>
      <c r="D41" s="16"/>
      <c r="E41" s="16"/>
      <c r="F41" s="16"/>
      <c r="G41" s="329"/>
      <c r="H41" s="329"/>
      <c r="I41" s="329"/>
      <c r="J41" s="748">
        <f ca="1">Model!U40</f>
        <v>1e-12</v>
      </c>
      <c r="K41" s="749">
        <f ca="1">Model!V40</f>
        <v>1e-12</v>
      </c>
      <c r="L41" s="749">
        <f ca="1">Model!W40</f>
        <v>1e-12</v>
      </c>
      <c r="M41" s="750">
        <f ca="1">Model!X40</f>
        <v>1e-12</v>
      </c>
      <c r="N41" s="329">
        <f ca="1">Model!Y40</f>
        <v>1e-12</v>
      </c>
      <c r="O41" s="329">
        <f ca="1">Model!AD40</f>
        <v>1e-12</v>
      </c>
      <c r="P41" s="329">
        <f ca="1">Model!AE40</f>
        <v>1e-12</v>
      </c>
      <c r="Q41" s="329">
        <f ca="1">Model!AF40</f>
        <v>1e-12</v>
      </c>
      <c r="R41" s="329">
        <f ca="1">Model!AG40</f>
        <v>1e-12</v>
      </c>
      <c r="S41" s="16"/>
      <c r="T41" s="16"/>
      <c r="U41" s="16"/>
      <c r="V41" s="16"/>
      <c r="W41" s="16"/>
      <c r="X41" s="16"/>
      <c r="Y41" s="16"/>
      <c r="Z41" s="16"/>
      <c r="AA41" s="16"/>
      <c r="AB41" s="16"/>
    </row>
    <row r="42" ht="13.5" customHeight="1" spans="1:28" x14ac:dyDescent="0.25">
      <c r="A42" s="16"/>
      <c r="B42" s="16"/>
      <c r="C42" s="139" t="str">
        <f ca="1">Model!C78</f>
        <v>(Increase)/Decrease in Working Capital</v>
      </c>
      <c r="D42" s="16"/>
      <c r="E42" s="16"/>
      <c r="F42" s="16"/>
      <c r="G42" s="329"/>
      <c r="H42" s="329"/>
      <c r="I42" s="329"/>
      <c r="J42" s="748">
        <f ca="1">Model!U110</f>
        <v>891</v>
      </c>
      <c r="K42" s="749">
        <f ca="1">Model!V110</f>
        <v>-893</v>
      </c>
      <c r="L42" s="749">
        <f ca="1">Model!W110</f>
        <v>-40</v>
      </c>
      <c r="M42" s="750">
        <f ca="1">Model!X110</f>
        <v>-1855.091793478261</v>
      </c>
      <c r="N42" s="329">
        <f ca="1">Model!Y110</f>
        <v>-1897.091793478261</v>
      </c>
      <c r="O42" s="329">
        <f ca="1">Model!AD110</f>
        <v>-851.2127845903033</v>
      </c>
      <c r="P42" s="329">
        <f ca="1">Model!AE110</f>
        <v>461.05132520968255</v>
      </c>
      <c r="Q42" s="329">
        <f ca="1">Model!AF110</f>
        <v>-142.92601939177257</v>
      </c>
      <c r="R42" s="329">
        <f ca="1">Model!AG110</f>
        <v>-136.42553228758334</v>
      </c>
      <c r="S42" s="16"/>
      <c r="T42" s="16"/>
      <c r="U42" s="16"/>
      <c r="V42" s="16"/>
      <c r="W42" s="16"/>
      <c r="X42" s="16"/>
      <c r="Y42" s="16"/>
      <c r="Z42" s="16"/>
      <c r="AA42" s="16"/>
      <c r="AB42" s="16"/>
    </row>
    <row r="43" ht="13.5" customHeight="1" spans="1:28" x14ac:dyDescent="0.25">
      <c r="A43" s="16"/>
      <c r="B43" s="16"/>
      <c r="C43" s="139" t="str">
        <f ca="1">Model!C79</f>
        <v>(Increase)/Decrease in LT Items</v>
      </c>
      <c r="D43" s="16"/>
      <c r="E43" s="16"/>
      <c r="F43" s="16"/>
      <c r="G43" s="329"/>
      <c r="H43" s="329"/>
      <c r="I43" s="329"/>
      <c r="J43" s="748">
        <f ca="1">Model!U79</f>
        <v>1e-12</v>
      </c>
      <c r="K43" s="749">
        <f ca="1">Model!V79</f>
        <v>1e-12</v>
      </c>
      <c r="L43" s="749">
        <f ca="1">Model!W79</f>
        <v>1e-12</v>
      </c>
      <c r="M43" s="750">
        <f ca="1">Model!X79</f>
        <v>-112.52000000000044</v>
      </c>
      <c r="N43" s="329">
        <f ca="1">Model!Y79</f>
        <v>-112.52000000000044</v>
      </c>
      <c r="O43" s="329">
        <f ca="1">Model!AD79</f>
        <v>-473.03859880320124</v>
      </c>
      <c r="P43" s="329">
        <f ca="1">Model!AE79</f>
        <v>-124.2311719760637</v>
      </c>
      <c r="Q43" s="329">
        <f ca="1">Model!AF79</f>
        <v>-126.71579541558549</v>
      </c>
      <c r="R43" s="329">
        <f ca="1">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819</v>
      </c>
      <c r="D45" s="100"/>
      <c r="E45" s="100"/>
      <c r="F45" s="100"/>
      <c r="G45" s="100"/>
      <c r="H45" s="100"/>
      <c r="I45" s="100"/>
      <c r="J45" s="757">
        <f t="shared" ref="J45:R45" si="12" ca="1">SUM(J35:J43)</f>
        <v>3407</v>
      </c>
      <c r="K45" s="758">
        <f ca="1">SUM(K35:K43)</f>
        <v>2426</v>
      </c>
      <c r="L45" s="758">
        <f ca="1">SUM(L35:L43)</f>
        <v>2148</v>
      </c>
      <c r="M45" s="759">
        <f ca="1">SUM(M35:M43)</f>
        <v>-3643.8497314782617</v>
      </c>
      <c r="N45" s="389">
        <f ca="1">SUM(N35:N43)</f>
        <v>1654.179678686176</v>
      </c>
      <c r="O45" s="389">
        <f ca="1">SUM(O35:O43)</f>
        <v>-9565.55705051129</v>
      </c>
      <c r="P45" s="389">
        <f ca="1">SUM(P35:P43)</f>
        <v>-6929.256981287275</v>
      </c>
      <c r="Q45" s="389">
        <f ca="1">SUM(Q35:Q43)</f>
        <v>-7033.652119883324</v>
      </c>
      <c r="R45" s="407">
        <f ca="1">SUM(R35:R43)</f>
        <v>-6423.662134294285</v>
      </c>
      <c r="S45" s="16"/>
      <c r="T45" s="16"/>
      <c r="U45" s="16"/>
      <c r="V45" s="16"/>
      <c r="W45" s="16"/>
      <c r="X45" s="16"/>
      <c r="Y45" s="16"/>
      <c r="Z45" s="16"/>
      <c r="AA45" s="16"/>
      <c r="AB45" s="16"/>
    </row>
    <row r="46" ht="13.5" customHeight="1" spans="1:28" x14ac:dyDescent="0.25">
      <c r="A46" s="16"/>
      <c r="B46" s="16"/>
      <c r="C46" s="303" t="s">
        <v>818</v>
      </c>
      <c r="D46" s="16"/>
      <c r="E46" s="16"/>
      <c r="F46" s="16"/>
      <c r="G46" s="16"/>
      <c r="H46" s="464"/>
      <c r="I46" s="464"/>
      <c r="J46" s="754"/>
      <c r="K46" s="755"/>
      <c r="L46" s="755"/>
      <c r="M46" s="756"/>
      <c r="N46" s="464"/>
      <c r="O46" s="464">
        <f ca="1">O45/N45-1</f>
        <v>-6.7826590265627535</v>
      </c>
      <c r="P46" s="464">
        <f ca="1">P45/O45-1</f>
        <v>-0.2756034024263231</v>
      </c>
      <c r="Q46" s="464">
        <f ca="1">Q45/P45-1</f>
        <v>0.015065848889422417</v>
      </c>
      <c r="R46" s="464">
        <f ca="1">R45/Q45-1</f>
        <v>-0.08672450317306246</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820</v>
      </c>
      <c r="D48" s="100"/>
      <c r="E48" s="100"/>
      <c r="F48" s="100"/>
      <c r="G48" s="100"/>
      <c r="H48" s="100"/>
      <c r="I48" s="100"/>
      <c r="J48" s="757">
        <f t="shared" ref="J48:M48" si="13" ca="1">IF(J27=4,0,J45)</f>
        <v>1e-12</v>
      </c>
      <c r="K48" s="758">
        <f ca="1">IF(K27=4,0,K45)</f>
        <v>1e-12</v>
      </c>
      <c r="L48" s="758">
        <f ca="1">IF(L27=4,0,L45)</f>
        <v>2148</v>
      </c>
      <c r="M48" s="759">
        <f ca="1">IF(M27=4,0,M45)</f>
        <v>-3643.8497314782617</v>
      </c>
      <c r="N48" s="389">
        <f ca="1">SUM(J48:M48)</f>
        <v>-1495.8497314782617</v>
      </c>
      <c r="O48" s="389">
        <f ca="1">SUM(O35:O43)</f>
        <v>-9565.55705051129</v>
      </c>
      <c r="P48" s="389">
        <f ca="1">SUM(P35:P43)</f>
        <v>-6929.256981287275</v>
      </c>
      <c r="Q48" s="389">
        <f ca="1">SUM(Q35:Q43)</f>
        <v>-7033.652119883324</v>
      </c>
      <c r="R48" s="407">
        <f ca="1">SUM(R35:R43)</f>
        <v>-6423.662134294285</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821</v>
      </c>
      <c r="D50" s="16"/>
      <c r="E50" s="16"/>
      <c r="F50" s="16"/>
      <c r="G50" s="16"/>
      <c r="H50" s="16"/>
      <c r="I50" s="16"/>
      <c r="J50" s="742"/>
      <c r="K50" s="743"/>
      <c r="L50" s="743"/>
      <c r="M50" s="744"/>
      <c r="N50" s="760">
        <f ca="1">YEARFRAC(Current_Date,Next_FYE)</f>
        <v>1.3277777777777777</v>
      </c>
      <c r="O50" s="760">
        <f t="shared" ref="O50:R50" si="14" ca="1">N50+1</f>
        <v>2.3277777777777775</v>
      </c>
      <c r="P50" s="760">
        <f ca="1">O50+1</f>
        <v>3.3277777777777775</v>
      </c>
      <c r="Q50" s="760">
        <f ca="1">P50+1</f>
        <v>4.3277777777777775</v>
      </c>
      <c r="R50" s="760">
        <f ca="1">Q50+1</f>
        <v>5.3277777777777775</v>
      </c>
      <c r="S50" s="16"/>
      <c r="T50" s="16"/>
      <c r="U50" s="16"/>
      <c r="V50" s="16"/>
      <c r="W50" s="16"/>
      <c r="X50" s="16"/>
      <c r="Y50" s="16"/>
      <c r="Z50" s="16"/>
      <c r="AA50" s="16"/>
      <c r="AB50" s="16"/>
    </row>
    <row r="51" ht="13.5" customHeight="1" spans="1:28" x14ac:dyDescent="0.25">
      <c r="A51" s="16"/>
      <c r="B51" s="16"/>
      <c r="C51" s="303" t="s">
        <v>822</v>
      </c>
      <c r="D51" s="16"/>
      <c r="E51" s="16"/>
      <c r="F51" s="16"/>
      <c r="G51" s="16"/>
      <c r="H51" s="16"/>
      <c r="I51" s="16"/>
      <c r="J51" s="742"/>
      <c r="K51" s="743"/>
      <c r="L51" s="743"/>
      <c r="M51" s="744"/>
      <c r="N51" s="760">
        <f ca="1">N50/2</f>
        <v>0.6638888888888889</v>
      </c>
      <c r="O51" s="760">
        <f t="shared" ref="O51:R51" si="15" ca="1">O50-0.5</f>
        <v>1.8277777777777775</v>
      </c>
      <c r="P51" s="760">
        <f ca="1">P50-0.5</f>
        <v>2.8277777777777775</v>
      </c>
      <c r="Q51" s="760">
        <f ca="1">Q50-0.5</f>
        <v>3.8277777777777775</v>
      </c>
      <c r="R51" s="760">
        <f ca="1">R50-0.5</f>
        <v>4.8277777777777775</v>
      </c>
      <c r="S51" s="16"/>
      <c r="T51" s="16"/>
      <c r="U51" s="16"/>
      <c r="V51" s="16"/>
      <c r="W51" s="16"/>
      <c r="X51" s="16"/>
      <c r="Y51" s="16"/>
      <c r="Z51" s="16"/>
      <c r="AA51" s="16"/>
      <c r="AB51" s="16"/>
    </row>
    <row r="52" ht="13.5" customHeight="1" spans="1:28" x14ac:dyDescent="0.25">
      <c r="A52" s="16"/>
      <c r="B52" s="16"/>
      <c r="C52" s="303" t="s">
        <v>823</v>
      </c>
      <c r="D52" s="16"/>
      <c r="E52" s="16"/>
      <c r="F52" s="16"/>
      <c r="G52" s="16"/>
      <c r="H52" s="16"/>
      <c r="I52" s="16"/>
      <c r="J52" s="742"/>
      <c r="K52" s="743"/>
      <c r="L52" s="743"/>
      <c r="M52" s="744"/>
      <c r="N52" s="760">
        <f t="shared" ref="N52:R52" si="16" ca="1">IF($G$83="Yes",1/(1+$G$84)^N51,1/(1+$G$84)^N50)</f>
        <v>0.9449015643110897</v>
      </c>
      <c r="O52" s="760">
        <f ca="1">IF($G$83="Yes",1/(1+$G$84)^O51,1/(1+$G$84)^O50)</f>
        <v>0.855531142611532</v>
      </c>
      <c r="P52" s="760">
        <f ca="1">IF($G$83="Yes",1/(1+$G$84)^P51,1/(1+$G$84)^P50)</f>
        <v>0.78552714535545</v>
      </c>
      <c r="Q52" s="760">
        <f ca="1">IF($G$83="Yes",1/(1+$G$84)^Q51,1/(1+$G$84)^Q50)</f>
        <v>0.721251238390588</v>
      </c>
      <c r="R52" s="760">
        <f ca="1">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824</v>
      </c>
      <c r="D54" s="100"/>
      <c r="E54" s="100"/>
      <c r="F54" s="100"/>
      <c r="G54" s="100"/>
      <c r="H54" s="100"/>
      <c r="I54" s="100"/>
      <c r="J54" s="757"/>
      <c r="K54" s="758"/>
      <c r="L54" s="758"/>
      <c r="M54" s="759"/>
      <c r="N54" s="389">
        <f ca="1">N48*N52</f>
        <v>-1413.430751248133</v>
      </c>
      <c r="O54" s="389">
        <f ca="1">O48*O52</f>
        <v>-8183.631953139719</v>
      </c>
      <c r="P54" s="389">
        <f ca="1">P48*P52</f>
        <v>-5443.119455944916</v>
      </c>
      <c r="Q54" s="389">
        <f ca="1">Q48*Q52</f>
        <v>-5073.030301874433</v>
      </c>
      <c r="R54" s="407">
        <f ca="1">R48*R52</f>
        <v>-4253.972092614552</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 ca="1">O54/N54-1</f>
        <v>4.789906541875608</v>
      </c>
      <c r="P55" s="464">
        <f ca="1">P54/O54-1</f>
        <v>-0.334877290778379</v>
      </c>
      <c r="Q55" s="464">
        <f ca="1">Q54/P54-1</f>
        <v>-0.06799210582569082</v>
      </c>
      <c r="R55" s="464">
        <f ca="1">R54/Q54-1</f>
        <v>-0.16145344311411802</v>
      </c>
      <c r="S55" s="16"/>
      <c r="T55" s="16"/>
      <c r="U55" s="16"/>
      <c r="V55" s="16"/>
      <c r="W55" s="16"/>
      <c r="X55" s="16" t="s">
        <v>825</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826</v>
      </c>
      <c r="H57" s="22"/>
      <c r="I57" s="22"/>
      <c r="J57" s="22"/>
      <c r="K57" s="7"/>
      <c r="L57" s="16"/>
      <c r="M57" s="16"/>
      <c r="N57" s="92" t="s">
        <v>827</v>
      </c>
      <c r="O57" s="22"/>
      <c r="P57" s="22"/>
      <c r="Q57" s="22"/>
      <c r="R57" s="7"/>
      <c r="S57" s="16"/>
      <c r="T57" s="16"/>
      <c r="U57" s="16"/>
      <c r="V57" s="16"/>
      <c r="W57" s="16"/>
      <c r="X57" s="92" t="s">
        <v>826</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828</v>
      </c>
      <c r="H59" s="16"/>
      <c r="I59" s="16"/>
      <c r="J59" s="16"/>
      <c r="K59" s="761">
        <f ca="1">R32</f>
        <v>-7147.402029293433</v>
      </c>
      <c r="L59" s="16"/>
      <c r="M59" s="16"/>
      <c r="N59" s="188" t="s">
        <v>829</v>
      </c>
      <c r="O59" s="16"/>
      <c r="P59" s="16"/>
      <c r="Q59" s="16"/>
      <c r="R59" s="762">
        <f ca="1">R48</f>
        <v>-6423.662134294285</v>
      </c>
      <c r="S59" s="16"/>
      <c r="T59" s="16"/>
      <c r="U59" s="16"/>
      <c r="V59" s="16"/>
      <c r="W59" s="189"/>
      <c r="X59" s="16" t="s">
        <v>828</v>
      </c>
      <c r="Y59" s="16"/>
      <c r="Z59" s="16"/>
      <c r="AA59" s="16"/>
      <c r="AB59" s="761">
        <f ca="1">R32</f>
        <v>-7147.402029293433</v>
      </c>
    </row>
    <row r="60" ht="15" customHeight="1" spans="1:28" x14ac:dyDescent="0.25">
      <c r="A60" s="16"/>
      <c r="B60" s="16"/>
      <c r="C60" s="16"/>
      <c r="D60" s="16"/>
      <c r="E60" s="16"/>
      <c r="F60" s="189"/>
      <c r="G60" s="16" t="s">
        <v>830</v>
      </c>
      <c r="H60" s="16"/>
      <c r="I60" s="16"/>
      <c r="J60" s="16"/>
      <c r="K60" s="763">
        <f ca="1">IF(Case_Scenario="Bear",Valuation!J84,IF(Case_Scenario="Base",Valuation!J85,IF(Case_Scenario="Bull",Valuation!J86,"Error")))</f>
        <v>13</v>
      </c>
      <c r="L60" s="16"/>
      <c r="M60" s="16"/>
      <c r="N60" s="188" t="s">
        <v>831</v>
      </c>
      <c r="O60" s="16"/>
      <c r="P60" s="16"/>
      <c r="Q60" s="16"/>
      <c r="R60" s="764">
        <f ca="1">G86</f>
        <v>0.02</v>
      </c>
      <c r="S60" s="16"/>
      <c r="T60" s="16"/>
      <c r="U60" s="16"/>
      <c r="V60" s="16"/>
      <c r="W60" s="189"/>
      <c r="X60" s="16" t="s">
        <v>830</v>
      </c>
      <c r="Y60" s="16"/>
      <c r="Z60" s="16"/>
      <c r="AA60" s="16"/>
      <c r="AB60" s="763">
        <f ca="1">_xludf.IFS(Case_Scenario="Base",Valuation!J85,Case_Scenario="Bull",Valuation!J86,Case_Scenario="Bear",Valuation!J84)</f>
      </c>
    </row>
    <row r="61" ht="13.5" customHeight="1" spans="1:28" x14ac:dyDescent="0.25">
      <c r="A61" s="16"/>
      <c r="B61" s="16"/>
      <c r="C61" s="16"/>
      <c r="D61" s="16"/>
      <c r="E61" s="16"/>
      <c r="F61" s="189"/>
      <c r="G61" s="16" t="s">
        <v>832</v>
      </c>
      <c r="H61" s="16"/>
      <c r="I61" s="16"/>
      <c r="J61" s="16"/>
      <c r="K61" s="765">
        <f ca="1">K59*K60</f>
        <v>-92916.22638081462</v>
      </c>
      <c r="L61" s="16"/>
      <c r="M61" s="16"/>
      <c r="N61" s="188" t="s">
        <v>832</v>
      </c>
      <c r="O61" s="16"/>
      <c r="P61" s="16"/>
      <c r="Q61" s="16"/>
      <c r="R61" s="765">
        <f ca="1">(R59*(1+R60))/(Discount_Rate-R60)</f>
      </c>
      <c r="S61" s="16"/>
      <c r="T61" s="16"/>
      <c r="U61" s="16"/>
      <c r="V61" s="16"/>
      <c r="W61" s="189"/>
      <c r="X61" s="16" t="s">
        <v>832</v>
      </c>
      <c r="Y61" s="16"/>
      <c r="Z61" s="16"/>
      <c r="AA61" s="16"/>
      <c r="AB61" s="765">
        <f ca="1">AB59*AB60</f>
        <v>1e-12</v>
      </c>
    </row>
    <row r="62" ht="13.5" customHeight="1" spans="1:28" x14ac:dyDescent="0.25">
      <c r="A62" s="16"/>
      <c r="B62" s="16"/>
      <c r="C62" s="16"/>
      <c r="D62" s="16"/>
      <c r="E62" s="16"/>
      <c r="F62" s="189"/>
      <c r="G62" s="16" t="s">
        <v>833</v>
      </c>
      <c r="H62" s="16"/>
      <c r="I62" s="16"/>
      <c r="J62" s="16"/>
      <c r="K62" s="765">
        <f ca="1">K61*R52</f>
        <v>-61532.35112800118</v>
      </c>
      <c r="L62" s="16"/>
      <c r="M62" s="16"/>
      <c r="N62" s="188" t="s">
        <v>833</v>
      </c>
      <c r="O62" s="16"/>
      <c r="P62" s="16"/>
      <c r="Q62" s="16"/>
      <c r="R62" s="765">
        <f ca="1">R61*R52</f>
        <v>1e-12</v>
      </c>
      <c r="S62" s="16"/>
      <c r="T62" s="16"/>
      <c r="U62" s="16"/>
      <c r="V62" s="16"/>
      <c r="W62" s="189"/>
      <c r="X62" s="16" t="s">
        <v>833</v>
      </c>
      <c r="Y62" s="16"/>
      <c r="Z62" s="16"/>
      <c r="AA62" s="16"/>
      <c r="AB62" s="765">
        <f ca="1">AB61*R52</f>
        <v>1e-12</v>
      </c>
    </row>
    <row r="63" ht="13.5" customHeight="1" spans="1:28" x14ac:dyDescent="0.25">
      <c r="A63" s="16"/>
      <c r="B63" s="16"/>
      <c r="C63" s="16"/>
      <c r="D63" s="16"/>
      <c r="E63" s="16"/>
      <c r="F63" s="189"/>
      <c r="G63" s="16" t="s">
        <v>834</v>
      </c>
      <c r="H63" s="16"/>
      <c r="I63" s="16"/>
      <c r="J63" s="16"/>
      <c r="K63" s="765">
        <f ca="1">SUM(N54:R54)</f>
        <v>-24367.184554821753</v>
      </c>
      <c r="L63" s="16"/>
      <c r="M63" s="16"/>
      <c r="N63" s="188" t="s">
        <v>834</v>
      </c>
      <c r="O63" s="16"/>
      <c r="P63" s="16"/>
      <c r="Q63" s="16"/>
      <c r="R63" s="765">
        <f ca="1">SUM(N54:R54)</f>
        <v>-24367.184554821753</v>
      </c>
      <c r="S63" s="16"/>
      <c r="T63" s="16"/>
      <c r="U63" s="16"/>
      <c r="V63" s="16"/>
      <c r="W63" s="189"/>
      <c r="X63" s="16" t="s">
        <v>834</v>
      </c>
      <c r="Y63" s="16"/>
      <c r="Z63" s="16"/>
      <c r="AA63" s="16"/>
      <c r="AB63" s="765">
        <f ca="1">SUM(N54:R54)</f>
        <v>-24367.184554821753</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 ca="1">K62+K63</f>
        <v>-85899.53568282293</v>
      </c>
      <c r="L65" s="16"/>
      <c r="M65" s="16"/>
      <c r="N65" s="190" t="s">
        <v>13</v>
      </c>
      <c r="O65" s="132"/>
      <c r="P65" s="132"/>
      <c r="Q65" s="132"/>
      <c r="R65" s="766">
        <f ca="1">R62+R63</f>
        <v>-24367.184554821753</v>
      </c>
      <c r="S65" s="16"/>
      <c r="T65" s="16"/>
      <c r="U65" s="16"/>
      <c r="V65" s="16"/>
      <c r="W65" s="189"/>
      <c r="X65" s="132" t="s">
        <v>13</v>
      </c>
      <c r="Y65" s="132"/>
      <c r="Z65" s="132"/>
      <c r="AA65" s="132"/>
      <c r="AB65" s="766">
        <f ca="1">AB62+AB63</f>
        <v>-24367.184554821753</v>
      </c>
    </row>
    <row r="66" ht="13.5" customHeight="1" spans="1:28" x14ac:dyDescent="0.25">
      <c r="A66" s="16"/>
      <c r="B66" s="16"/>
      <c r="C66" s="16"/>
      <c r="D66" s="16"/>
      <c r="E66" s="16"/>
      <c r="F66" s="189"/>
      <c r="G66" s="16" t="s">
        <v>835</v>
      </c>
      <c r="H66" s="16"/>
      <c r="I66" s="16"/>
      <c r="J66" s="16"/>
      <c r="K66" s="767">
        <f ca="1">IF(Last_FQR="1Q",Model!$U$120,IF(Last_FQR="2Q",Model!$V$120,IF(Last_FQR="3Q",Model!$W$120,Model!$X$120)))</f>
        <v>6255</v>
      </c>
      <c r="L66" s="16"/>
      <c r="M66" s="16"/>
      <c r="N66" s="188" t="s">
        <v>835</v>
      </c>
      <c r="O66" s="16"/>
      <c r="P66" s="16"/>
      <c r="Q66" s="16"/>
      <c r="R66" s="765">
        <f t="shared" ref="R66:R71" si="17" ca="1">K66</f>
        <v>6255</v>
      </c>
      <c r="S66" s="16"/>
      <c r="T66" s="16"/>
      <c r="U66" s="16"/>
      <c r="V66" s="16"/>
      <c r="W66" s="189"/>
      <c r="X66" s="16" t="s">
        <v>835</v>
      </c>
      <c r="Y66" s="16"/>
      <c r="Z66" s="16"/>
      <c r="AA66" s="16"/>
      <c r="AB66" s="767">
        <f ca="1">Model!$V$120</f>
        <v>6255</v>
      </c>
    </row>
    <row r="67" ht="13.5" customHeight="1" spans="1:28" x14ac:dyDescent="0.25">
      <c r="A67" s="16"/>
      <c r="B67" s="16"/>
      <c r="C67" s="16"/>
      <c r="D67" s="16"/>
      <c r="E67" s="16"/>
      <c r="F67" s="189"/>
      <c r="G67" s="16" t="s">
        <v>836</v>
      </c>
      <c r="H67" s="16"/>
      <c r="I67" s="16"/>
      <c r="J67" s="16"/>
      <c r="K67" s="767">
        <f ca="1">WACC!$M$8</f>
        <v>1e-12</v>
      </c>
      <c r="L67" s="16"/>
      <c r="M67" s="16"/>
      <c r="N67" s="188" t="s">
        <v>836</v>
      </c>
      <c r="O67" s="16"/>
      <c r="P67" s="16"/>
      <c r="Q67" s="16"/>
      <c r="R67" s="765">
        <f ca="1">K67</f>
        <v>1e-12</v>
      </c>
      <c r="S67" s="16"/>
      <c r="T67" s="16"/>
      <c r="U67" s="16"/>
      <c r="V67" s="16"/>
      <c r="W67" s="189"/>
      <c r="X67" s="16" t="s">
        <v>836</v>
      </c>
      <c r="Y67" s="16"/>
      <c r="Z67" s="16"/>
      <c r="AA67" s="16"/>
      <c r="AB67" s="767">
        <f ca="1">WACC!$M$8</f>
        <v>1e-12</v>
      </c>
    </row>
    <row r="68" ht="13.5" customHeight="1" spans="1:28" x14ac:dyDescent="0.25">
      <c r="A68" s="16"/>
      <c r="B68" s="16"/>
      <c r="C68" s="16"/>
      <c r="D68" s="16"/>
      <c r="E68" s="16"/>
      <c r="F68" s="189"/>
      <c r="G68" s="16" t="s">
        <v>837</v>
      </c>
      <c r="H68" s="16"/>
      <c r="I68" s="16"/>
      <c r="J68" s="16"/>
      <c r="K68" s="767">
        <f ca="1">-IF(Last_FQR="1Q",Model!$U$139+Model!$U$140,IF(Last_FQR="2Q",Model!$V$139+Model!$V$140,IF(Last_FQR="3Q",Model!$W$139+Model!$W$140,Model!$X$139+Model!$X$140)))</f>
        <v>-23311</v>
      </c>
      <c r="L68" s="16"/>
      <c r="M68" s="16"/>
      <c r="N68" s="188" t="s">
        <v>837</v>
      </c>
      <c r="O68" s="16"/>
      <c r="P68" s="16"/>
      <c r="Q68" s="16"/>
      <c r="R68" s="765">
        <f ca="1">K68</f>
        <v>-23311</v>
      </c>
      <c r="S68" s="16"/>
      <c r="T68" s="16"/>
      <c r="U68" s="16"/>
      <c r="V68" s="16"/>
      <c r="W68" s="189"/>
      <c r="X68" s="16" t="s">
        <v>837</v>
      </c>
      <c r="Y68" s="16"/>
      <c r="Z68" s="16"/>
      <c r="AA68" s="16"/>
      <c r="AB68" s="767">
        <f ca="1">-(Model!$V$139+Model!$V$140)</f>
        <v>-23311</v>
      </c>
    </row>
    <row r="69" ht="13.5" customHeight="1" spans="1:28" x14ac:dyDescent="0.25">
      <c r="A69" s="16"/>
      <c r="B69" s="16"/>
      <c r="C69" s="16"/>
      <c r="D69" s="16"/>
      <c r="E69" s="16"/>
      <c r="F69" s="189"/>
      <c r="G69" s="16" t="s">
        <v>838</v>
      </c>
      <c r="H69" s="16"/>
      <c r="I69" s="16"/>
      <c r="J69" s="16"/>
      <c r="K69" s="768">
        <v>0</v>
      </c>
      <c r="L69" s="16"/>
      <c r="M69" s="16"/>
      <c r="N69" s="188" t="s">
        <v>838</v>
      </c>
      <c r="O69" s="16"/>
      <c r="P69" s="16"/>
      <c r="Q69" s="16"/>
      <c r="R69" s="765">
        <f ca="1">K69</f>
        <v>1e-12</v>
      </c>
      <c r="S69" s="16"/>
      <c r="T69" s="16"/>
      <c r="U69" s="16"/>
      <c r="V69" s="16"/>
      <c r="W69" s="189"/>
      <c r="X69" s="16" t="s">
        <v>838</v>
      </c>
      <c r="Y69" s="16"/>
      <c r="Z69" s="16"/>
      <c r="AA69" s="16"/>
      <c r="AB69" s="768">
        <v>0</v>
      </c>
    </row>
    <row r="70" ht="13.5" customHeight="1" spans="1:28" x14ac:dyDescent="0.25">
      <c r="A70" s="16"/>
      <c r="B70" s="16"/>
      <c r="C70" s="16"/>
      <c r="D70" s="16"/>
      <c r="E70" s="16"/>
      <c r="F70" s="189"/>
      <c r="G70" s="16" t="s">
        <v>839</v>
      </c>
      <c r="H70" s="16"/>
      <c r="I70" s="16"/>
      <c r="J70" s="16"/>
      <c r="K70" s="767">
        <f ca="1">-IF(Last_FQR="1Q",Model!$U$153,IF(Last_FQR="2Q",Model!$V$153,IF(Last_FQR="3Q",Model!$W$153,Model!$X$153)))</f>
        <v>0</v>
      </c>
      <c r="L70" s="16"/>
      <c r="M70" s="16"/>
      <c r="N70" s="188" t="s">
        <v>839</v>
      </c>
      <c r="O70" s="16"/>
      <c r="P70" s="16"/>
      <c r="Q70" s="16"/>
      <c r="R70" s="765">
        <f ca="1">K70</f>
        <v>1e-12</v>
      </c>
      <c r="S70" s="16"/>
      <c r="T70" s="16"/>
      <c r="U70" s="16"/>
      <c r="V70" s="16"/>
      <c r="W70" s="189"/>
      <c r="X70" s="16" t="s">
        <v>839</v>
      </c>
      <c r="Y70" s="16"/>
      <c r="Z70" s="16"/>
      <c r="AA70" s="16"/>
      <c r="AB70" s="767">
        <f ca="1">-Model!$V$153</f>
        <v>1e-12</v>
      </c>
    </row>
    <row r="71" ht="13.5" customHeight="1" spans="1:28" x14ac:dyDescent="0.25">
      <c r="A71" s="16"/>
      <c r="B71" s="16"/>
      <c r="C71" s="16"/>
      <c r="D71" s="16"/>
      <c r="E71" s="16"/>
      <c r="F71" s="189"/>
      <c r="G71" s="16" t="s">
        <v>840</v>
      </c>
      <c r="H71" s="16"/>
      <c r="I71" s="16"/>
      <c r="J71" s="16"/>
      <c r="K71" s="768">
        <v>0</v>
      </c>
      <c r="L71" s="16"/>
      <c r="M71" s="16"/>
      <c r="N71" s="188" t="s">
        <v>840</v>
      </c>
      <c r="O71" s="16"/>
      <c r="P71" s="16"/>
      <c r="Q71" s="16"/>
      <c r="R71" s="765">
        <f ca="1">K71</f>
        <v>1e-12</v>
      </c>
      <c r="S71" s="16"/>
      <c r="T71" s="16"/>
      <c r="U71" s="16"/>
      <c r="V71" s="16"/>
      <c r="W71" s="189"/>
      <c r="X71" s="16" t="s">
        <v>840</v>
      </c>
      <c r="Y71" s="16"/>
      <c r="Z71" s="16"/>
      <c r="AA71" s="16"/>
      <c r="AB71" s="768">
        <v>0</v>
      </c>
    </row>
    <row r="72" ht="13.5" customHeight="1" spans="1:28" x14ac:dyDescent="0.25">
      <c r="A72" s="16"/>
      <c r="B72" s="16"/>
      <c r="C72" s="16"/>
      <c r="D72" s="16"/>
      <c r="E72" s="16"/>
      <c r="F72" s="189"/>
      <c r="G72" s="132" t="s">
        <v>16</v>
      </c>
      <c r="H72" s="132"/>
      <c r="I72" s="132"/>
      <c r="J72" s="132"/>
      <c r="K72" s="766">
        <f ca="1">SUM(K65:K71)</f>
        <v>-102955.53568282293</v>
      </c>
      <c r="L72" s="16"/>
      <c r="M72" s="16"/>
      <c r="N72" s="190" t="s">
        <v>16</v>
      </c>
      <c r="O72" s="132"/>
      <c r="P72" s="132"/>
      <c r="Q72" s="132"/>
      <c r="R72" s="766">
        <f ca="1">SUM(R65:R71)</f>
        <v>-41423.18455482175</v>
      </c>
      <c r="S72" s="16"/>
      <c r="T72" s="16"/>
      <c r="U72" s="16"/>
      <c r="V72" s="16"/>
      <c r="W72" s="189"/>
      <c r="X72" s="132" t="s">
        <v>16</v>
      </c>
      <c r="Y72" s="132"/>
      <c r="Z72" s="132"/>
      <c r="AA72" s="132"/>
      <c r="AB72" s="766">
        <f ca="1">SUM(AB65:AB71)</f>
        <v>-41423.18455482175</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841</v>
      </c>
      <c r="H74" s="16"/>
      <c r="I74" s="16"/>
      <c r="J74" s="16"/>
      <c r="K74" s="769">
        <f ca="1">Diluted_Shares</f>
        <v>707</v>
      </c>
      <c r="L74" s="16"/>
      <c r="M74" s="16"/>
      <c r="N74" s="188" t="s">
        <v>841</v>
      </c>
      <c r="O74" s="16"/>
      <c r="P74" s="16"/>
      <c r="Q74" s="16"/>
      <c r="R74" s="770">
        <f ca="1">K74</f>
        <v>707</v>
      </c>
      <c r="S74" s="16"/>
      <c r="T74" s="16"/>
      <c r="U74" s="16"/>
      <c r="V74" s="16"/>
      <c r="W74" s="189"/>
      <c r="X74" s="16" t="s">
        <v>841</v>
      </c>
      <c r="Y74" s="16"/>
      <c r="Z74" s="16"/>
      <c r="AA74" s="16"/>
      <c r="AB74" s="769">
        <f ca="1">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 ca="1">K72/K74</f>
        <v>-145.6231056334129</v>
      </c>
      <c r="L76" s="16"/>
      <c r="M76" s="16"/>
      <c r="N76" s="190" t="s">
        <v>18</v>
      </c>
      <c r="O76" s="132"/>
      <c r="P76" s="132"/>
      <c r="Q76" s="132"/>
      <c r="R76" s="771">
        <f ca="1">R72/R74</f>
        <v>-58.590077163821434</v>
      </c>
      <c r="S76" s="16"/>
      <c r="T76" s="16"/>
      <c r="U76" s="16"/>
      <c r="V76" s="16"/>
      <c r="W76" s="189"/>
      <c r="X76" s="132" t="s">
        <v>18</v>
      </c>
      <c r="Y76" s="132"/>
      <c r="Z76" s="132"/>
      <c r="AA76" s="132"/>
      <c r="AB76" s="771">
        <f ca="1">AB72/AB74</f>
        <v>-58.590077163821434</v>
      </c>
    </row>
    <row r="77" ht="13.5" customHeight="1" spans="1:28" x14ac:dyDescent="0.25">
      <c r="A77" s="16"/>
      <c r="B77" s="16"/>
      <c r="C77" s="16"/>
      <c r="D77" s="16"/>
      <c r="E77" s="16"/>
      <c r="F77" s="16"/>
      <c r="G77" s="772" t="s">
        <v>15</v>
      </c>
      <c r="H77" s="131"/>
      <c r="I77" s="131"/>
      <c r="J77" s="131"/>
      <c r="K77" s="773">
        <f ca="1">K76/Share_Price-1</f>
      </c>
      <c r="L77" s="16"/>
      <c r="M77" s="16"/>
      <c r="N77" s="772" t="s">
        <v>15</v>
      </c>
      <c r="O77" s="131"/>
      <c r="P77" s="131"/>
      <c r="Q77" s="131"/>
      <c r="R77" s="773">
        <f ca="1">R76/Share_Price-1</f>
      </c>
      <c r="S77" s="16"/>
      <c r="T77" s="16"/>
      <c r="U77" s="16"/>
      <c r="V77" s="16"/>
      <c r="W77" s="16"/>
      <c r="X77" s="772" t="s">
        <v>15</v>
      </c>
      <c r="Y77" s="131"/>
      <c r="Z77" s="131"/>
      <c r="AA77" s="131"/>
      <c r="AB77" s="773">
        <f ca="1">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842</v>
      </c>
      <c r="H79" s="16"/>
      <c r="I79" s="16"/>
      <c r="J79" s="16"/>
      <c r="K79" s="774">
        <f ca="1">R61/K59</f>
        <v>1e-12</v>
      </c>
      <c r="L79" s="16"/>
      <c r="M79" s="16"/>
      <c r="N79" s="16" t="s">
        <v>843</v>
      </c>
      <c r="O79" s="16"/>
      <c r="P79" s="16"/>
      <c r="Q79" s="16"/>
      <c r="R79" s="775">
        <f ca="1">(K61*Discount_Rate-R59)/(R59+K61)</f>
      </c>
      <c r="S79" s="16"/>
      <c r="T79" s="16"/>
      <c r="U79" s="16"/>
      <c r="V79" s="16"/>
      <c r="W79" s="16"/>
      <c r="X79" s="16" t="s">
        <v>842</v>
      </c>
      <c r="Y79" s="16"/>
      <c r="Z79" s="16"/>
      <c r="AA79" s="16"/>
      <c r="AB79" s="774">
        <f ca="1">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822</v>
      </c>
      <c r="D83" s="16"/>
      <c r="E83" s="16"/>
      <c r="F83" s="16"/>
      <c r="G83" s="42" t="s">
        <v>844</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845</v>
      </c>
      <c r="D84" s="16"/>
      <c r="E84" s="16"/>
      <c r="F84" s="16"/>
      <c r="G84" s="777">
        <f ca="1">Discount_Rate</f>
        <v>0.08911722232642302</v>
      </c>
      <c r="H84" s="16"/>
      <c r="I84" s="16" t="s">
        <v>846</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 ca="1">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808</v>
      </c>
      <c r="D86" s="16"/>
      <c r="E86" s="16"/>
      <c r="F86" s="16"/>
      <c r="G86" s="780">
        <v>0.02</v>
      </c>
      <c r="H86" s="16"/>
      <c r="I86" s="16" t="s">
        <v>847</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f ca="1">_xludf.IFS(Case_Scenario="Base",Valuation!J85,Case_Scenario="Bull",Valuation!J86,Case_Scenario="Bear",Valuation!J84)</f>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848</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849</v>
      </c>
      <c r="D92" s="16"/>
      <c r="E92" s="774">
        <f ca="1">J85</f>
        <v>13</v>
      </c>
      <c r="F92" s="667">
        <f ca="1">E92-H98</f>
        <v>1e-12</v>
      </c>
      <c r="G92" s="16"/>
      <c r="H92" s="16" t="s">
        <v>850</v>
      </c>
      <c r="I92" s="16"/>
      <c r="J92" s="781">
        <f ca="1">G86</f>
        <v>0.02</v>
      </c>
      <c r="K92" s="667">
        <f ca="1">J92-H106</f>
        <v>1e-12</v>
      </c>
      <c r="L92" s="16"/>
      <c r="M92" s="16" t="s">
        <v>851</v>
      </c>
      <c r="N92" s="16"/>
      <c r="O92" s="781">
        <f ca="1">G84</f>
        <v>0.08911722232642302</v>
      </c>
      <c r="P92" s="667">
        <f ca="1">O92-E101</f>
        <v>0.00024017932196848668</v>
      </c>
      <c r="Q92" s="16"/>
      <c r="R92" s="16"/>
      <c r="S92" s="16"/>
      <c r="T92" s="16"/>
      <c r="U92" s="16"/>
      <c r="V92" s="16"/>
      <c r="W92" s="16"/>
      <c r="X92" s="16"/>
      <c r="Y92" s="16"/>
      <c r="Z92" s="16"/>
      <c r="AA92" s="16"/>
      <c r="AB92" s="16"/>
    </row>
    <row r="93" ht="14.25" customHeight="1" spans="1:28" x14ac:dyDescent="0.25">
      <c r="A93" s="16"/>
      <c r="B93" s="16"/>
      <c r="C93" s="16" t="s">
        <v>852</v>
      </c>
      <c r="D93" s="16"/>
      <c r="E93" s="782">
        <v>1</v>
      </c>
      <c r="F93" s="16"/>
      <c r="G93" s="16"/>
      <c r="H93" s="16" t="s">
        <v>853</v>
      </c>
      <c r="I93" s="16"/>
      <c r="J93" s="783">
        <v>0.005</v>
      </c>
      <c r="K93" s="16"/>
      <c r="L93" s="16"/>
      <c r="M93" s="16" t="s">
        <v>854</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855</v>
      </c>
      <c r="E95" s="22"/>
      <c r="F95" s="22"/>
      <c r="G95" s="22"/>
      <c r="H95" s="22"/>
      <c r="I95" s="22"/>
      <c r="J95" s="7"/>
      <c r="K95" s="784"/>
      <c r="L95" s="63" t="s">
        <v>856</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 ca="1">K76</f>
        <v>-145.6231056334129</v>
      </c>
      <c r="F98" s="786">
        <f t="shared" ref="F98:G98" si="18" ca="1">G98-$E$93</f>
        <v>11</v>
      </c>
      <c r="G98" s="786">
        <f ca="1">H98-$E$93</f>
        <v>12</v>
      </c>
      <c r="H98" s="787">
        <v>13</v>
      </c>
      <c r="I98" s="786">
        <f t="shared" ref="I98:J98" si="19" ca="1">H98+$E$93</f>
        <v>14</v>
      </c>
      <c r="J98" s="786">
        <f ca="1">I98+$E$93</f>
        <v>15</v>
      </c>
      <c r="K98" s="16"/>
      <c r="L98" s="16"/>
      <c r="M98" s="788">
        <f ca="1">$H$73</f>
        <v>1e-12</v>
      </c>
      <c r="N98" s="786">
        <f t="shared" ref="N98:R98" si="20" ca="1">F98</f>
        <v>11</v>
      </c>
      <c r="O98" s="786">
        <f ca="1">G98</f>
        <v>12</v>
      </c>
      <c r="P98" s="786">
        <f ca="1">H98</f>
        <v>13</v>
      </c>
      <c r="Q98" s="786">
        <f ca="1">I98</f>
        <v>14</v>
      </c>
      <c r="R98" s="786">
        <f ca="1">J98</f>
        <v>15</v>
      </c>
      <c r="S98" s="16"/>
      <c r="T98" s="16"/>
      <c r="U98" s="16"/>
      <c r="V98" s="16"/>
      <c r="W98" s="16"/>
      <c r="X98" s="16"/>
      <c r="Y98" s="16"/>
      <c r="Z98" s="16"/>
      <c r="AA98" s="16"/>
      <c r="AB98" s="16"/>
    </row>
    <row r="99" ht="14.25" customHeight="1" spans="1:28" x14ac:dyDescent="0.25">
      <c r="A99" s="16"/>
      <c r="B99" s="16"/>
      <c r="C99" s="16"/>
      <c r="D99" s="673" t="s">
        <v>47</v>
      </c>
      <c r="E99" s="789">
        <f t="shared" ref="E99:E100" si="21" ca="1">E100-$O$93</f>
        <v>0.07887704300445453</v>
      </c>
      <c r="F99" s="790">
        <v>236.33583068885625</v>
      </c>
      <c r="G99" s="791">
        <v>255.2234023405651</v>
      </c>
      <c r="H99" s="791">
        <v>274.110973992274</v>
      </c>
      <c r="I99" s="791">
        <v>292.9985456439829</v>
      </c>
      <c r="J99" s="792">
        <v>311.8861172956918</v>
      </c>
      <c r="K99" s="16"/>
      <c r="L99" s="673" t="s">
        <v>47</v>
      </c>
      <c r="M99" s="789">
        <f t="shared" ref="M99:M103" si="22" ca="1">E99</f>
        <v>0.07887704300445453</v>
      </c>
      <c r="N99" s="793">
        <f t="shared" ref="N99:R103" si="23" ca="1">F99/Share_Price-1</f>
        <v>0.013533882360649452</v>
      </c>
      <c r="O99" s="661">
        <f ca="1">G99/Share_Price-1</f>
        <v>0.09453384655873176</v>
      </c>
      <c r="P99" s="661">
        <f ca="1">H99/Share_Price-1</f>
        <v>0.1755338107568145</v>
      </c>
      <c r="Q99" s="661">
        <f ca="1">I99/Share_Price-1</f>
        <v>0.25653377495489704</v>
      </c>
      <c r="R99" s="794">
        <f ca="1">J99/Share_Price-1</f>
        <v>0.3375337391529796</v>
      </c>
      <c r="S99" s="16"/>
      <c r="T99" s="16"/>
      <c r="U99" s="16"/>
      <c r="V99" s="16"/>
      <c r="W99" s="16"/>
      <c r="X99" s="16"/>
      <c r="Y99" s="16"/>
      <c r="Z99" s="16"/>
      <c r="AA99" s="16"/>
      <c r="AB99" s="16"/>
    </row>
    <row r="100" ht="14.25" customHeight="1" spans="1:28" x14ac:dyDescent="0.25">
      <c r="A100" s="16"/>
      <c r="B100" s="16"/>
      <c r="C100" s="16"/>
      <c r="D100" s="678"/>
      <c r="E100" s="789">
        <f ca="1">E101-$O$93</f>
        <v>0.08387704300445453</v>
      </c>
      <c r="F100" s="795">
        <v>232.22019290427394</v>
      </c>
      <c r="G100" s="796">
        <v>250.7826183405888</v>
      </c>
      <c r="H100" s="796">
        <v>269.34504377690365</v>
      </c>
      <c r="I100" s="796">
        <v>287.9074692132185</v>
      </c>
      <c r="J100" s="797">
        <v>306.46989464953344</v>
      </c>
      <c r="K100" s="16"/>
      <c r="L100" s="678"/>
      <c r="M100" s="789">
        <f ca="1">E100</f>
        <v>0.08387704300445453</v>
      </c>
      <c r="N100" s="798">
        <f ca="1">F100/Share_Price-1</f>
        <v>-0.004116163889381852</v>
      </c>
      <c r="O100" s="552">
        <f ca="1">G100/Share_Price-1</f>
        <v>0.07548940020837458</v>
      </c>
      <c r="P100" s="552">
        <f ca="1">H100/Share_Price-1</f>
        <v>0.155094964306131</v>
      </c>
      <c r="Q100" s="552">
        <f ca="1">I100/Share_Price-1</f>
        <v>0.23470052840388766</v>
      </c>
      <c r="R100" s="674">
        <f ca="1">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 ca="1">E101</f>
        <v>0.08887704300445454</v>
      </c>
      <c r="N101" s="798">
        <f ca="1">F101/Share_Price-1</f>
        <v>-0.02139362490836383</v>
      </c>
      <c r="O101" s="552">
        <f ca="1">G101/Share_Price-1</f>
        <v>0.056847796293074904</v>
      </c>
      <c r="P101" s="552">
        <f ca="1">H101/Share_Price-1</f>
        <v>0.1350892174945133</v>
      </c>
      <c r="Q101" s="552">
        <f ca="1">I101/Share_Price-1</f>
        <v>0.21333063869595192</v>
      </c>
      <c r="R101" s="674">
        <f ca="1">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 ca="1">E101+$O$93</f>
        <v>0.09387704300445454</v>
      </c>
      <c r="F102" s="795">
        <v>224.2473151724749</v>
      </c>
      <c r="G102" s="796">
        <v>242.1804298569011</v>
      </c>
      <c r="H102" s="796">
        <v>260.11354454132726</v>
      </c>
      <c r="I102" s="796">
        <v>278.04665922575344</v>
      </c>
      <c r="J102" s="797">
        <v>295.97977391017963</v>
      </c>
      <c r="K102" s="16"/>
      <c r="L102" s="678"/>
      <c r="M102" s="789">
        <f ca="1">E102</f>
        <v>0.09387704300445454</v>
      </c>
      <c r="N102" s="798">
        <f ca="1">F102/Share_Price-1</f>
        <v>-0.03830810887522551</v>
      </c>
      <c r="O102" s="552">
        <f ca="1">G102/Share_Price-1</f>
        <v>0.03859863563299215</v>
      </c>
      <c r="P102" s="552">
        <f ca="1">H102/Share_Price-1</f>
        <v>0.11550538014120959</v>
      </c>
      <c r="Q102" s="552">
        <f ca="1">I102/Share_Price-1</f>
        <v>0.19241212464942725</v>
      </c>
      <c r="R102" s="674">
        <f ca="1">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 ca="1">E102+$O$93</f>
        <v>0.09887704300445455</v>
      </c>
      <c r="F103" s="801">
        <v>220.38566223253238</v>
      </c>
      <c r="G103" s="802">
        <v>238.0142491233211</v>
      </c>
      <c r="H103" s="802">
        <v>255.64283601410978</v>
      </c>
      <c r="I103" s="802">
        <v>273.2714229048985</v>
      </c>
      <c r="J103" s="803">
        <v>290.90000979568714</v>
      </c>
      <c r="K103" s="16"/>
      <c r="L103" s="683"/>
      <c r="M103" s="789">
        <f ca="1">E103</f>
        <v>0.09887704300445455</v>
      </c>
      <c r="N103" s="804">
        <f ca="1">F103/Share_Price-1</f>
        <v>-0.054868932873606724</v>
      </c>
      <c r="O103" s="670">
        <f ca="1">G103/Share_Price-1</f>
        <v>0.020731834305348196</v>
      </c>
      <c r="P103" s="670">
        <f ca="1">H103/Share_Price-1</f>
        <v>0.0963326014843029</v>
      </c>
      <c r="Q103" s="670">
        <f ca="1">I103/Share_Price-1</f>
        <v>0.1719333686632578</v>
      </c>
      <c r="R103" s="805">
        <f ca="1">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857</v>
      </c>
      <c r="G105" s="668"/>
      <c r="H105" s="668"/>
      <c r="I105" s="668"/>
      <c r="J105" s="668"/>
      <c r="K105" s="16"/>
      <c r="L105" s="590"/>
      <c r="M105" s="592"/>
      <c r="N105" s="592" t="s">
        <v>857</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 ca="1">$R$76</f>
        <v>-58.590077163821434</v>
      </c>
      <c r="F106" s="670">
        <f t="shared" ref="F106:G106" si="25" ca="1">G106-$J$93</f>
        <v>0.009999999999999998</v>
      </c>
      <c r="G106" s="670">
        <f ca="1">H106-$J$93</f>
        <v>0.015</v>
      </c>
      <c r="H106" s="806">
        <v>0.02</v>
      </c>
      <c r="I106" s="670">
        <f t="shared" ref="I106:J106" si="26" ca="1">H106+$J$93</f>
        <v>0.025</v>
      </c>
      <c r="J106" s="670">
        <f ca="1">I106+$J$93</f>
        <v>0.030000000000000002</v>
      </c>
      <c r="K106" s="16"/>
      <c r="L106" s="16"/>
      <c r="M106" s="788">
        <f ca="1">$O$73</f>
        <v>1e-12</v>
      </c>
      <c r="N106" s="670">
        <f t="shared" ref="N106:R106" si="27" ca="1">F106</f>
        <v>0.009999999999999998</v>
      </c>
      <c r="O106" s="670">
        <f ca="1">G106</f>
        <v>0.015</v>
      </c>
      <c r="P106" s="670">
        <f ca="1">H106</f>
        <v>0.02</v>
      </c>
      <c r="Q106" s="670">
        <f ca="1">I106</f>
        <v>0.025</v>
      </c>
      <c r="R106" s="670">
        <f ca="1">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 ca="1">E99</f>
        <v>0.07887704300445453</v>
      </c>
      <c r="F107" s="790">
        <v>186.95744698844035</v>
      </c>
      <c r="G107" s="791">
        <v>198.5140915183207</v>
      </c>
      <c r="H107" s="800">
        <v>211.74860199972466</v>
      </c>
      <c r="I107" s="791">
        <v>227.05498523210753</v>
      </c>
      <c r="J107" s="792">
        <v>244.96108856782928</v>
      </c>
      <c r="K107" s="16"/>
      <c r="L107" s="673" t="s">
        <v>47</v>
      </c>
      <c r="M107" s="789">
        <f t="shared" ref="M107:M111" si="29" ca="1">E107</f>
        <v>0.07887704300445453</v>
      </c>
      <c r="N107" s="793">
        <f t="shared" ref="N107:R111" si="30" ca="1">F107/Share_Price-1</f>
        <v>-0.19822691916785162</v>
      </c>
      <c r="O107" s="661">
        <f ca="1">G107/Share_Price-1</f>
        <v>-0.14866587392434727</v>
      </c>
      <c r="P107" s="661">
        <f ca="1">H107/Share_Price-1</f>
        <v>-0.09190924607717366</v>
      </c>
      <c r="Q107" s="661">
        <f ca="1">I107/Share_Price-1</f>
        <v>-0.026267324675754655</v>
      </c>
      <c r="R107" s="794">
        <f ca="1">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 ca="1">E100</f>
        <v>0.08387704300445453</v>
      </c>
      <c r="F108" s="795">
        <v>183.6918493719922</v>
      </c>
      <c r="G108" s="796">
        <v>195.04954830416227</v>
      </c>
      <c r="H108" s="796">
        <v>208.0562290213714</v>
      </c>
      <c r="I108" s="796">
        <v>223.09911556550063</v>
      </c>
      <c r="J108" s="797">
        <v>240.69696848981826</v>
      </c>
      <c r="K108" s="16"/>
      <c r="L108" s="678"/>
      <c r="M108" s="789">
        <f ca="1">E108</f>
        <v>0.08387704300445453</v>
      </c>
      <c r="N108" s="798">
        <f ca="1">F108/Share_Price-1</f>
        <v>-0.2122315405609736</v>
      </c>
      <c r="O108" s="552">
        <f ca="1">G108/Share_Price-1</f>
        <v>-0.16352367997185746</v>
      </c>
      <c r="P108" s="552">
        <f ca="1">H108/Share_Price-1</f>
        <v>-0.10774410746474228</v>
      </c>
      <c r="Q108" s="552">
        <f ca="1">I108/Share_Price-1</f>
        <v>-0.04323220016510587</v>
      </c>
      <c r="R108" s="674">
        <f ca="1">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 ca="1">E109</f>
        <v>0.08887704300445454</v>
      </c>
      <c r="N109" s="798">
        <f ca="1">F109/Share_Price-1</f>
        <v>-0.22594267910088295</v>
      </c>
      <c r="O109" s="552">
        <f ca="1">G109/Share_Price-1</f>
        <v>-0.17806948984122173</v>
      </c>
      <c r="P109" s="552">
        <f ca="1">H109/Share_Price-1</f>
        <v>-0.12324577146889781</v>
      </c>
      <c r="Q109" s="552">
        <f ca="1">I109/Share_Price-1</f>
        <v>-0.05983935800085671</v>
      </c>
      <c r="R109" s="674">
        <f ca="1">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 ca="1">E102</f>
        <v>0.09387704300445454</v>
      </c>
      <c r="F110" s="795">
        <v>177.36419890109127</v>
      </c>
      <c r="G110" s="796">
        <v>188.33684459335734</v>
      </c>
      <c r="H110" s="796">
        <v>200.90256763238992</v>
      </c>
      <c r="I110" s="796">
        <v>215.43546423613432</v>
      </c>
      <c r="J110" s="797">
        <v>232.43670773064315</v>
      </c>
      <c r="K110" s="16"/>
      <c r="L110" s="678"/>
      <c r="M110" s="789">
        <f ca="1">E110</f>
        <v>0.09387704300445454</v>
      </c>
      <c r="N110" s="798">
        <f ca="1">F110/Share_Price-1</f>
        <v>-0.23936787502748402</v>
      </c>
      <c r="O110" s="552">
        <f ca="1">G110/Share_Price-1</f>
        <v>-0.1923113277581382</v>
      </c>
      <c r="P110" s="552">
        <f ca="1">H110/Share_Price-1</f>
        <v>-0.1384228165692173</v>
      </c>
      <c r="Q110" s="552">
        <f ca="1">I110/Share_Price-1</f>
        <v>-0.07609801768533186</v>
      </c>
      <c r="R110" s="674">
        <f ca="1">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 ca="1">E103</f>
        <v>0.09887704300445455</v>
      </c>
      <c r="F111" s="801">
        <v>174.2986827286993</v>
      </c>
      <c r="G111" s="802">
        <v>185.0849985144303</v>
      </c>
      <c r="H111" s="802">
        <v>197.43733910541226</v>
      </c>
      <c r="I111" s="802">
        <v>211.7234480754534</v>
      </c>
      <c r="J111" s="803">
        <v>228.4359881706039</v>
      </c>
      <c r="K111" s="16"/>
      <c r="L111" s="683"/>
      <c r="M111" s="789">
        <f ca="1">E111</f>
        <v>0.09887704300445455</v>
      </c>
      <c r="N111" s="804">
        <f ca="1">F111/Share_Price-1</f>
        <v>-0.2525144406522888</v>
      </c>
      <c r="O111" s="670">
        <f ca="1">G111/Share_Price-1</f>
        <v>-0.20625697523616815</v>
      </c>
      <c r="P111" s="670">
        <f ca="1">H111/Share_Price-1</f>
        <v>-0.15328356160300083</v>
      </c>
      <c r="Q111" s="670">
        <f ca="1">I111/Share_Price-1</f>
        <v>-0.09201711949801272</v>
      </c>
      <c r="R111" s="805">
        <f ca="1">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858</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859</v>
      </c>
      <c r="E116" s="22"/>
      <c r="F116" s="7"/>
      <c r="G116" s="16"/>
      <c r="H116" s="92" t="s">
        <v>860</v>
      </c>
      <c r="I116" s="22"/>
      <c r="J116" s="7"/>
      <c r="K116" s="16"/>
      <c r="L116" s="92" t="s">
        <v>140</v>
      </c>
      <c r="M116" s="22"/>
      <c r="N116" s="7"/>
      <c r="O116" s="189"/>
      <c r="P116" s="92" t="s">
        <v>861</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862</v>
      </c>
      <c r="E118" s="16"/>
      <c r="F118" s="808">
        <f ca="1">$D$11</f>
        <v>18.6398</v>
      </c>
      <c r="G118" s="16"/>
      <c r="H118" s="188" t="s">
        <v>863</v>
      </c>
      <c r="I118" s="16"/>
      <c r="J118" s="808">
        <f ca="1">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862</v>
      </c>
      <c r="M118" s="16"/>
      <c r="N118" s="808">
        <f ca="1">$D$12</f>
        <v>12.4849</v>
      </c>
      <c r="O118" s="189"/>
      <c r="P118" s="188" t="s">
        <v>863</v>
      </c>
      <c r="Q118" s="16"/>
      <c r="R118" s="808">
        <f ca="1">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864</v>
      </c>
      <c r="E119" s="16"/>
      <c r="F119" s="808">
        <f ca="1">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865</v>
      </c>
      <c r="I119" s="16"/>
      <c r="J119" s="808">
        <f ca="1">IF(G143="1 Year",J144,IF(G143="2 Year",J145,IF(G143="3 Year",J146,IF(G143="5 Year",J147,"N/A"))))</f>
        <v>21.62764142857142</v>
      </c>
      <c r="K119" s="16"/>
      <c r="L119" s="188" t="s">
        <v>864</v>
      </c>
      <c r="M119" s="16"/>
      <c r="N119" s="808">
        <f ca="1">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865</v>
      </c>
      <c r="Q119" s="16"/>
      <c r="R119" s="808">
        <f ca="1">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866</v>
      </c>
      <c r="E120" s="303"/>
      <c r="F120" s="809">
        <f ca="1">F118/F119-1</f>
        <v>-0.0063380139569576555</v>
      </c>
      <c r="G120" s="16"/>
      <c r="H120" s="307" t="s">
        <v>867</v>
      </c>
      <c r="I120" s="303"/>
      <c r="J120" s="810">
        <f ca="1">J118/J119-1</f>
        <v>-0.13265193899684824</v>
      </c>
      <c r="K120" s="16"/>
      <c r="L120" s="307" t="s">
        <v>866</v>
      </c>
      <c r="M120" s="303"/>
      <c r="N120" s="809">
        <f ca="1">N118/N119-1</f>
        <v>0.003621426303372033</v>
      </c>
      <c r="O120" s="189"/>
      <c r="P120" s="188" t="s">
        <v>867</v>
      </c>
      <c r="Q120" s="16"/>
      <c r="R120" s="810">
        <f ca="1">R118/R119-1</f>
        <v>-0.1613903829732074</v>
      </c>
      <c r="S120" s="16"/>
      <c r="T120" s="16"/>
      <c r="U120" s="16"/>
      <c r="V120" s="16"/>
      <c r="W120" s="16"/>
      <c r="X120" s="16"/>
      <c r="Y120" s="16"/>
      <c r="Z120" s="16"/>
      <c r="AA120" s="16"/>
      <c r="AB120" s="16"/>
    </row>
    <row r="121" ht="13.5" customHeight="1" spans="1:28" x14ac:dyDescent="0.25">
      <c r="A121" s="16"/>
      <c r="B121" s="16"/>
      <c r="C121" s="16"/>
      <c r="D121" s="307" t="s">
        <v>868</v>
      </c>
      <c r="E121" s="303"/>
      <c r="F121" s="811">
        <v>0</v>
      </c>
      <c r="G121" s="16"/>
      <c r="H121" s="188" t="s">
        <v>869</v>
      </c>
      <c r="I121" s="16"/>
      <c r="J121" s="808">
        <f ca="1">IF($G$145=$K$220,$E$11,IF($G$145=$M$220,$E$16,IF($G$145=$O$220,$E$21,"N/A")))</f>
        <v>22.233219999999996</v>
      </c>
      <c r="K121" s="16"/>
      <c r="L121" s="307" t="s">
        <v>868</v>
      </c>
      <c r="M121" s="303"/>
      <c r="N121" s="811">
        <v>0</v>
      </c>
      <c r="O121" s="189"/>
      <c r="P121" s="188" t="s">
        <v>869</v>
      </c>
      <c r="Q121" s="16"/>
      <c r="R121" s="808">
        <f ca="1">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870</v>
      </c>
      <c r="E123" s="16"/>
      <c r="F123" s="808">
        <f ca="1">F119*(1+F121)</f>
        <v>18.758692857142854</v>
      </c>
      <c r="G123" s="16"/>
      <c r="H123" s="188" t="s">
        <v>870</v>
      </c>
      <c r="I123" s="16"/>
      <c r="J123" s="808">
        <f ca="1">J121*(1+J120)</f>
        <v>19.28394025685649</v>
      </c>
      <c r="K123" s="16"/>
      <c r="L123" s="188" t="s">
        <v>870</v>
      </c>
      <c r="M123" s="16"/>
      <c r="N123" s="808">
        <f ca="1">N119*(1+N121)</f>
        <v>12.439849999999998</v>
      </c>
      <c r="O123" s="189"/>
      <c r="P123" s="188" t="s">
        <v>870</v>
      </c>
      <c r="Q123" s="16"/>
      <c r="R123" s="808">
        <f ca="1">R121*(1+R120)</f>
        <v>13.012839604943464</v>
      </c>
      <c r="S123" s="16"/>
      <c r="T123" s="16"/>
      <c r="U123" s="16"/>
      <c r="V123" s="16"/>
      <c r="W123" s="16"/>
      <c r="X123" s="16"/>
      <c r="Y123" s="16"/>
      <c r="Z123" s="16"/>
      <c r="AA123" s="16"/>
      <c r="AB123" s="16"/>
    </row>
    <row r="124" ht="13.5" customHeight="1" spans="1:28" x14ac:dyDescent="0.25">
      <c r="A124" s="16"/>
      <c r="B124" s="16"/>
      <c r="C124" s="16"/>
      <c r="D124" s="188" t="s">
        <v>871</v>
      </c>
      <c r="E124" s="16"/>
      <c r="F124" s="812">
        <f ca="1">NTM_EPS</f>
      </c>
      <c r="G124" s="16"/>
      <c r="H124" s="188" t="s">
        <v>871</v>
      </c>
      <c r="I124" s="16"/>
      <c r="J124" s="812">
        <f ca="1">F124</f>
        <v>1e-12</v>
      </c>
      <c r="K124" s="16"/>
      <c r="L124" s="813" t="s">
        <v>872</v>
      </c>
      <c r="M124" s="16"/>
      <c r="N124" s="814">
        <f ca="1">NTM_EBITDA</f>
      </c>
      <c r="O124" s="189"/>
      <c r="P124" s="188" t="s">
        <v>872</v>
      </c>
      <c r="Q124" s="16"/>
      <c r="R124" s="814">
        <f ca="1">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873</v>
      </c>
      <c r="M125" s="16"/>
      <c r="N125" s="814">
        <f ca="1">N123*N124</f>
        <v>1e-12</v>
      </c>
      <c r="O125" s="189"/>
      <c r="P125" s="188" t="s">
        <v>873</v>
      </c>
      <c r="Q125" s="16"/>
      <c r="R125" s="814">
        <f ca="1">R123*R124</f>
        <v>1e-12</v>
      </c>
      <c r="S125" s="16"/>
      <c r="T125" s="16"/>
      <c r="U125" s="16"/>
      <c r="V125" s="16"/>
      <c r="W125" s="16"/>
      <c r="X125" s="16"/>
      <c r="Y125" s="16"/>
      <c r="Z125" s="16"/>
      <c r="AA125" s="16"/>
      <c r="AB125" s="16"/>
    </row>
    <row r="126" ht="13.5" customHeight="1" spans="1:28" x14ac:dyDescent="0.25">
      <c r="A126" s="16"/>
      <c r="B126" s="16"/>
      <c r="C126" s="16"/>
      <c r="D126" s="188" t="s">
        <v>874</v>
      </c>
      <c r="E126" s="16"/>
      <c r="F126" s="814">
        <f ca="1">F123*F124</f>
        <v>1e-12</v>
      </c>
      <c r="G126" s="16"/>
      <c r="H126" s="188" t="s">
        <v>874</v>
      </c>
      <c r="I126" s="16"/>
      <c r="J126" s="814">
        <f ca="1">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875</v>
      </c>
      <c r="E127" s="131"/>
      <c r="F127" s="773">
        <f ca="1">F126/Share_Price-1</f>
      </c>
      <c r="G127" s="16"/>
      <c r="H127" s="311" t="s">
        <v>875</v>
      </c>
      <c r="I127" s="131"/>
      <c r="J127" s="773">
        <f ca="1">J126/Share_Price-1</f>
      </c>
      <c r="K127" s="16"/>
      <c r="L127" s="188" t="s">
        <v>876</v>
      </c>
      <c r="M127" s="16"/>
      <c r="N127" s="816">
        <f t="shared" ref="N127:N132" si="32" ca="1">K66</f>
        <v>6255</v>
      </c>
      <c r="O127" s="189"/>
      <c r="P127" s="188" t="s">
        <v>876</v>
      </c>
      <c r="Q127" s="16"/>
      <c r="R127" s="765">
        <f t="shared" ref="R127:R132" si="33" ca="1">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877</v>
      </c>
      <c r="M128" s="16"/>
      <c r="N128" s="816">
        <f ca="1">K67</f>
        <v>1e-12</v>
      </c>
      <c r="O128" s="189"/>
      <c r="P128" s="188" t="s">
        <v>877</v>
      </c>
      <c r="Q128" s="16"/>
      <c r="R128" s="765">
        <f ca="1">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878</v>
      </c>
      <c r="M129" s="16"/>
      <c r="N129" s="816">
        <f ca="1">K68</f>
        <v>-23311</v>
      </c>
      <c r="O129" s="189"/>
      <c r="P129" s="188" t="s">
        <v>878</v>
      </c>
      <c r="Q129" s="16"/>
      <c r="R129" s="765">
        <f ca="1">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879</v>
      </c>
      <c r="M130" s="16"/>
      <c r="N130" s="816">
        <f ca="1">K69</f>
        <v>1e-12</v>
      </c>
      <c r="O130" s="189"/>
      <c r="P130" s="188" t="s">
        <v>879</v>
      </c>
      <c r="Q130" s="16"/>
      <c r="R130" s="765">
        <f ca="1">N130</f>
        <v>1e-12</v>
      </c>
      <c r="S130" s="16"/>
      <c r="T130" s="16"/>
      <c r="U130" s="16"/>
      <c r="V130" s="16"/>
      <c r="W130" s="16"/>
      <c r="X130" s="16"/>
      <c r="Y130" s="16"/>
      <c r="Z130" s="16"/>
      <c r="AA130" s="16"/>
      <c r="AB130" s="16"/>
    </row>
    <row r="131" ht="13.5" customHeight="1" spans="1:28" x14ac:dyDescent="0.25">
      <c r="A131" s="16"/>
      <c r="B131" s="16"/>
      <c r="C131" s="16"/>
      <c r="D131" s="190" t="s">
        <v>871</v>
      </c>
      <c r="E131" s="132"/>
      <c r="F131" s="817">
        <f ca="1">IF(Last_FQR="3Q",SUM(Model!X56,Model!Z56:AB56),IF(Last_FQR="2Q",SUM(Model!W56:X56,Model!Z56:AA56),IF(Last_FQR="1Q",SUM(Model!V56:X56,Model!Z56),IF(Last_FQR="4Q",SUM(Model!U56:X56),"Error"))))</f>
      </c>
      <c r="G131" s="16"/>
      <c r="H131" s="16"/>
      <c r="I131" s="16"/>
      <c r="J131" s="16"/>
      <c r="K131" s="16"/>
      <c r="L131" s="188" t="s">
        <v>880</v>
      </c>
      <c r="M131" s="16"/>
      <c r="N131" s="816">
        <f ca="1">K70</f>
        <v>1e-12</v>
      </c>
      <c r="O131" s="189"/>
      <c r="P131" s="188" t="s">
        <v>880</v>
      </c>
      <c r="Q131" s="16"/>
      <c r="R131" s="765">
        <f ca="1">N131</f>
        <v>1e-12</v>
      </c>
      <c r="S131" s="16"/>
      <c r="T131" s="16"/>
      <c r="U131" s="16"/>
      <c r="V131" s="16"/>
      <c r="W131" s="16"/>
      <c r="X131" s="16"/>
      <c r="Y131" s="16"/>
      <c r="Z131" s="16"/>
      <c r="AA131" s="16"/>
      <c r="AB131" s="16"/>
    </row>
    <row r="132" ht="13.5" customHeight="1" spans="1:28" x14ac:dyDescent="0.25">
      <c r="A132" s="16"/>
      <c r="B132" s="16"/>
      <c r="C132" s="16"/>
      <c r="D132" s="192" t="s">
        <v>872</v>
      </c>
      <c r="E132" s="131"/>
      <c r="F132" s="818">
        <f ca="1">IF(Last_FQR="3Q",SUM(Model!X61,Model!Z61:AB61),IF(Last_FQR="2Q",SUM(Model!W61:X61,Model!Z61:AA61),IF(Last_FQR="1Q",SUM(Model!V61:X61,Model!Z61),IF(Last_FQR="4Q",SUM(Model!U61:X61),"Error"))))</f>
      </c>
      <c r="G132" s="16"/>
      <c r="H132" s="16"/>
      <c r="I132" s="16"/>
      <c r="J132" s="16"/>
      <c r="K132" s="16"/>
      <c r="L132" s="188" t="s">
        <v>881</v>
      </c>
      <c r="M132" s="131"/>
      <c r="N132" s="819">
        <f ca="1">K71</f>
        <v>1e-12</v>
      </c>
      <c r="O132" s="189"/>
      <c r="P132" s="192" t="s">
        <v>881</v>
      </c>
      <c r="Q132" s="131"/>
      <c r="R132" s="819">
        <f ca="1">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882</v>
      </c>
      <c r="M134" s="16"/>
      <c r="N134" s="814">
        <f ca="1">SUM(N125:N132)</f>
        <v>-17056</v>
      </c>
      <c r="O134" s="189"/>
      <c r="P134" s="188" t="s">
        <v>882</v>
      </c>
      <c r="Q134" s="16"/>
      <c r="R134" s="814">
        <f ca="1">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 ca="1">Diluted_Shares</f>
        <v>707</v>
      </c>
      <c r="O135" s="189"/>
      <c r="P135" s="188" t="s">
        <v>414</v>
      </c>
      <c r="Q135" s="16"/>
      <c r="R135" s="814">
        <f ca="1">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874</v>
      </c>
      <c r="M137" s="16"/>
      <c r="N137" s="814">
        <f ca="1">N134/N135</f>
        <v>-24.124469589816126</v>
      </c>
      <c r="O137" s="189"/>
      <c r="P137" s="188" t="s">
        <v>874</v>
      </c>
      <c r="Q137" s="16"/>
      <c r="R137" s="814">
        <f ca="1">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875</v>
      </c>
      <c r="M138" s="131"/>
      <c r="N138" s="773">
        <f ca="1">N137/Share_Price-1</f>
      </c>
      <c r="O138" s="189"/>
      <c r="P138" s="311" t="s">
        <v>875</v>
      </c>
      <c r="Q138" s="131"/>
      <c r="R138" s="773">
        <f ca="1">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883</v>
      </c>
      <c r="D142" s="16"/>
      <c r="E142" s="16"/>
      <c r="F142" s="16"/>
      <c r="G142" s="42" t="s">
        <v>884</v>
      </c>
      <c r="H142" s="16"/>
      <c r="I142" s="16"/>
      <c r="J142" s="111" t="s">
        <v>885</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886</v>
      </c>
      <c r="D143" s="16"/>
      <c r="E143" s="16"/>
      <c r="F143" s="16"/>
      <c r="G143" s="42" t="s">
        <v>884</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813</v>
      </c>
      <c r="D144" s="16"/>
      <c r="E144" s="16"/>
      <c r="F144" s="16"/>
      <c r="G144" s="42" t="s">
        <v>814</v>
      </c>
      <c r="H144" s="47" t="b">
        <f ca="1">G144=$D$24</f>
        <v>1</v>
      </c>
      <c r="I144" s="84" t="s">
        <v>887</v>
      </c>
      <c r="J144" s="724">
        <f ca="1">IF($G$145=$C$9,IF($G$144="LTM",'Multiples Data'!E31,IF($G$144="NTM",'Multiples Data'!F31,"N/A")),IF($G$145=Valuation!$C$14,IF(Valuation!$G$144="LTM",'Multiples Data'!E53,IF(Valuation!$G$144="NTM",'Multiples Data'!F53,"N/A")),IF($G$145=Valuation!$C$19,IF(Valuation!$G$144="LTM",'Multiples Data'!E75,IF($G$144="NTM",'Multiples Data'!F75,"N/A")))))</f>
        <v>23.23926666666667</v>
      </c>
      <c r="K144" s="724">
        <f ca="1">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888</v>
      </c>
      <c r="D145" s="16"/>
      <c r="E145" s="16"/>
      <c r="F145" s="16"/>
      <c r="G145" s="42" t="s">
        <v>559</v>
      </c>
      <c r="H145" s="16"/>
      <c r="I145" s="84" t="s">
        <v>889</v>
      </c>
      <c r="J145" s="724">
        <f ca="1">IF($G$145=$C$9,IF($G$144="LTM",'Multiples Data'!E32,IF($G$144="NTM",'Multiples Data'!F32,"N/A")),IF($G$145=Valuation!$C$14,IF(Valuation!$G$144="LTM",'Multiples Data'!E54,IF(Valuation!$G$144="NTM",'Multiples Data'!F54,"N/A")),IF($G$145=Valuation!$C$19,IF(Valuation!$G$144="LTM",'Multiples Data'!E76,IF($G$144="NTM",'Multiples Data'!F76,"N/A")))))</f>
        <v>22.402899999999995</v>
      </c>
      <c r="K145" s="724">
        <f ca="1">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884</v>
      </c>
      <c r="J146" s="724">
        <f ca="1">IF($G$145=$C$9,IF($G$144="LTM",'Multiples Data'!E33,IF($G$144="NTM",'Multiples Data'!F33,"N/A")),IF($G$145=Valuation!$C$14,IF(Valuation!$G$144="LTM",'Multiples Data'!E55,IF(Valuation!$G$144="NTM",'Multiples Data'!F55,"N/A")),IF($G$145=Valuation!$C$19,IF(Valuation!$G$144="LTM",'Multiples Data'!E77,IF($G$144="NTM",'Multiples Data'!F77,"N/A")))))</f>
        <v>21.62764142857142</v>
      </c>
      <c r="K146" s="724">
        <f ca="1">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890</v>
      </c>
      <c r="J147" s="724">
        <f ca="1">IF($G$145=$C$9,IF($G$144="LTM",'Multiples Data'!E34,IF($G$144="NTM",'Multiples Data'!F34,"N/A")),IF($G$145=Valuation!$C$14,IF(Valuation!$G$144="LTM",'Multiples Data'!E56,IF(Valuation!$G$144="NTM",'Multiples Data'!F56,"N/A")),IF($G$145=Valuation!$C$19,IF(Valuation!$G$144="LTM",'Multiples Data'!E78,IF($G$144="NTM",'Multiples Data'!F78,"N/A")))))</f>
        <v>21.50007</v>
      </c>
      <c r="K147" s="724">
        <f ca="1">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848</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891</v>
      </c>
      <c r="D151" s="16"/>
      <c r="E151" s="774">
        <f ca="1">$F$123</f>
        <v>18.758692857142854</v>
      </c>
      <c r="F151" s="667">
        <f ca="1">E151-H161</f>
        <v>1e-12</v>
      </c>
      <c r="G151" s="16"/>
      <c r="H151" s="16" t="s">
        <v>892</v>
      </c>
      <c r="I151" s="16"/>
      <c r="J151" s="16"/>
      <c r="K151" s="774">
        <f ca="1">N123</f>
        <v>12.439849999999998</v>
      </c>
      <c r="L151" s="667">
        <f ca="1">K151-H177</f>
        <v>1e-12</v>
      </c>
      <c r="M151" s="16"/>
      <c r="N151" s="5" t="s">
        <v>871</v>
      </c>
      <c r="O151" s="16"/>
      <c r="P151" s="16"/>
      <c r="Q151" s="820">
        <f ca="1">F124</f>
        <v>1e-12</v>
      </c>
      <c r="R151" s="821">
        <f ca="1">Q151-E164</f>
        <v>-14.671278268928386</v>
      </c>
      <c r="S151" s="16"/>
      <c r="T151" s="16"/>
      <c r="U151" s="16"/>
      <c r="V151" s="16"/>
      <c r="W151" s="16"/>
      <c r="X151" s="16"/>
      <c r="Y151" s="16"/>
      <c r="Z151" s="16"/>
      <c r="AA151" s="16"/>
      <c r="AB151" s="16"/>
    </row>
    <row r="152" ht="14.25" customHeight="1" spans="1:28" x14ac:dyDescent="0.25">
      <c r="A152" s="16"/>
      <c r="B152" s="16"/>
      <c r="C152" s="16" t="s">
        <v>852</v>
      </c>
      <c r="D152" s="16"/>
      <c r="E152" s="782">
        <v>1</v>
      </c>
      <c r="F152" s="16"/>
      <c r="G152" s="16"/>
      <c r="H152" s="16" t="s">
        <v>852</v>
      </c>
      <c r="I152" s="16"/>
      <c r="J152" s="16"/>
      <c r="K152" s="782">
        <v>1</v>
      </c>
      <c r="L152" s="822"/>
      <c r="M152" s="16"/>
      <c r="N152" s="491" t="s">
        <v>893</v>
      </c>
      <c r="O152" s="16"/>
      <c r="P152" s="16"/>
      <c r="Q152" s="16"/>
      <c r="R152" s="821">
        <f ca="1">Q151-E172</f>
        <v>-14.671278268928386</v>
      </c>
      <c r="S152" s="16"/>
      <c r="T152" s="16"/>
      <c r="U152" s="16"/>
      <c r="V152" s="16"/>
      <c r="W152" s="16"/>
      <c r="X152" s="16"/>
      <c r="Y152" s="16"/>
      <c r="Z152" s="16"/>
      <c r="AA152" s="16"/>
      <c r="AB152" s="16"/>
    </row>
    <row r="153" ht="14.25" customHeight="1" spans="1:28" x14ac:dyDescent="0.25">
      <c r="A153" s="16"/>
      <c r="B153" s="16"/>
      <c r="C153" s="16" t="s">
        <v>894</v>
      </c>
      <c r="D153" s="16"/>
      <c r="E153" s="783">
        <v>0.1</v>
      </c>
      <c r="F153" s="16"/>
      <c r="G153" s="16"/>
      <c r="H153" s="16" t="s">
        <v>895</v>
      </c>
      <c r="I153" s="16"/>
      <c r="J153" s="16"/>
      <c r="K153" s="783">
        <v>0.1</v>
      </c>
      <c r="L153" s="822"/>
      <c r="M153" s="16"/>
      <c r="N153" s="5" t="s">
        <v>872</v>
      </c>
      <c r="O153" s="16"/>
      <c r="P153" s="16"/>
      <c r="Q153" s="823">
        <f ca="1">N124</f>
        <v>1e-12</v>
      </c>
      <c r="R153" s="821">
        <f ca="1">Q153-E180</f>
        <v>-15108.794109717941</v>
      </c>
      <c r="S153" s="16"/>
      <c r="T153" s="16"/>
      <c r="U153" s="16"/>
      <c r="V153" s="16"/>
      <c r="W153" s="16"/>
      <c r="X153" s="16"/>
      <c r="Y153" s="16"/>
      <c r="Z153" s="16"/>
      <c r="AA153" s="16"/>
      <c r="AB153" s="16"/>
    </row>
    <row r="154" ht="14.25" customHeight="1" spans="1:28" x14ac:dyDescent="0.25">
      <c r="A154" s="16"/>
      <c r="B154" s="16"/>
      <c r="C154" s="16" t="s">
        <v>896</v>
      </c>
      <c r="D154" s="16"/>
      <c r="E154" s="774">
        <f ca="1">$J$123</f>
        <v>19.28394025685649</v>
      </c>
      <c r="F154" s="667">
        <f ca="1">E154-H169</f>
        <v>1e-12</v>
      </c>
      <c r="G154" s="16"/>
      <c r="H154" s="16" t="s">
        <v>897</v>
      </c>
      <c r="I154" s="16"/>
      <c r="J154" s="16"/>
      <c r="K154" s="774">
        <f ca="1">R123</f>
        <v>13.012839604943464</v>
      </c>
      <c r="L154" s="667">
        <f ca="1">K154-H185</f>
        <v>1e-12</v>
      </c>
      <c r="M154" s="824"/>
      <c r="N154" s="491" t="s">
        <v>893</v>
      </c>
      <c r="O154" s="825"/>
      <c r="P154" s="16"/>
      <c r="Q154" s="16"/>
      <c r="R154" s="821">
        <f ca="1">Q153-E188</f>
        <v>-15108.794109717941</v>
      </c>
      <c r="S154" s="16"/>
      <c r="T154" s="16"/>
      <c r="U154" s="16"/>
      <c r="V154" s="16"/>
      <c r="W154" s="16"/>
      <c r="X154" s="16"/>
      <c r="Y154" s="16"/>
      <c r="Z154" s="16"/>
      <c r="AA154" s="16"/>
      <c r="AB154" s="16"/>
    </row>
    <row r="155" ht="14.25" customHeight="1" spans="1:28" x14ac:dyDescent="0.25">
      <c r="A155" s="16"/>
      <c r="B155" s="16"/>
      <c r="C155" s="16" t="s">
        <v>852</v>
      </c>
      <c r="D155" s="16"/>
      <c r="E155" s="782">
        <v>1</v>
      </c>
      <c r="F155" s="16"/>
      <c r="G155" s="16"/>
      <c r="H155" s="16" t="s">
        <v>852</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855</v>
      </c>
      <c r="E158" s="22"/>
      <c r="F158" s="22"/>
      <c r="G158" s="22"/>
      <c r="H158" s="22"/>
      <c r="I158" s="22"/>
      <c r="J158" s="7"/>
      <c r="K158" s="784"/>
      <c r="L158" s="63" t="s">
        <v>856</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 ca="1">G144&amp;" P/E"</f>
        <v>NTM P/E</v>
      </c>
      <c r="G160" s="668"/>
      <c r="H160" s="668"/>
      <c r="I160" s="668"/>
      <c r="J160" s="668"/>
      <c r="K160" s="16"/>
      <c r="L160" s="590"/>
      <c r="M160" s="592"/>
      <c r="N160" s="592" t="str">
        <f t="shared" ref="N160:N161" si="34" ca="1">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 ca="1">$F$126</f>
        <v>1e-12</v>
      </c>
      <c r="F161" s="786">
        <f t="shared" ref="F161:G161" si="35" ca="1">G161-$E$93</f>
        <v>16.758692857142854</v>
      </c>
      <c r="G161" s="786">
        <f ca="1">H161-$E$93</f>
        <v>17.758692857142854</v>
      </c>
      <c r="H161" s="787">
        <v>18.758692857142854</v>
      </c>
      <c r="I161" s="786">
        <f t="shared" ref="I161:J161" si="36" ca="1">H161+$E$93</f>
        <v>19.758692857142854</v>
      </c>
      <c r="J161" s="786">
        <f ca="1">I161+$E$93</f>
        <v>20.758692857142854</v>
      </c>
      <c r="K161" s="16"/>
      <c r="L161" s="16"/>
      <c r="M161" s="788">
        <f ca="1">$H$73</f>
        <v>1e-12</v>
      </c>
      <c r="N161" s="786">
        <f ca="1">F161</f>
        <v>16.758692857142854</v>
      </c>
      <c r="O161" s="786">
        <f t="shared" ref="O161:R161" si="37" ca="1">G161</f>
        <v>17.758692857142854</v>
      </c>
      <c r="P161" s="786">
        <f ca="1">H161</f>
        <v>18.758692857142854</v>
      </c>
      <c r="Q161" s="786">
        <f ca="1">I161</f>
        <v>19.758692857142854</v>
      </c>
      <c r="R161" s="786">
        <f ca="1">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 ca="1">$E$164*(1-(2*$E$153))</f>
        <v>11.73702261514271</v>
      </c>
      <c r="F162" s="790">
        <v>196.69715706451626</v>
      </c>
      <c r="G162" s="791">
        <v>208.434179679659</v>
      </c>
      <c r="H162" s="791">
        <v>220.1712022948017</v>
      </c>
      <c r="I162" s="791">
        <v>231.9082249099444</v>
      </c>
      <c r="J162" s="792">
        <v>243.64524752508711</v>
      </c>
      <c r="K162" s="16"/>
      <c r="L162" s="673" t="s">
        <v>397</v>
      </c>
      <c r="M162" s="826">
        <f t="shared" ref="M162:M166" si="38" ca="1">E162</f>
        <v>11.73702261514271</v>
      </c>
      <c r="N162" s="793">
        <f t="shared" ref="N162:R166" si="39" ca="1">F162/Share_Price-1</f>
        <v>-0.15645785631479436</v>
      </c>
      <c r="O162" s="661">
        <f ca="1">G162/Share_Price-1</f>
        <v>-0.10612325379681364</v>
      </c>
      <c r="P162" s="661">
        <f ca="1">H162/Share_Price-1</f>
        <v>-0.055788651278833146</v>
      </c>
      <c r="Q162" s="661">
        <f ca="1">I162/Share_Price-1</f>
        <v>-0.005454048760852537</v>
      </c>
      <c r="R162" s="794">
        <f ca="1">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 ca="1">$E$164*(1-$E$153)</f>
        <v>13.204150442035548</v>
      </c>
      <c r="F163" s="795">
        <v>221.28430169758082</v>
      </c>
      <c r="G163" s="796">
        <v>234.48845213961636</v>
      </c>
      <c r="H163" s="796">
        <v>247.6926025816519</v>
      </c>
      <c r="I163" s="796">
        <v>260.89675302368744</v>
      </c>
      <c r="J163" s="797">
        <v>274.100903465723</v>
      </c>
      <c r="K163" s="16"/>
      <c r="L163" s="678"/>
      <c r="M163" s="826">
        <f ca="1">E163</f>
        <v>13.204150442035548</v>
      </c>
      <c r="N163" s="798">
        <f ca="1">F163/Share_Price-1</f>
        <v>-0.05101508835414359</v>
      </c>
      <c r="O163" s="552">
        <f ca="1">G163/Share_Price-1</f>
        <v>0.005611339478584609</v>
      </c>
      <c r="P163" s="552">
        <f ca="1">H163/Share_Price-1</f>
        <v>0.062237767311312586</v>
      </c>
      <c r="Q163" s="552">
        <f ca="1">I163/Share_Price-1</f>
        <v>0.11886419514404079</v>
      </c>
      <c r="R163" s="674">
        <f ca="1">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 ca="1">E164</f>
        <v>14.671278268928386</v>
      </c>
      <c r="N164" s="798">
        <f ca="1">F164/Share_Price-1</f>
        <v>0.05442767960650707</v>
      </c>
      <c r="O164" s="552">
        <f ca="1">G164/Share_Price-1</f>
        <v>0.11734593275398275</v>
      </c>
      <c r="P164" s="552">
        <f ca="1">H164/Share_Price-1</f>
        <v>0.18026418590145865</v>
      </c>
      <c r="Q164" s="552">
        <f ca="1">I164/Share_Price-1</f>
        <v>0.2431824390489341</v>
      </c>
      <c r="R164" s="674">
        <f ca="1">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 ca="1">$E$164*(1+$E$153)</f>
        <v>16.138406095821225</v>
      </c>
      <c r="F165" s="795">
        <v>270.45859096370987</v>
      </c>
      <c r="G165" s="796">
        <v>286.5969970595311</v>
      </c>
      <c r="H165" s="796">
        <v>302.7354031553523</v>
      </c>
      <c r="I165" s="796">
        <v>318.87380925117355</v>
      </c>
      <c r="J165" s="797">
        <v>335.01221534699476</v>
      </c>
      <c r="K165" s="16"/>
      <c r="L165" s="678"/>
      <c r="M165" s="826">
        <f ca="1">E165</f>
        <v>16.138406095821225</v>
      </c>
      <c r="N165" s="798">
        <f ca="1">F165/Share_Price-1</f>
        <v>0.15987044756715774</v>
      </c>
      <c r="O165" s="552">
        <f ca="1">G165/Share_Price-1</f>
        <v>0.22908052602938112</v>
      </c>
      <c r="P165" s="552">
        <f ca="1">H165/Share_Price-1</f>
        <v>0.29829060449160427</v>
      </c>
      <c r="Q165" s="552">
        <f ca="1">I165/Share_Price-1</f>
        <v>0.36750068295382765</v>
      </c>
      <c r="R165" s="674">
        <f ca="1">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 ca="1">$E$164*(1+(2*$E$153))</f>
        <v>17.605533922714063</v>
      </c>
      <c r="F166" s="801">
        <v>295.04573559677436</v>
      </c>
      <c r="G166" s="802">
        <v>312.65126951948844</v>
      </c>
      <c r="H166" s="802">
        <v>330.2568034422025</v>
      </c>
      <c r="I166" s="802">
        <v>347.8623373649166</v>
      </c>
      <c r="J166" s="803">
        <v>365.46787128763066</v>
      </c>
      <c r="K166" s="16"/>
      <c r="L166" s="683"/>
      <c r="M166" s="826">
        <f ca="1">E166</f>
        <v>17.605533922714063</v>
      </c>
      <c r="N166" s="804">
        <f ca="1">F166/Share_Price-1</f>
        <v>0.2653132155278084</v>
      </c>
      <c r="O166" s="670">
        <f ca="1">G166/Share_Price-1</f>
        <v>0.34081511930477926</v>
      </c>
      <c r="P166" s="670">
        <f ca="1">H166/Share_Price-1</f>
        <v>0.4163170230817501</v>
      </c>
      <c r="Q166" s="670">
        <f ca="1">I166/Share_Price-1</f>
        <v>0.491818926858721</v>
      </c>
      <c r="R166" s="805">
        <f ca="1">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 ca="1">G144&amp;" P/E Spread to Comps"</f>
        <v>NTM P/E Spread to Comps</v>
      </c>
      <c r="G168" s="668"/>
      <c r="H168" s="668"/>
      <c r="I168" s="668"/>
      <c r="J168" s="668"/>
      <c r="K168" s="16"/>
      <c r="L168" s="590"/>
      <c r="M168" s="592"/>
      <c r="N168" s="592" t="str">
        <f t="shared" ref="N168:N169" si="40" ca="1">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 ca="1">$J$126</f>
        <v>1e-12</v>
      </c>
      <c r="F169" s="786">
        <f t="shared" ref="F169:G169" si="41" ca="1">G169-$E$93</f>
        <v>17.28394025685649</v>
      </c>
      <c r="G169" s="786">
        <f ca="1">H169-$E$93</f>
        <v>18.28394025685649</v>
      </c>
      <c r="H169" s="787">
        <v>19.28394025685649</v>
      </c>
      <c r="I169" s="786">
        <f t="shared" ref="I169:J169" si="42" ca="1">H169+$E$93</f>
        <v>20.28394025685649</v>
      </c>
      <c r="J169" s="786">
        <f ca="1">I169+$E$93</f>
        <v>21.28394025685649</v>
      </c>
      <c r="K169" s="16"/>
      <c r="L169" s="16"/>
      <c r="M169" s="785">
        <f ca="1">$H$73</f>
        <v>1e-12</v>
      </c>
      <c r="N169" s="786">
        <f ca="1">F169</f>
        <v>17.28394025685649</v>
      </c>
      <c r="O169" s="786">
        <f t="shared" ref="O169:R169" si="43" ca="1">G169</f>
        <v>18.28394025685649</v>
      </c>
      <c r="P169" s="786">
        <f ca="1">H169</f>
        <v>19.28394025685649</v>
      </c>
      <c r="Q169" s="786">
        <f ca="1">I169</f>
        <v>20.28394025685649</v>
      </c>
      <c r="R169" s="786">
        <f ca="1">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 ca="1">$E$172*(1-(2*$E$153))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 ca="1">E170</f>
        <v>11.73702261514271</v>
      </c>
      <c r="N170" s="793">
        <f t="shared" ref="N170:R174" si="45" ca="1">F170/Share_Price-1</f>
        <v>-0.13001973722660565</v>
      </c>
      <c r="O170" s="661">
        <f ca="1">G170/Share_Price-1</f>
        <v>-0.07968513470862493</v>
      </c>
      <c r="P170" s="661">
        <f ca="1">H170/Share_Price-1</f>
        <v>-0.02935053219064443</v>
      </c>
      <c r="Q170" s="661">
        <f ca="1">I170/Share_Price-1</f>
        <v>0.02098407032733607</v>
      </c>
      <c r="R170" s="794">
        <f ca="1">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 ca="1">$E$172*(1-$E$153)</f>
        <v>13.204150442035548</v>
      </c>
      <c r="F171" s="795">
        <v>228.21974738268761</v>
      </c>
      <c r="G171" s="796">
        <v>241.42389782472316</v>
      </c>
      <c r="H171" s="796">
        <v>254.62804826675873</v>
      </c>
      <c r="I171" s="796">
        <v>267.83219870879424</v>
      </c>
      <c r="J171" s="797">
        <v>281.03634915082984</v>
      </c>
      <c r="K171" s="16"/>
      <c r="L171" s="678"/>
      <c r="M171" s="826">
        <f ca="1">E171</f>
        <v>13.204150442035548</v>
      </c>
      <c r="N171" s="798">
        <f ca="1">F171/Share_Price-1</f>
        <v>-0.02127220437993138</v>
      </c>
      <c r="O171" s="552">
        <f ca="1">G171/Share_Price-1</f>
        <v>0.03535422345279682</v>
      </c>
      <c r="P171" s="552">
        <f ca="1">H171/Share_Price-1</f>
        <v>0.09198065128552502</v>
      </c>
      <c r="Q171" s="552">
        <f ca="1">I171/Share_Price-1</f>
        <v>0.148607079118253</v>
      </c>
      <c r="R171" s="674">
        <f ca="1">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 ca="1">E172</f>
        <v>14.671278268928386</v>
      </c>
      <c r="N172" s="798">
        <f ca="1">F172/Share_Price-1</f>
        <v>0.08747532846674289</v>
      </c>
      <c r="O172" s="552">
        <f ca="1">G172/Share_Price-1</f>
        <v>0.15039358161421856</v>
      </c>
      <c r="P172" s="552">
        <f ca="1">H172/Share_Price-1</f>
        <v>0.21331183476169446</v>
      </c>
      <c r="Q172" s="552">
        <f ca="1">I172/Share_Price-1</f>
        <v>0.2762300879091699</v>
      </c>
      <c r="R172" s="674">
        <f ca="1">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 ca="1">$E$172*(1+$E$153)</f>
        <v>16.138406095821225</v>
      </c>
      <c r="F173" s="795">
        <v>278.93524680106265</v>
      </c>
      <c r="G173" s="796">
        <v>295.07365289688386</v>
      </c>
      <c r="H173" s="796">
        <v>311.21205899270507</v>
      </c>
      <c r="I173" s="796">
        <v>327.3504650885263</v>
      </c>
      <c r="J173" s="797">
        <v>343.48887118434754</v>
      </c>
      <c r="K173" s="16"/>
      <c r="L173" s="678"/>
      <c r="M173" s="826">
        <f ca="1">E173</f>
        <v>16.138406095821225</v>
      </c>
      <c r="N173" s="798">
        <f ca="1">F173/Share_Price-1</f>
        <v>0.19622286131341737</v>
      </c>
      <c r="O173" s="552">
        <f ca="1">G173/Share_Price-1</f>
        <v>0.26543293977564053</v>
      </c>
      <c r="P173" s="552">
        <f ca="1">H173/Share_Price-1</f>
        <v>0.3346430182378637</v>
      </c>
      <c r="Q173" s="552">
        <f ca="1">I173/Share_Price-1</f>
        <v>0.40385309670008684</v>
      </c>
      <c r="R173" s="674">
        <f ca="1">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 ca="1">$E$172*(1+(2*$E$153))</f>
        <v>17.605533922714063</v>
      </c>
      <c r="F174" s="801">
        <v>304.29299651025013</v>
      </c>
      <c r="G174" s="802">
        <v>321.8985304329642</v>
      </c>
      <c r="H174" s="802">
        <v>339.5040643556783</v>
      </c>
      <c r="I174" s="802">
        <v>357.1095982783923</v>
      </c>
      <c r="J174" s="803">
        <v>374.71513220110637</v>
      </c>
      <c r="K174" s="16"/>
      <c r="L174" s="683"/>
      <c r="M174" s="826">
        <f ca="1">E174</f>
        <v>17.605533922714063</v>
      </c>
      <c r="N174" s="804">
        <f ca="1">F174/Share_Price-1</f>
        <v>0.3049703941600914</v>
      </c>
      <c r="O174" s="670">
        <f ca="1">G174/Share_Price-1</f>
        <v>0.3804722979370623</v>
      </c>
      <c r="P174" s="670">
        <f ca="1">H174/Share_Price-1</f>
        <v>0.45597420171403313</v>
      </c>
      <c r="Q174" s="670">
        <f ca="1">I174/Share_Price-1</f>
        <v>0.531476105491004</v>
      </c>
      <c r="R174" s="805">
        <f ca="1">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 ca="1">G144&amp;" EV/EBITDA"</f>
        <v>NTM EV/EBITDA</v>
      </c>
      <c r="G176" s="668"/>
      <c r="H176" s="668"/>
      <c r="I176" s="668"/>
      <c r="J176" s="668"/>
      <c r="K176" s="16"/>
      <c r="L176" s="590"/>
      <c r="M176" s="592"/>
      <c r="N176" s="592" t="str">
        <f t="shared" ref="N176:N177" si="46" ca="1">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 ca="1">$N$137</f>
        <v>-24.124469589816126</v>
      </c>
      <c r="F177" s="786">
        <f t="shared" ref="F177:G177" si="47" ca="1">G177-$E$93</f>
        <v>10.439849999999998</v>
      </c>
      <c r="G177" s="786">
        <f ca="1">H177-$E$93</f>
        <v>11.439849999999998</v>
      </c>
      <c r="H177" s="787">
        <v>12.439849999999998</v>
      </c>
      <c r="I177" s="786">
        <f t="shared" ref="I177:J177" si="48" ca="1">H177+$E$93</f>
        <v>13.439849999999998</v>
      </c>
      <c r="J177" s="786">
        <f ca="1">I177+$E$93</f>
        <v>14.439849999999998</v>
      </c>
      <c r="K177" s="16"/>
      <c r="L177" s="16"/>
      <c r="M177" s="785">
        <f ca="1">$H$73</f>
        <v>1e-12</v>
      </c>
      <c r="N177" s="786">
        <f ca="1">F177</f>
        <v>10.439849999999998</v>
      </c>
      <c r="O177" s="786">
        <f t="shared" ref="O177:R177" si="49" ca="1">G177</f>
        <v>11.439849999999998</v>
      </c>
      <c r="P177" s="786">
        <f ca="1">H177</f>
        <v>12.439849999999998</v>
      </c>
      <c r="Q177" s="786">
        <f ca="1">I177</f>
        <v>13.439849999999998</v>
      </c>
      <c r="R177" s="786">
        <f ca="1">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 ca="1">$E$180*(1-(2*$K$153))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 ca="1">E178</f>
        <v>12087.035287774353</v>
      </c>
      <c r="N178" s="793">
        <f t="shared" ref="N178:R182" si="51" ca="1">F178/Share_Price-1</f>
        <v>-0.3330040788835198</v>
      </c>
      <c r="O178" s="661">
        <f ca="1">G178/Share_Price-1</f>
        <v>-0.2580970799999367</v>
      </c>
      <c r="P178" s="661">
        <f ca="1">H178/Share_Price-1</f>
        <v>-0.1831900811163537</v>
      </c>
      <c r="Q178" s="661">
        <f ca="1">I178/Share_Price-1</f>
        <v>-0.10828308223277028</v>
      </c>
      <c r="R178" s="794">
        <f ca="1">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 ca="1">$E$180*(1-$K$153)</f>
        <v>13597.914698746146</v>
      </c>
      <c r="F179" s="795">
        <v>178.32397365275278</v>
      </c>
      <c r="G179" s="796">
        <v>197.97413940238593</v>
      </c>
      <c r="H179" s="796">
        <v>217.6243051520191</v>
      </c>
      <c r="I179" s="796">
        <v>237.27447090165225</v>
      </c>
      <c r="J179" s="797">
        <v>256.9246366512854</v>
      </c>
      <c r="K179" s="16"/>
      <c r="L179" s="678"/>
      <c r="M179" s="762">
        <f ca="1">E179</f>
        <v>13597.914698746146</v>
      </c>
      <c r="N179" s="798">
        <f ca="1">F179/Share_Price-1</f>
        <v>-0.23525184984667302</v>
      </c>
      <c r="O179" s="552">
        <f ca="1">G179/Share_Price-1</f>
        <v>-0.150981476102642</v>
      </c>
      <c r="P179" s="552">
        <f ca="1">H179/Share_Price-1</f>
        <v>-0.066711102358611</v>
      </c>
      <c r="Q179" s="552">
        <f ca="1">I179/Share_Price-1</f>
        <v>0.017559271385420017</v>
      </c>
      <c r="R179" s="674">
        <f ca="1">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 ca="1">E180</f>
        <v>15108.794109717941</v>
      </c>
      <c r="N180" s="798">
        <f ca="1">F180/Share_Price-1</f>
        <v>-0.13749962080982614</v>
      </c>
      <c r="O180" s="552">
        <f ca="1">G180/Share_Price-1</f>
        <v>-0.04386587220534721</v>
      </c>
      <c r="P180" s="552">
        <f ca="1">H180/Share_Price-1</f>
        <v>0.04976787639913183</v>
      </c>
      <c r="Q180" s="552">
        <f ca="1">I180/Share_Price-1</f>
        <v>0.14340162500361076</v>
      </c>
      <c r="R180" s="674">
        <f ca="1">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 ca="1">$E$180*(1+$K$153)</f>
        <v>16619.673520689736</v>
      </c>
      <c r="F181" s="795">
        <v>223.91170318637674</v>
      </c>
      <c r="G181" s="796">
        <v>247.92857243592837</v>
      </c>
      <c r="H181" s="796">
        <v>271.94544168548003</v>
      </c>
      <c r="I181" s="796">
        <v>295.96231093503167</v>
      </c>
      <c r="J181" s="797">
        <v>319.9791801845833</v>
      </c>
      <c r="K181" s="16"/>
      <c r="L181" s="678"/>
      <c r="M181" s="762">
        <f ca="1">E181</f>
        <v>16619.673520689736</v>
      </c>
      <c r="N181" s="798">
        <f ca="1">F181/Share_Price-1</f>
        <v>-0.039747391772979146</v>
      </c>
      <c r="O181" s="552">
        <f ca="1">G181/Share_Price-1</f>
        <v>0.06324973169194781</v>
      </c>
      <c r="P181" s="552">
        <f ca="1">H181/Share_Price-1</f>
        <v>0.16624685515687454</v>
      </c>
      <c r="Q181" s="552">
        <f ca="1">I181/Share_Price-1</f>
        <v>0.2692439786218015</v>
      </c>
      <c r="R181" s="674">
        <f ca="1">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 ca="1">$E$180*(1+(2*$K$153))</f>
        <v>18130.55293166153</v>
      </c>
      <c r="F182" s="801">
        <v>246.7055679531887</v>
      </c>
      <c r="G182" s="802">
        <v>272.90578895269954</v>
      </c>
      <c r="H182" s="802">
        <v>299.10600995221046</v>
      </c>
      <c r="I182" s="802">
        <v>325.3062309517213</v>
      </c>
      <c r="J182" s="803">
        <v>351.5064519512322</v>
      </c>
      <c r="K182" s="16"/>
      <c r="L182" s="683"/>
      <c r="M182" s="762">
        <f ca="1">E182</f>
        <v>18130.55293166153</v>
      </c>
      <c r="N182" s="804">
        <f ca="1">F182/Share_Price-1</f>
        <v>0.05800483726386774</v>
      </c>
      <c r="O182" s="670">
        <f ca="1">G182/Share_Price-1</f>
        <v>0.17036533558924227</v>
      </c>
      <c r="P182" s="670">
        <f ca="1">H182/Share_Price-1</f>
        <v>0.28272583391461725</v>
      </c>
      <c r="Q182" s="670">
        <f ca="1">I182/Share_Price-1</f>
        <v>0.3950863322399918</v>
      </c>
      <c r="R182" s="805">
        <f ca="1">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 ca="1">G144&amp;" EV/EBITDA Spread to Comps"</f>
        <v>NTM EV/EBITDA Spread to Comps</v>
      </c>
      <c r="G184" s="668"/>
      <c r="H184" s="668"/>
      <c r="I184" s="668"/>
      <c r="J184" s="668"/>
      <c r="K184" s="16"/>
      <c r="L184" s="590"/>
      <c r="M184" s="592"/>
      <c r="N184" s="592" t="str">
        <f t="shared" ref="N184:N185" si="52" ca="1">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 ca="1">$R$137</f>
        <v>-24.124469589816126</v>
      </c>
      <c r="F185" s="786">
        <f t="shared" ref="F185:G185" si="53" ca="1">G185-$E$93</f>
        <v>11.012839604943464</v>
      </c>
      <c r="G185" s="786">
        <f ca="1">H185-$E$93</f>
        <v>12.012839604943464</v>
      </c>
      <c r="H185" s="787">
        <v>13.012839604943464</v>
      </c>
      <c r="I185" s="786">
        <f t="shared" ref="I185:J185" si="54" ca="1">H185+$E$93</f>
        <v>14.012839604943464</v>
      </c>
      <c r="J185" s="786">
        <f ca="1">I185+$E$93</f>
        <v>15.012839604943464</v>
      </c>
      <c r="K185" s="16"/>
      <c r="L185" s="16"/>
      <c r="M185" s="785">
        <f ca="1">$H$73</f>
        <v>1e-12</v>
      </c>
      <c r="N185" s="786">
        <f ca="1">F185</f>
        <v>11.012839604943464</v>
      </c>
      <c r="O185" s="786">
        <f t="shared" ref="O185:R185" si="55" ca="1">G185</f>
        <v>12.012839604943464</v>
      </c>
      <c r="P185" s="786">
        <f ca="1">H185</f>
        <v>13.012839604943464</v>
      </c>
      <c r="Q185" s="786">
        <f ca="1">I185</f>
        <v>14.012839604943464</v>
      </c>
      <c r="R185" s="786">
        <f ca="1">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 ca="1">$E$188*(1-(2*$K$153))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 ca="1">E186</f>
        <v>12087.035287774353</v>
      </c>
      <c r="N186" s="793">
        <f t="shared" ref="N186:R190" si="57" ca="1">F186/Share_Price-1</f>
        <v>-0.29008314718571493</v>
      </c>
      <c r="O186" s="661">
        <f ca="1">G186/Share_Price-1</f>
        <v>-0.21517614830213183</v>
      </c>
      <c r="P186" s="661">
        <f ca="1">H186/Share_Price-1</f>
        <v>-0.14026914941854862</v>
      </c>
      <c r="Q186" s="661">
        <f ca="1">I186/Share_Price-1</f>
        <v>-0.06536215053496541</v>
      </c>
      <c r="R186" s="794">
        <f ca="1">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 ca="1">$E$188*(1-$K$153)</f>
        <v>13597.914698746146</v>
      </c>
      <c r="F187" s="795">
        <v>189.5833143627087</v>
      </c>
      <c r="G187" s="796">
        <v>209.23348011234188</v>
      </c>
      <c r="H187" s="796">
        <v>228.88364586197503</v>
      </c>
      <c r="I187" s="796">
        <v>248.53381161160817</v>
      </c>
      <c r="J187" s="797">
        <v>268.1839773612413</v>
      </c>
      <c r="K187" s="16"/>
      <c r="L187" s="678"/>
      <c r="M187" s="762">
        <f ca="1">E187</f>
        <v>13597.914698746146</v>
      </c>
      <c r="N187" s="798">
        <f ca="1">F187/Share_Price-1</f>
        <v>-0.18696580168664256</v>
      </c>
      <c r="O187" s="552">
        <f ca="1">G187/Share_Price-1</f>
        <v>-0.10269542794261144</v>
      </c>
      <c r="P187" s="552">
        <f ca="1">H187/Share_Price-1</f>
        <v>-0.018425054198580426</v>
      </c>
      <c r="Q187" s="552">
        <f ca="1">I187/Share_Price-1</f>
        <v>0.06584531954545048</v>
      </c>
      <c r="R187" s="674">
        <f ca="1">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 ca="1">E188</f>
        <v>15108.794109717941</v>
      </c>
      <c r="N188" s="798">
        <f ca="1">F188/Share_Price-1</f>
        <v>-0.08384845618756998</v>
      </c>
      <c r="O188" s="552">
        <f ca="1">G188/Share_Price-1</f>
        <v>0.009785292416909064</v>
      </c>
      <c r="P188" s="552">
        <f ca="1">H188/Share_Price-1</f>
        <v>0.10341904102138799</v>
      </c>
      <c r="Q188" s="552">
        <f ca="1">I188/Share_Price-1</f>
        <v>0.19705278962586692</v>
      </c>
      <c r="R188" s="674">
        <f ca="1">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 ca="1">$E$188*(1+$K$153)</f>
        <v>16619.673520689736</v>
      </c>
      <c r="F189" s="795">
        <v>237.6731196096562</v>
      </c>
      <c r="G189" s="796">
        <v>261.68998885920786</v>
      </c>
      <c r="H189" s="796">
        <v>285.7068581087595</v>
      </c>
      <c r="I189" s="796">
        <v>309.7237273583111</v>
      </c>
      <c r="J189" s="797">
        <v>333.74059660786276</v>
      </c>
      <c r="K189" s="16"/>
      <c r="L189" s="678"/>
      <c r="M189" s="762">
        <f ca="1">E189</f>
        <v>16619.673520689736</v>
      </c>
      <c r="N189" s="798">
        <f ca="1">F189/Share_Price-1</f>
        <v>0.019268889311502724</v>
      </c>
      <c r="O189" s="552">
        <f ca="1">G189/Share_Price-1</f>
        <v>0.12226601277642968</v>
      </c>
      <c r="P189" s="552">
        <f ca="1">H189/Share_Price-1</f>
        <v>0.2252631362413564</v>
      </c>
      <c r="Q189" s="552">
        <f ca="1">I189/Share_Price-1</f>
        <v>0.32826025970628314</v>
      </c>
      <c r="R189" s="674">
        <f ca="1">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 ca="1">$E$188*(1+(2*$K$153))</f>
        <v>18130.55293166153</v>
      </c>
      <c r="F190" s="801">
        <v>261.71802223312994</v>
      </c>
      <c r="G190" s="802">
        <v>287.9182432326408</v>
      </c>
      <c r="H190" s="802">
        <v>314.11846423215167</v>
      </c>
      <c r="I190" s="802">
        <v>340.3186852316625</v>
      </c>
      <c r="J190" s="803">
        <v>366.51890623117345</v>
      </c>
      <c r="K190" s="16"/>
      <c r="L190" s="683"/>
      <c r="M190" s="762">
        <f ca="1">E190</f>
        <v>18130.55293166153</v>
      </c>
      <c r="N190" s="804">
        <f ca="1">F190/Share_Price-1</f>
        <v>0.12238623481057531</v>
      </c>
      <c r="O190" s="670">
        <f ca="1">G190/Share_Price-1</f>
        <v>0.23474673313594985</v>
      </c>
      <c r="P190" s="670">
        <f ca="1">H190/Share_Price-1</f>
        <v>0.3471072314613246</v>
      </c>
      <c r="Q190" s="670">
        <f ca="1">I190/Share_Price-1</f>
        <v>0.45946772978669914</v>
      </c>
      <c r="R190" s="805">
        <f ca="1">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898</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859</v>
      </c>
      <c r="E194" s="22"/>
      <c r="F194" s="7"/>
      <c r="G194" s="16"/>
      <c r="H194" s="92" t="s">
        <v>860</v>
      </c>
      <c r="I194" s="22"/>
      <c r="J194" s="7"/>
      <c r="K194" s="16"/>
      <c r="L194" s="92" t="s">
        <v>140</v>
      </c>
      <c r="M194" s="22"/>
      <c r="N194" s="7"/>
      <c r="O194" s="16"/>
      <c r="P194" s="92" t="s">
        <v>861</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862</v>
      </c>
      <c r="E196" s="16"/>
      <c r="F196" s="808">
        <f ca="1">$D$11</f>
        <v>18.6398</v>
      </c>
      <c r="G196" s="16"/>
      <c r="H196" s="813" t="s">
        <v>899</v>
      </c>
      <c r="I196" s="16"/>
      <c r="J196" s="808">
        <f t="array" ref="J196" ca="1">INDEX(Company_Cyclical_Multiples_Data,MATCH(CONCATENATE($G$220," ",$G$221),'Multiples Data'!$C$14:$C$26,0),MATCH(CONCATENATE(Valuation!$G$222," P/E"),'Multiples Data'!$C$14:$H$14,0))</f>
        <v>16.548837499999998</v>
      </c>
      <c r="K196" s="16"/>
      <c r="L196" s="188" t="s">
        <v>862</v>
      </c>
      <c r="M196" s="16"/>
      <c r="N196" s="808">
        <f ca="1">$D$12</f>
        <v>12.4849</v>
      </c>
      <c r="O196" s="16"/>
      <c r="P196" s="813" t="s">
        <v>899</v>
      </c>
      <c r="Q196" s="16"/>
      <c r="R196" s="808">
        <f t="array" ref="R196" ca="1">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900</v>
      </c>
      <c r="E197" s="16"/>
      <c r="F197" s="808">
        <f t="array" ref="F197" ca="1">INDEX(Company_Cyclical_Multiples_Data,MATCH(CONCATENATE($G$220," ",$G$221),'Multiples Data'!$C$14:$C$26,0),MATCH(CONCATENATE(Valuation!$G$222," P/E"),'Multiples Data'!$C$14:$H$14,0))</f>
        <v>16.548837499999998</v>
      </c>
      <c r="G197" s="16"/>
      <c r="H197" s="813" t="s">
        <v>901</v>
      </c>
      <c r="I197" s="16"/>
      <c r="J197" s="808">
        <f t="array" ref="J197" ca="1">INDEX($J$220:$O$222,2,MATCH($G$223,$J$220:$O$220,0))</f>
        <v>17.335633750000007</v>
      </c>
      <c r="K197" s="16"/>
      <c r="L197" s="188" t="s">
        <v>900</v>
      </c>
      <c r="M197" s="16"/>
      <c r="N197" s="808">
        <f t="array" ref="N197" ca="1">INDEX(Company_Cyclical_Multiples_Data,MATCH(CONCATENATE($G$220," ",$G$221),'Multiples Data'!$C$14:$C$26,0),MATCH(CONCATENATE(Valuation!$G$222," EV/EBITDA"),'Multiples Data'!$C$14:$H$14,0))</f>
        <v>7.408287499999999</v>
      </c>
      <c r="O197" s="16"/>
      <c r="P197" s="813" t="s">
        <v>901</v>
      </c>
      <c r="Q197" s="16"/>
      <c r="R197" s="808">
        <f t="array" ref="R197" ca="1">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866</v>
      </c>
      <c r="E198" s="303"/>
      <c r="F198" s="809">
        <f ca="1">F196/F197-1</f>
        <v>0.12635102012452548</v>
      </c>
      <c r="G198" s="16"/>
      <c r="H198" s="307" t="s">
        <v>867</v>
      </c>
      <c r="I198" s="16"/>
      <c r="J198" s="810">
        <f ca="1">J196/J197-1</f>
        <v>-0.04538606787305999</v>
      </c>
      <c r="K198" s="16"/>
      <c r="L198" s="307" t="s">
        <v>866</v>
      </c>
      <c r="M198" s="303"/>
      <c r="N198" s="809">
        <f ca="1">N196/N197-1</f>
        <v>0.6852612698953706</v>
      </c>
      <c r="O198" s="16"/>
      <c r="P198" s="307" t="s">
        <v>867</v>
      </c>
      <c r="Q198" s="16"/>
      <c r="R198" s="809">
        <f ca="1">R196/R197-1</f>
        <v>-0.18441268129613697</v>
      </c>
      <c r="S198" s="188"/>
      <c r="T198" s="16"/>
      <c r="U198" s="16"/>
      <c r="V198" s="16"/>
      <c r="W198" s="16"/>
      <c r="X198" s="16"/>
      <c r="Y198" s="16"/>
      <c r="Z198" s="16"/>
      <c r="AA198" s="16"/>
      <c r="AB198" s="16"/>
    </row>
    <row r="199" ht="13.5" customHeight="1" spans="1:28" x14ac:dyDescent="0.25">
      <c r="A199" s="16"/>
      <c r="B199" s="16"/>
      <c r="C199" s="16"/>
      <c r="D199" s="307" t="s">
        <v>868</v>
      </c>
      <c r="E199" s="303"/>
      <c r="F199" s="811">
        <v>0</v>
      </c>
      <c r="G199" s="16"/>
      <c r="H199" s="188" t="s">
        <v>869</v>
      </c>
      <c r="I199" s="16"/>
      <c r="J199" s="808">
        <f ca="1">IF($G$223=$K$220,$E$11,IF($G$223=$M$220,$E$16,IF($G$223=$O$220,$E$21,"N/A")))</f>
        <v>22.233219999999996</v>
      </c>
      <c r="K199" s="16"/>
      <c r="L199" s="307" t="s">
        <v>868</v>
      </c>
      <c r="M199" s="303"/>
      <c r="N199" s="811">
        <v>0</v>
      </c>
      <c r="O199" s="16"/>
      <c r="P199" s="188" t="s">
        <v>869</v>
      </c>
      <c r="Q199" s="16"/>
      <c r="R199" s="808">
        <f ca="1">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870</v>
      </c>
      <c r="E201" s="16"/>
      <c r="F201" s="808">
        <f ca="1">F197*(1+F199)</f>
        <v>16.548837499999998</v>
      </c>
      <c r="G201" s="16"/>
      <c r="H201" s="188" t="s">
        <v>870</v>
      </c>
      <c r="I201" s="16"/>
      <c r="J201" s="808">
        <f ca="1">J199*(1+J198)</f>
        <v>21.224141568043322</v>
      </c>
      <c r="K201" s="16"/>
      <c r="L201" s="188" t="s">
        <v>870</v>
      </c>
      <c r="M201" s="16"/>
      <c r="N201" s="808">
        <f ca="1">N197*(1+N199)</f>
        <v>7.408287499999999</v>
      </c>
      <c r="O201" s="16"/>
      <c r="P201" s="188" t="s">
        <v>870</v>
      </c>
      <c r="Q201" s="16"/>
      <c r="R201" s="808">
        <f ca="1">R199*(1+R198)</f>
        <v>12.655598918298834</v>
      </c>
      <c r="S201" s="188"/>
      <c r="T201" s="16"/>
      <c r="U201" s="16"/>
      <c r="V201" s="16"/>
      <c r="W201" s="16"/>
      <c r="X201" s="16"/>
      <c r="Y201" s="16"/>
      <c r="Z201" s="16"/>
      <c r="AA201" s="16"/>
      <c r="AB201" s="16"/>
    </row>
    <row r="202" ht="13.5" customHeight="1" spans="1:28" x14ac:dyDescent="0.25">
      <c r="A202" s="16"/>
      <c r="B202" s="16"/>
      <c r="C202" s="16"/>
      <c r="D202" s="188" t="s">
        <v>871</v>
      </c>
      <c r="E202" s="16"/>
      <c r="F202" s="812">
        <f ca="1">SUM(NTM_EPS)</f>
      </c>
      <c r="G202" s="16"/>
      <c r="H202" s="188" t="s">
        <v>871</v>
      </c>
      <c r="I202" s="16"/>
      <c r="J202" s="812">
        <f ca="1">SUM(NTM_EPS)</f>
      </c>
      <c r="K202" s="16"/>
      <c r="L202" s="813" t="s">
        <v>872</v>
      </c>
      <c r="M202" s="16"/>
      <c r="N202" s="814">
        <f ca="1">SUM(NTM_EBITDA)</f>
      </c>
      <c r="O202" s="16"/>
      <c r="P202" s="188" t="s">
        <v>872</v>
      </c>
      <c r="Q202" s="16"/>
      <c r="R202" s="814">
        <f ca="1">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873</v>
      </c>
      <c r="M203" s="16"/>
      <c r="N203" s="814">
        <f ca="1">N201*N202</f>
        <v>1e-12</v>
      </c>
      <c r="O203" s="16"/>
      <c r="P203" s="188" t="s">
        <v>873</v>
      </c>
      <c r="Q203" s="16"/>
      <c r="R203" s="814">
        <f ca="1">R201*R202</f>
        <v>1e-12</v>
      </c>
      <c r="S203" s="188"/>
      <c r="T203" s="16"/>
      <c r="U203" s="16"/>
      <c r="V203" s="16"/>
      <c r="W203" s="16"/>
      <c r="X203" s="16"/>
      <c r="Y203" s="16"/>
      <c r="Z203" s="16"/>
      <c r="AA203" s="16"/>
      <c r="AB203" s="16"/>
    </row>
    <row r="204" ht="13.5" customHeight="1" spans="1:28" x14ac:dyDescent="0.25">
      <c r="A204" s="16"/>
      <c r="B204" s="16"/>
      <c r="C204" s="16"/>
      <c r="D204" s="188" t="s">
        <v>874</v>
      </c>
      <c r="E204" s="16"/>
      <c r="F204" s="812">
        <f ca="1">F201*F202</f>
        <v>1e-12</v>
      </c>
      <c r="G204" s="16"/>
      <c r="H204" s="188" t="s">
        <v>874</v>
      </c>
      <c r="I204" s="16"/>
      <c r="J204" s="812">
        <f ca="1">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875</v>
      </c>
      <c r="E205" s="131"/>
      <c r="F205" s="773">
        <f ca="1">F204/Share_Price-1</f>
      </c>
      <c r="G205" s="16"/>
      <c r="H205" s="311" t="s">
        <v>875</v>
      </c>
      <c r="I205" s="131"/>
      <c r="J205" s="773">
        <f ca="1">J204/Share_Price-1</f>
      </c>
      <c r="K205" s="16"/>
      <c r="L205" s="188" t="s">
        <v>876</v>
      </c>
      <c r="M205" s="16"/>
      <c r="N205" s="765">
        <f t="shared" ref="N205:N210" si="58" ca="1">N127</f>
        <v>6255</v>
      </c>
      <c r="O205" s="16"/>
      <c r="P205" s="188" t="s">
        <v>876</v>
      </c>
      <c r="Q205" s="16"/>
      <c r="R205" s="765">
        <f t="shared" ref="R205:R210" si="59" ca="1">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877</v>
      </c>
      <c r="M206" s="16"/>
      <c r="N206" s="765">
        <f ca="1">N128</f>
        <v>1e-12</v>
      </c>
      <c r="O206" s="16"/>
      <c r="P206" s="188" t="s">
        <v>877</v>
      </c>
      <c r="Q206" s="16"/>
      <c r="R206" s="765">
        <f ca="1">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878</v>
      </c>
      <c r="M207" s="16"/>
      <c r="N207" s="765">
        <f ca="1">N129</f>
        <v>-23311</v>
      </c>
      <c r="O207" s="16"/>
      <c r="P207" s="188" t="s">
        <v>878</v>
      </c>
      <c r="Q207" s="16"/>
      <c r="R207" s="765">
        <f ca="1">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879</v>
      </c>
      <c r="M208" s="16"/>
      <c r="N208" s="765">
        <f ca="1">N130</f>
        <v>1e-12</v>
      </c>
      <c r="O208" s="16"/>
      <c r="P208" s="188" t="s">
        <v>879</v>
      </c>
      <c r="Q208" s="16"/>
      <c r="R208" s="765">
        <f ca="1">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880</v>
      </c>
      <c r="M209" s="16"/>
      <c r="N209" s="765">
        <f ca="1">N131</f>
        <v>1e-12</v>
      </c>
      <c r="O209" s="16"/>
      <c r="P209" s="188" t="s">
        <v>880</v>
      </c>
      <c r="Q209" s="16"/>
      <c r="R209" s="765">
        <f ca="1">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881</v>
      </c>
      <c r="M210" s="131"/>
      <c r="N210" s="819">
        <f ca="1">N132</f>
        <v>1e-12</v>
      </c>
      <c r="O210" s="16"/>
      <c r="P210" s="192" t="s">
        <v>881</v>
      </c>
      <c r="Q210" s="131"/>
      <c r="R210" s="819">
        <f ca="1">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882</v>
      </c>
      <c r="M212" s="16"/>
      <c r="N212" s="814">
        <f ca="1">SUM(N203:N210)</f>
        <v>-17056</v>
      </c>
      <c r="O212" s="16"/>
      <c r="P212" s="188" t="s">
        <v>882</v>
      </c>
      <c r="Q212" s="16"/>
      <c r="R212" s="814">
        <f ca="1">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 ca="1">Diluted_Shares</f>
        <v>707</v>
      </c>
      <c r="O213" s="16"/>
      <c r="P213" s="188" t="s">
        <v>414</v>
      </c>
      <c r="Q213" s="16"/>
      <c r="R213" s="830">
        <f ca="1">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874</v>
      </c>
      <c r="M215" s="16"/>
      <c r="N215" s="814">
        <f ca="1">N212/N213</f>
        <v>-24.124469589816126</v>
      </c>
      <c r="O215" s="16"/>
      <c r="P215" s="188" t="s">
        <v>874</v>
      </c>
      <c r="Q215" s="16"/>
      <c r="R215" s="814">
        <f ca="1">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875</v>
      </c>
      <c r="M216" s="131"/>
      <c r="N216" s="773">
        <f ca="1">N215/Share_Price-1</f>
      </c>
      <c r="O216" s="16"/>
      <c r="P216" s="311" t="s">
        <v>875</v>
      </c>
      <c r="Q216" s="131"/>
      <c r="R216" s="773">
        <f ca="1">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902</v>
      </c>
      <c r="D220" s="16"/>
      <c r="E220" s="16"/>
      <c r="F220" s="16"/>
      <c r="G220" s="42" t="s">
        <v>903</v>
      </c>
      <c r="H220" s="47"/>
      <c r="I220" s="16"/>
      <c r="J220" s="16"/>
      <c r="K220" s="111" t="str">
        <f ca="1">$C$9</f>
        <v>Primary Peer Group</v>
      </c>
      <c r="L220" s="112"/>
      <c r="M220" s="111" t="str">
        <f ca="1">$C$14</f>
        <v>Defense Peer Group</v>
      </c>
      <c r="N220" s="112"/>
      <c r="O220" s="111" t="str">
        <f ca="1">$C$19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904</v>
      </c>
      <c r="D221" s="16"/>
      <c r="E221" s="16"/>
      <c r="F221" s="16"/>
      <c r="G221" s="42" t="s">
        <v>905</v>
      </c>
      <c r="H221" s="16"/>
      <c r="I221" s="16"/>
      <c r="J221" s="84" t="s">
        <v>138</v>
      </c>
      <c r="K221" s="724">
        <f t="array" ref="K221" ca="1">INDEX(Primary_Peer_Cyclical_Valuation_Data,MATCH(CONCATENATE(Cycle_Toggle," ",Cycle_Period_Toggle),'Multiples Data'!$C$36:$C$48,0),MATCH(CONCATENATE(Cyclical_LTM_NTM_Toggle," P/E"),'Multiples Data'!$C$36:$H$36,0))</f>
        <v>17.335633750000007</v>
      </c>
      <c r="L221" s="66"/>
      <c r="M221" s="724">
        <f t="array" ref="M221" ca="1">INDEX(PeerGroup2_Cyclical_Valuation_Data,MATCH(CONCATENATE(Cycle_Toggle," ",Cycle_Period_Toggle),'Multiples Data'!$C$58:$C$70,0),MATCH(CONCATENATE(Cyclical_LTM_NTM_Toggle," P/E"),'Multiples Data'!$C$58:$H$58,0))</f>
        <v>9.435799649405848</v>
      </c>
      <c r="N221" s="66"/>
      <c r="O221" s="724">
        <f t="array" ref="O221" ca="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906</v>
      </c>
      <c r="D222" s="16"/>
      <c r="E222" s="16"/>
      <c r="F222" s="16"/>
      <c r="G222" s="42" t="s">
        <v>814</v>
      </c>
      <c r="H222" s="47" t="b">
        <f ca="1">G222=$D$24</f>
        <v>1</v>
      </c>
      <c r="I222" s="16"/>
      <c r="J222" s="84" t="s">
        <v>140</v>
      </c>
      <c r="K222" s="724">
        <f t="array" ref="K222" ca="1">INDEX(Primary_Peer_Cyclical_Valuation_Data,MATCH(CONCATENATE(Cycle_Toggle," ",Cycle_Period_Toggle),'Multiples Data'!$C$36:$C$48,0),MATCH(CONCATENATE(Cyclical_LTM_NTM_Toggle," EV/EBITDA"),'Multiples Data'!$C$36:$H$36,0))</f>
        <v>9.083377500000001</v>
      </c>
      <c r="L222" s="66"/>
      <c r="M222" s="724">
        <f t="array" ref="M222" ca="1">INDEX(PeerGroup2_Cyclical_Valuation_Data,MATCH(CONCATENATE(Cycle_Toggle," ",Cycle_Period_Toggle),'Multiples Data'!$C$58:$C$70,0),MATCH(CONCATENATE(Cyclical_LTM_NTM_Toggle," EV/EBITDA"),'Multiples Data'!$C$58:$H$58,0))</f>
        <v>5.4314602700251715</v>
      </c>
      <c r="N222" s="66"/>
      <c r="O222" s="724">
        <f t="array" ref="O222" ca="1">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888</v>
      </c>
      <c r="D223" s="16"/>
      <c r="E223" s="16"/>
      <c r="F223" s="16"/>
      <c r="G223" s="42" t="s">
        <v>559</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848</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891</v>
      </c>
      <c r="D227" s="16"/>
      <c r="E227" s="774">
        <f ca="1">$F$201</f>
        <v>16.548837499999998</v>
      </c>
      <c r="F227" s="667">
        <f ca="1">E227-H237</f>
        <v>1e-12</v>
      </c>
      <c r="G227" s="16"/>
      <c r="H227" s="16" t="s">
        <v>892</v>
      </c>
      <c r="I227" s="16"/>
      <c r="J227" s="16"/>
      <c r="K227" s="774">
        <f ca="1">$N$201</f>
        <v>7.408287499999999</v>
      </c>
      <c r="L227" s="667">
        <f ca="1">K227-H253</f>
        <v>1e-12</v>
      </c>
      <c r="M227" s="16"/>
      <c r="N227" s="5" t="s">
        <v>871</v>
      </c>
      <c r="O227" s="16"/>
      <c r="P227" s="16"/>
      <c r="Q227" s="820">
        <f ca="1">F202</f>
        <v>1e-12</v>
      </c>
      <c r="R227" s="821">
        <f ca="1">Q227-E240</f>
        <v>-14.671278268928386</v>
      </c>
      <c r="S227" s="16"/>
      <c r="T227" s="16"/>
      <c r="U227" s="16"/>
      <c r="V227" s="16"/>
      <c r="W227" s="16"/>
      <c r="X227" s="16"/>
      <c r="Y227" s="16"/>
      <c r="Z227" s="16"/>
      <c r="AA227" s="16"/>
      <c r="AB227" s="16"/>
    </row>
    <row r="228" ht="13.5" customHeight="1" spans="1:28" x14ac:dyDescent="0.25">
      <c r="A228" s="16"/>
      <c r="B228" s="16"/>
      <c r="C228" s="16" t="s">
        <v>852</v>
      </c>
      <c r="D228" s="16"/>
      <c r="E228" s="782">
        <v>1</v>
      </c>
      <c r="F228" s="822"/>
      <c r="G228" s="16"/>
      <c r="H228" s="16" t="s">
        <v>852</v>
      </c>
      <c r="I228" s="16"/>
      <c r="J228" s="16"/>
      <c r="K228" s="782">
        <v>1</v>
      </c>
      <c r="L228" s="822"/>
      <c r="M228" s="16"/>
      <c r="N228" s="491" t="s">
        <v>893</v>
      </c>
      <c r="O228" s="16"/>
      <c r="P228" s="16"/>
      <c r="Q228" s="16"/>
      <c r="R228" s="821">
        <f ca="1">Q227-E248</f>
        <v>-14.671278268928386</v>
      </c>
      <c r="S228" s="16"/>
      <c r="T228" s="16"/>
      <c r="U228" s="16"/>
      <c r="V228" s="16"/>
      <c r="W228" s="16"/>
      <c r="X228" s="16"/>
      <c r="Y228" s="16"/>
      <c r="Z228" s="16"/>
      <c r="AA228" s="16"/>
      <c r="AB228" s="16"/>
    </row>
    <row r="229" ht="13.5" customHeight="1" spans="1:28" x14ac:dyDescent="0.25">
      <c r="A229" s="16"/>
      <c r="B229" s="16"/>
      <c r="C229" s="16" t="s">
        <v>894</v>
      </c>
      <c r="D229" s="16"/>
      <c r="E229" s="783">
        <v>0.1</v>
      </c>
      <c r="F229" s="822"/>
      <c r="G229" s="16"/>
      <c r="H229" s="16" t="s">
        <v>895</v>
      </c>
      <c r="I229" s="16"/>
      <c r="J229" s="16"/>
      <c r="K229" s="783">
        <v>0.1</v>
      </c>
      <c r="L229" s="822"/>
      <c r="M229" s="16"/>
      <c r="N229" s="5" t="s">
        <v>872</v>
      </c>
      <c r="O229" s="16"/>
      <c r="P229" s="16"/>
      <c r="Q229" s="823">
        <f ca="1">N202</f>
        <v>1e-12</v>
      </c>
      <c r="R229" s="821">
        <f ca="1">Q229-E256</f>
        <v>-15108.794109717941</v>
      </c>
      <c r="S229" s="16"/>
      <c r="T229" s="16"/>
      <c r="U229" s="16"/>
      <c r="V229" s="16"/>
      <c r="W229" s="16"/>
      <c r="X229" s="16"/>
      <c r="Y229" s="16"/>
      <c r="Z229" s="16"/>
      <c r="AA229" s="16"/>
      <c r="AB229" s="16"/>
    </row>
    <row r="230" ht="13.5" customHeight="1" spans="1:28" x14ac:dyDescent="0.25">
      <c r="A230" s="16"/>
      <c r="B230" s="16"/>
      <c r="C230" s="16" t="s">
        <v>896</v>
      </c>
      <c r="D230" s="16"/>
      <c r="E230" s="774">
        <f ca="1">$J$201</f>
        <v>21.224141568043322</v>
      </c>
      <c r="F230" s="667">
        <f ca="1">E230-H245</f>
        <v>1e-12</v>
      </c>
      <c r="G230" s="16"/>
      <c r="H230" s="16" t="s">
        <v>897</v>
      </c>
      <c r="I230" s="16"/>
      <c r="J230" s="16"/>
      <c r="K230" s="774">
        <f ca="1">$R$201</f>
        <v>12.655598918298834</v>
      </c>
      <c r="L230" s="667">
        <f ca="1">K230-H261</f>
        <v>1e-12</v>
      </c>
      <c r="M230" s="16"/>
      <c r="N230" s="491" t="s">
        <v>893</v>
      </c>
      <c r="O230" s="825"/>
      <c r="P230" s="16"/>
      <c r="Q230" s="16"/>
      <c r="R230" s="821">
        <f ca="1">Q229-E264</f>
        <v>-15108.794109717941</v>
      </c>
      <c r="S230" s="16"/>
      <c r="T230" s="16"/>
      <c r="U230" s="16"/>
      <c r="V230" s="16"/>
      <c r="W230" s="16"/>
      <c r="X230" s="16"/>
      <c r="Y230" s="16"/>
      <c r="Z230" s="16"/>
      <c r="AA230" s="16"/>
      <c r="AB230" s="16"/>
    </row>
    <row r="231" ht="13.5" customHeight="1" spans="1:28" x14ac:dyDescent="0.25">
      <c r="A231" s="16"/>
      <c r="B231" s="16"/>
      <c r="C231" s="16" t="s">
        <v>852</v>
      </c>
      <c r="D231" s="16"/>
      <c r="E231" s="782">
        <v>1</v>
      </c>
      <c r="F231" s="822"/>
      <c r="G231" s="16"/>
      <c r="H231" s="16" t="s">
        <v>852</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855</v>
      </c>
      <c r="E234" s="22"/>
      <c r="F234" s="22"/>
      <c r="G234" s="22"/>
      <c r="H234" s="22"/>
      <c r="I234" s="22"/>
      <c r="J234" s="7"/>
      <c r="K234" s="784"/>
      <c r="L234" s="63" t="s">
        <v>856</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 ca="1">$G$220&amp;" "&amp;$G$221&amp;" P/E"</f>
        <v>2009-2018 Early Cycle P/E</v>
      </c>
      <c r="G236" s="668"/>
      <c r="H236" s="668"/>
      <c r="I236" s="668"/>
      <c r="J236" s="668"/>
      <c r="K236" s="16"/>
      <c r="L236" s="590"/>
      <c r="M236" s="592"/>
      <c r="N236" s="592" t="str">
        <f t="shared" ref="N236:N237" si="60" ca="1">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 ca="1">$F$204</f>
        <v>1e-12</v>
      </c>
      <c r="F237" s="786">
        <f t="shared" ref="F237:G237" si="61" ca="1">G237-$E$93</f>
        <v>14.548837499999998</v>
      </c>
      <c r="G237" s="786">
        <f ca="1">H237-$E$93</f>
        <v>15.548837499999998</v>
      </c>
      <c r="H237" s="787">
        <v>16.548837499999998</v>
      </c>
      <c r="I237" s="786">
        <f t="shared" ref="I237:J237" si="62" ca="1">H237+$E$93</f>
        <v>17.548837499999998</v>
      </c>
      <c r="J237" s="786">
        <f ca="1">I237+$E$93</f>
        <v>18.548837499999998</v>
      </c>
      <c r="K237" s="16"/>
      <c r="L237" s="16"/>
      <c r="M237" s="788">
        <f ca="1">$H$73</f>
        <v>1e-12</v>
      </c>
      <c r="N237" s="786">
        <f ca="1">F237</f>
        <v>14.548837499999998</v>
      </c>
      <c r="O237" s="786">
        <f t="shared" ref="O237:R237" si="63" ca="1">G237</f>
        <v>15.548837499999998</v>
      </c>
      <c r="P237" s="786">
        <f ca="1">H237</f>
        <v>16.548837499999998</v>
      </c>
      <c r="Q237" s="786">
        <f ca="1">I237</f>
        <v>17.548837499999998</v>
      </c>
      <c r="R237" s="786">
        <f ca="1">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 ca="1">$E$164*(1-(2*$E$153))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 ca="1">E238</f>
        <v>11.73702261514271</v>
      </c>
      <c r="N238" s="793">
        <f t="shared" ref="N238:R242" si="65" ca="1">F238/Share_Price-1</f>
        <v>-0.26769004733880997</v>
      </c>
      <c r="O238" s="661">
        <f ca="1">G238/Share_Price-1</f>
        <v>-0.21735544482082936</v>
      </c>
      <c r="P238" s="661">
        <f ca="1">H238/Share_Price-1</f>
        <v>-0.16702084230284886</v>
      </c>
      <c r="Q238" s="661">
        <f ca="1">I238/Share_Price-1</f>
        <v>-0.11668623978486825</v>
      </c>
      <c r="R238" s="794">
        <f ca="1">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 ca="1">$E$164*(1-$E$153)</f>
        <v>13.204150442035548</v>
      </c>
      <c r="F239" s="795">
        <v>192.10503910672833</v>
      </c>
      <c r="G239" s="796">
        <v>205.30918954876387</v>
      </c>
      <c r="H239" s="796">
        <v>218.5133399907994</v>
      </c>
      <c r="I239" s="796">
        <v>231.71749043283498</v>
      </c>
      <c r="J239" s="797">
        <v>244.92164087487052</v>
      </c>
      <c r="K239" s="16"/>
      <c r="L239" s="678"/>
      <c r="M239" s="826">
        <f ca="1">E239</f>
        <v>13.204150442035548</v>
      </c>
      <c r="N239" s="798">
        <f ca="1">F239/Share_Price-1</f>
        <v>-0.17615130325616124</v>
      </c>
      <c r="O239" s="552">
        <f ca="1">G239/Share_Price-1</f>
        <v>-0.11952487542343315</v>
      </c>
      <c r="P239" s="552">
        <f ca="1">H239/Share_Price-1</f>
        <v>-0.06289844759070506</v>
      </c>
      <c r="Q239" s="552">
        <f ca="1">I239/Share_Price-1</f>
        <v>-0.0062720197579767545</v>
      </c>
      <c r="R239" s="674">
        <f ca="1">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 ca="1">E240</f>
        <v>14.671278268928386</v>
      </c>
      <c r="N240" s="798">
        <f ca="1">F240/Share_Price-1</f>
        <v>-0.08461255917351251</v>
      </c>
      <c r="O240" s="552">
        <f ca="1">G240/Share_Price-1</f>
        <v>-0.021694306026036725</v>
      </c>
      <c r="P240" s="552">
        <f ca="1">H240/Share_Price-1</f>
        <v>0.04122394712143884</v>
      </c>
      <c r="Q240" s="552">
        <f ca="1">I240/Share_Price-1</f>
        <v>0.10414220026891452</v>
      </c>
      <c r="R240" s="674">
        <f ca="1">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 ca="1">$E$164*(1+$E$153)</f>
        <v>16.138406095821225</v>
      </c>
      <c r="F241" s="795">
        <v>234.79504779711237</v>
      </c>
      <c r="G241" s="796">
        <v>250.9334538929336</v>
      </c>
      <c r="H241" s="796">
        <v>267.07185998875485</v>
      </c>
      <c r="I241" s="796">
        <v>283.21026608457606</v>
      </c>
      <c r="J241" s="797">
        <v>299.3486721803973</v>
      </c>
      <c r="K241" s="16"/>
      <c r="L241" s="678"/>
      <c r="M241" s="826">
        <f ca="1">E241</f>
        <v>16.138406095821225</v>
      </c>
      <c r="N241" s="798">
        <f ca="1">F241/Share_Price-1</f>
        <v>0.006926184909136213</v>
      </c>
      <c r="O241" s="552">
        <f ca="1">G241/Share_Price-1</f>
        <v>0.07613626337135959</v>
      </c>
      <c r="P241" s="552">
        <f ca="1">H241/Share_Price-1</f>
        <v>0.14534634183358275</v>
      </c>
      <c r="Q241" s="552">
        <f ca="1">I241/Share_Price-1</f>
        <v>0.21455642029580613</v>
      </c>
      <c r="R241" s="674">
        <f ca="1">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 ca="1">$E$164*(1+(2*$E$153))</f>
        <v>17.605533922714063</v>
      </c>
      <c r="F242" s="801">
        <v>256.1400521423044</v>
      </c>
      <c r="G242" s="802">
        <v>273.7455860650185</v>
      </c>
      <c r="H242" s="802">
        <v>291.35111998773255</v>
      </c>
      <c r="I242" s="802">
        <v>308.9566539104466</v>
      </c>
      <c r="J242" s="803">
        <v>326.5621878331607</v>
      </c>
      <c r="K242" s="16"/>
      <c r="L242" s="683"/>
      <c r="M242" s="826">
        <f ca="1">E242</f>
        <v>17.605533922714063</v>
      </c>
      <c r="N242" s="804">
        <f ca="1">F242/Share_Price-1</f>
        <v>0.09846492899178494</v>
      </c>
      <c r="O242" s="670">
        <f ca="1">G242/Share_Price-1</f>
        <v>0.1739668327687558</v>
      </c>
      <c r="P242" s="670">
        <f ca="1">H242/Share_Price-1</f>
        <v>0.24946873654572665</v>
      </c>
      <c r="Q242" s="670">
        <f ca="1">I242/Share_Price-1</f>
        <v>0.3249706403226975</v>
      </c>
      <c r="R242" s="805">
        <f ca="1">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 ca="1">$G$220&amp;" "&amp;$G$221&amp;" P/E Spread to Comps"</f>
        <v>2009-2018 Early Cycle P/E Spread to Comps</v>
      </c>
      <c r="G244" s="668"/>
      <c r="H244" s="668"/>
      <c r="I244" s="668"/>
      <c r="J244" s="668"/>
      <c r="K244" s="16"/>
      <c r="L244" s="590"/>
      <c r="M244" s="592"/>
      <c r="N244" s="592" t="str">
        <f t="shared" ref="N244:N245" si="66" ca="1">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 ca="1">$J$204</f>
        <v>1e-12</v>
      </c>
      <c r="F245" s="786">
        <f t="shared" ref="F245:G245" si="67" ca="1">G245-$E$93</f>
        <v>19.224141568043322</v>
      </c>
      <c r="G245" s="786">
        <f ca="1">H245-$E$93</f>
        <v>20.224141568043322</v>
      </c>
      <c r="H245" s="787">
        <v>21.224141568043322</v>
      </c>
      <c r="I245" s="786">
        <f t="shared" ref="I245:J245" si="68" ca="1">H245+$E$93</f>
        <v>22.224141568043322</v>
      </c>
      <c r="J245" s="786">
        <f ca="1">I245+$E$93</f>
        <v>23.224141568043322</v>
      </c>
      <c r="K245" s="16"/>
      <c r="L245" s="16"/>
      <c r="M245" s="785">
        <f ca="1">$H$73</f>
        <v>1e-12</v>
      </c>
      <c r="N245" s="786">
        <f ca="1">F245</f>
        <v>19.224141568043322</v>
      </c>
      <c r="O245" s="786">
        <f t="shared" ref="O245:R245" si="69" ca="1">G245</f>
        <v>20.224141568043322</v>
      </c>
      <c r="P245" s="786">
        <f ca="1">H245</f>
        <v>21.224141568043322</v>
      </c>
      <c r="Q245" s="786">
        <f ca="1">I245</f>
        <v>22.224141568043322</v>
      </c>
      <c r="R245" s="786">
        <f ca="1">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 ca="1">$E$172*(1-(2*$E$153))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 ca="1">E246</f>
        <v>11.73702261514271</v>
      </c>
      <c r="N246" s="793">
        <f t="shared" ref="N246:R250" si="71" ca="1">F246/Share_Price-1</f>
        <v>-0.03236047542315168</v>
      </c>
      <c r="O246" s="661">
        <f ca="1">G246/Share_Price-1</f>
        <v>0.017974127094828818</v>
      </c>
      <c r="P246" s="661">
        <f ca="1">H246/Share_Price-1</f>
        <v>0.06830872961280954</v>
      </c>
      <c r="Q246" s="661">
        <f ca="1">I246/Share_Price-1</f>
        <v>0.11864333213079004</v>
      </c>
      <c r="R246" s="794">
        <f ca="1">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 ca="1">$E$172*(1-$E$153)</f>
        <v>13.204150442035548</v>
      </c>
      <c r="F247" s="795">
        <v>253.8384573834332</v>
      </c>
      <c r="G247" s="796">
        <v>267.04260782546874</v>
      </c>
      <c r="H247" s="796">
        <v>280.2467582675043</v>
      </c>
      <c r="I247" s="796">
        <v>293.4509087095398</v>
      </c>
      <c r="J247" s="797">
        <v>306.65505915157536</v>
      </c>
      <c r="K247" s="16"/>
      <c r="L247" s="678"/>
      <c r="M247" s="826">
        <f ca="1">E247</f>
        <v>13.204150442035548</v>
      </c>
      <c r="N247" s="798">
        <f ca="1">F247/Share_Price-1</f>
        <v>0.0885944651489543</v>
      </c>
      <c r="O247" s="552">
        <f ca="1">G247/Share_Price-1</f>
        <v>0.1452208929816825</v>
      </c>
      <c r="P247" s="552">
        <f ca="1">H247/Share_Price-1</f>
        <v>0.2018473208144107</v>
      </c>
      <c r="Q247" s="552">
        <f ca="1">I247/Share_Price-1</f>
        <v>0.2584737486471387</v>
      </c>
      <c r="R247" s="674">
        <f ca="1">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 ca="1">E248</f>
        <v>14.671278268928386</v>
      </c>
      <c r="N248" s="798">
        <f ca="1">F248/Share_Price-1</f>
        <v>0.2095494057210605</v>
      </c>
      <c r="O248" s="552">
        <f ca="1">G248/Share_Price-1</f>
        <v>0.27246765886853597</v>
      </c>
      <c r="P248" s="552">
        <f ca="1">H248/Share_Price-1</f>
        <v>0.33538591201601187</v>
      </c>
      <c r="Q248" s="552">
        <f ca="1">I248/Share_Price-1</f>
        <v>0.39830416516348754</v>
      </c>
      <c r="R248" s="674">
        <f ca="1">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 ca="1">$E$172*(1+$E$153)</f>
        <v>16.138406095821225</v>
      </c>
      <c r="F249" s="795">
        <v>310.24700346864057</v>
      </c>
      <c r="G249" s="796">
        <v>326.3854095644618</v>
      </c>
      <c r="H249" s="796">
        <v>342.523815660283</v>
      </c>
      <c r="I249" s="796">
        <v>358.6622217561042</v>
      </c>
      <c r="J249" s="797">
        <v>374.80062785192547</v>
      </c>
      <c r="K249" s="16"/>
      <c r="L249" s="678"/>
      <c r="M249" s="826">
        <f ca="1">E249</f>
        <v>16.138406095821225</v>
      </c>
      <c r="N249" s="798">
        <f ca="1">F249/Share_Price-1</f>
        <v>0.3305043462931665</v>
      </c>
      <c r="O249" s="552">
        <f ca="1">G249/Share_Price-1</f>
        <v>0.39971442475538965</v>
      </c>
      <c r="P249" s="552">
        <f ca="1">H249/Share_Price-1</f>
        <v>0.46892450321761303</v>
      </c>
      <c r="Q249" s="552">
        <f ca="1">I249/Share_Price-1</f>
        <v>0.5381345816798362</v>
      </c>
      <c r="R249" s="674">
        <f ca="1">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 ca="1">$E$172*(1+(2*$E$153))</f>
        <v>17.605533922714063</v>
      </c>
      <c r="F250" s="801">
        <v>338.4512765112442</v>
      </c>
      <c r="G250" s="802">
        <v>356.0568104339583</v>
      </c>
      <c r="H250" s="802">
        <v>373.66234435667235</v>
      </c>
      <c r="I250" s="802">
        <v>391.2678782793864</v>
      </c>
      <c r="J250" s="803">
        <v>408.8734122021005</v>
      </c>
      <c r="K250" s="16"/>
      <c r="L250" s="683"/>
      <c r="M250" s="826">
        <f ca="1">E250</f>
        <v>17.605533922714063</v>
      </c>
      <c r="N250" s="804">
        <f ca="1">F250/Share_Price-1</f>
        <v>0.45145928686527226</v>
      </c>
      <c r="O250" s="670">
        <f ca="1">G250/Share_Price-1</f>
        <v>0.5269611906422431</v>
      </c>
      <c r="P250" s="670">
        <f ca="1">H250/Share_Price-1</f>
        <v>0.602463094419214</v>
      </c>
      <c r="Q250" s="670">
        <f ca="1">I250/Share_Price-1</f>
        <v>0.677964998196185</v>
      </c>
      <c r="R250" s="805">
        <f ca="1">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 ca="1">$G$220&amp;" "&amp;$G$221&amp;" EV/EBITDA"</f>
        <v>2009-2018 Early Cycle EV/EBITDA</v>
      </c>
      <c r="G252" s="668"/>
      <c r="H252" s="668"/>
      <c r="I252" s="668"/>
      <c r="J252" s="668"/>
      <c r="K252" s="16"/>
      <c r="L252" s="590"/>
      <c r="M252" s="592"/>
      <c r="N252" s="592" t="str">
        <f t="shared" ref="N252:N253" si="72" ca="1">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 ca="1">$N$215</f>
        <v>-24.124469589816126</v>
      </c>
      <c r="F253" s="786">
        <f t="shared" ref="F253:G253" si="73" ca="1">G253-$E$93</f>
        <v>5.408287499999999</v>
      </c>
      <c r="G253" s="786">
        <f ca="1">H253-$E$93</f>
        <v>6.408287499999999</v>
      </c>
      <c r="H253" s="787">
        <v>7.408287499999999</v>
      </c>
      <c r="I253" s="786">
        <f t="shared" ref="I253:J253" si="74" ca="1">H253+$E$93</f>
        <v>8.4082875</v>
      </c>
      <c r="J253" s="786">
        <f ca="1">I253+$E$93</f>
        <v>9.4082875</v>
      </c>
      <c r="K253" s="16"/>
      <c r="L253" s="16"/>
      <c r="M253" s="785">
        <f ca="1">$H$73</f>
        <v>1e-12</v>
      </c>
      <c r="N253" s="786">
        <f ca="1">F253</f>
        <v>5.408287499999999</v>
      </c>
      <c r="O253" s="786">
        <f t="shared" ref="O253:R253" si="75" ca="1">G253</f>
        <v>6.408287499999999</v>
      </c>
      <c r="P253" s="786">
        <f ca="1">H253</f>
        <v>7.408287499999999</v>
      </c>
      <c r="Q253" s="786">
        <f ca="1">I253</f>
        <v>8.4082875</v>
      </c>
      <c r="R253" s="786">
        <f ca="1">J253</f>
        <v>9.4082875</v>
      </c>
      <c r="S253" s="16"/>
      <c r="T253" s="16"/>
      <c r="U253" s="16"/>
      <c r="V253" s="16"/>
      <c r="W253" s="16"/>
      <c r="X253" s="16"/>
      <c r="Y253" s="16"/>
      <c r="Z253" s="16"/>
      <c r="AA253" s="16"/>
      <c r="AB253" s="16"/>
    </row>
    <row r="254" ht="13.5" customHeight="1" spans="1:28" x14ac:dyDescent="0.25">
      <c r="A254" s="16"/>
      <c r="B254" s="16"/>
      <c r="C254" s="16"/>
      <c r="D254" s="673" t="s">
        <v>292</v>
      </c>
      <c r="E254" s="762">
        <f ca="1">$E$180*(1-(2*$K$153))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 ca="1">E254</f>
        <v>12087.035287774353</v>
      </c>
      <c r="N254" s="793">
        <f t="shared" ref="N254:R258" si="77" ca="1">F254/Share_Price-1</f>
        <v>-0.7099033254536987</v>
      </c>
      <c r="O254" s="661">
        <f ca="1">G254/Share_Price-1</f>
        <v>-0.6349963265701155</v>
      </c>
      <c r="P254" s="661">
        <f ca="1">H254/Share_Price-1</f>
        <v>-0.5600893276865323</v>
      </c>
      <c r="Q254" s="661">
        <f ca="1">I254/Share_Price-1</f>
        <v>-0.4851823288029492</v>
      </c>
      <c r="R254" s="794">
        <f ca="1">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 ca="1">$E$180*(1-$K$153)</f>
        <v>13597.914698746146</v>
      </c>
      <c r="F255" s="795">
        <v>79.45293654811421</v>
      </c>
      <c r="G255" s="796">
        <v>99.10310229774737</v>
      </c>
      <c r="H255" s="796">
        <v>118.75326804738054</v>
      </c>
      <c r="I255" s="796">
        <v>138.40343379701372</v>
      </c>
      <c r="J255" s="797">
        <v>158.0535995466469</v>
      </c>
      <c r="K255" s="16"/>
      <c r="L255" s="678"/>
      <c r="M255" s="762">
        <f ca="1">E255</f>
        <v>13597.914698746146</v>
      </c>
      <c r="N255" s="798">
        <f ca="1">F255/Share_Price-1</f>
        <v>-0.6592635022381241</v>
      </c>
      <c r="O255" s="552">
        <f ca="1">G255/Share_Price-1</f>
        <v>-0.5749931284940931</v>
      </c>
      <c r="P255" s="552">
        <f ca="1">H255/Share_Price-1</f>
        <v>-0.490722754750062</v>
      </c>
      <c r="Q255" s="552">
        <f ca="1">I255/Share_Price-1</f>
        <v>-0.40645238100603087</v>
      </c>
      <c r="R255" s="674">
        <f ca="1">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 ca="1">E256</f>
        <v>15108.794109717941</v>
      </c>
      <c r="N256" s="798">
        <f ca="1">F256/Share_Price-1</f>
        <v>-0.6086236790225494</v>
      </c>
      <c r="O256" s="552">
        <f ca="1">G256/Share_Price-1</f>
        <v>-0.5149899304180705</v>
      </c>
      <c r="P256" s="552">
        <f ca="1">H256/Share_Price-1</f>
        <v>-0.4213561818135916</v>
      </c>
      <c r="Q256" s="552">
        <f ca="1">I256/Share_Price-1</f>
        <v>-0.32772243320911254</v>
      </c>
      <c r="R256" s="674">
        <f ca="1">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 ca="1">$E$180*(1+$K$153)</f>
        <v>16619.673520689736</v>
      </c>
      <c r="F257" s="795">
        <v>103.06932450292959</v>
      </c>
      <c r="G257" s="796">
        <v>127.08619375248122</v>
      </c>
      <c r="H257" s="796">
        <v>151.10306300203288</v>
      </c>
      <c r="I257" s="796">
        <v>175.11993225158452</v>
      </c>
      <c r="J257" s="797">
        <v>199.13680150113618</v>
      </c>
      <c r="K257" s="16"/>
      <c r="L257" s="678"/>
      <c r="M257" s="762">
        <f ca="1">E257</f>
        <v>16619.673520689736</v>
      </c>
      <c r="N257" s="798">
        <f ca="1">F257/Share_Price-1</f>
        <v>-0.557983855806975</v>
      </c>
      <c r="O257" s="552">
        <f ca="1">G257/Share_Price-1</f>
        <v>-0.4549867323420481</v>
      </c>
      <c r="P257" s="552">
        <f ca="1">H257/Share_Price-1</f>
        <v>-0.35198960887712116</v>
      </c>
      <c r="Q257" s="552">
        <f ca="1">I257/Share_Price-1</f>
        <v>-0.24899248541219443</v>
      </c>
      <c r="R257" s="674">
        <f ca="1">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 ca="1">$E$180*(1+(2*$K$153))</f>
        <v>18130.55293166153</v>
      </c>
      <c r="F258" s="801">
        <v>114.87751848033726</v>
      </c>
      <c r="G258" s="802">
        <v>141.07773947984813</v>
      </c>
      <c r="H258" s="802">
        <v>167.277960479359</v>
      </c>
      <c r="I258" s="802">
        <v>193.47818147886994</v>
      </c>
      <c r="J258" s="803">
        <v>219.6784024783808</v>
      </c>
      <c r="K258" s="16"/>
      <c r="L258" s="683"/>
      <c r="M258" s="762">
        <f ca="1">E258</f>
        <v>18130.55293166153</v>
      </c>
      <c r="N258" s="804">
        <f ca="1">F258/Share_Price-1</f>
        <v>-0.5073440325914004</v>
      </c>
      <c r="O258" s="670">
        <f ca="1">G258/Share_Price-1</f>
        <v>-0.3949835342660257</v>
      </c>
      <c r="P258" s="670">
        <f ca="1">H258/Share_Price-1</f>
        <v>-0.2826230359406511</v>
      </c>
      <c r="Q258" s="670">
        <f ca="1">I258/Share_Price-1</f>
        <v>-0.170262537615276</v>
      </c>
      <c r="R258" s="805">
        <f ca="1">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 ca="1">$G$220&amp;" "&amp;$G$221&amp;" EV/EBITDA Spread to Comps"</f>
        <v>2009-2018 Early Cycle EV/EBITDA Spread to Comps</v>
      </c>
      <c r="G260" s="668"/>
      <c r="H260" s="668"/>
      <c r="I260" s="668"/>
      <c r="J260" s="668"/>
      <c r="K260" s="16"/>
      <c r="L260" s="590"/>
      <c r="M260" s="592"/>
      <c r="N260" s="592" t="str">
        <f t="shared" ref="N260:N261" si="78" ca="1">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 ca="1">$R$215</f>
        <v>-24.124469589816126</v>
      </c>
      <c r="F261" s="786">
        <f t="shared" ref="F261:G261" si="79" ca="1">G261-$E$93</f>
        <v>10.655598918298834</v>
      </c>
      <c r="G261" s="786">
        <f ca="1">H261-$E$93</f>
        <v>11.655598918298834</v>
      </c>
      <c r="H261" s="787">
        <v>12.655598918298834</v>
      </c>
      <c r="I261" s="786">
        <f t="shared" ref="I261:J261" si="80" ca="1">H261+$E$93</f>
        <v>13.655598918298834</v>
      </c>
      <c r="J261" s="786">
        <f ca="1">I261+$E$93</f>
        <v>14.655598918298834</v>
      </c>
      <c r="K261" s="16"/>
      <c r="L261" s="16"/>
      <c r="M261" s="785">
        <f ca="1">$H$73</f>
        <v>1e-12</v>
      </c>
      <c r="N261" s="786">
        <f ca="1">F261</f>
        <v>10.655598918298834</v>
      </c>
      <c r="O261" s="786">
        <f t="shared" ref="O261:R261" si="81" ca="1">G261</f>
        <v>11.655598918298834</v>
      </c>
      <c r="P261" s="786">
        <f ca="1">H261</f>
        <v>12.655598918298834</v>
      </c>
      <c r="Q261" s="786">
        <f ca="1">I261</f>
        <v>13.655598918298834</v>
      </c>
      <c r="R261" s="786">
        <f ca="1">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 ca="1">$E$188*(1-(2*$K$153))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 ca="1">E262</f>
        <v>12087.035287774353</v>
      </c>
      <c r="N262" s="793">
        <f t="shared" ref="N262:R266" si="83" ca="1">F262/Share_Price-1</f>
        <v>-0.3168429749013748</v>
      </c>
      <c r="O262" s="661">
        <f ca="1">G262/Share_Price-1</f>
        <v>-0.2419359760177916</v>
      </c>
      <c r="P262" s="661">
        <f ca="1">H262/Share_Price-1</f>
        <v>-0.1670289771342084</v>
      </c>
      <c r="Q262" s="661">
        <f ca="1">I262/Share_Price-1</f>
        <v>-0.09212197825062529</v>
      </c>
      <c r="R262" s="794">
        <f ca="1">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 ca="1">$E$188*(1-$K$153)</f>
        <v>13597.914698746146</v>
      </c>
      <c r="F263" s="795">
        <v>182.56347565762897</v>
      </c>
      <c r="G263" s="796">
        <v>202.21364140726214</v>
      </c>
      <c r="H263" s="796">
        <v>221.8638071568953</v>
      </c>
      <c r="I263" s="796">
        <v>241.51397290652844</v>
      </c>
      <c r="J263" s="797">
        <v>261.1641386561616</v>
      </c>
      <c r="K263" s="16"/>
      <c r="L263" s="678"/>
      <c r="M263" s="762">
        <f ca="1">E263</f>
        <v>13597.914698746146</v>
      </c>
      <c r="N263" s="798">
        <f ca="1">F263/Share_Price-1</f>
        <v>-0.2170706078667597</v>
      </c>
      <c r="O263" s="552">
        <f ca="1">G263/Share_Price-1</f>
        <v>-0.13280023412272868</v>
      </c>
      <c r="P263" s="552">
        <f ca="1">H263/Share_Price-1</f>
        <v>-0.048529860378697665</v>
      </c>
      <c r="Q263" s="552">
        <f ca="1">I263/Share_Price-1</f>
        <v>0.03574051336533324</v>
      </c>
      <c r="R263" s="674">
        <f ca="1">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 ca="1">E264</f>
        <v>15108.794109717941</v>
      </c>
      <c r="N264" s="798">
        <f ca="1">F264/Share_Price-1</f>
        <v>-0.11729824083214468</v>
      </c>
      <c r="O264" s="552">
        <f ca="1">G264/Share_Price-1</f>
        <v>-0.023664492227665757</v>
      </c>
      <c r="P264" s="552">
        <f ca="1">H264/Share_Price-1</f>
        <v>0.06996925637681328</v>
      </c>
      <c r="Q264" s="552">
        <f ca="1">I264/Share_Price-1</f>
        <v>0.1636030049812922</v>
      </c>
      <c r="R264" s="674">
        <f ca="1">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 ca="1">$E$188*(1+$K$153)</f>
        <v>16619.673520689736</v>
      </c>
      <c r="F265" s="795">
        <v>229.0933167478921</v>
      </c>
      <c r="G265" s="796">
        <v>253.1101859974437</v>
      </c>
      <c r="H265" s="796">
        <v>277.1270552469953</v>
      </c>
      <c r="I265" s="796">
        <v>301.143924496547</v>
      </c>
      <c r="J265" s="797">
        <v>325.16079374609865</v>
      </c>
      <c r="K265" s="16"/>
      <c r="L265" s="678"/>
      <c r="M265" s="762">
        <f ca="1">E265</f>
        <v>16619.673520689736</v>
      </c>
      <c r="N265" s="798">
        <f ca="1">F265/Share_Price-1</f>
        <v>-0.017525873797529457</v>
      </c>
      <c r="O265" s="552">
        <f ca="1">G265/Share_Price-1</f>
        <v>0.08547124966739728</v>
      </c>
      <c r="P265" s="552">
        <f ca="1">H265/Share_Price-1</f>
        <v>0.188468373132324</v>
      </c>
      <c r="Q265" s="552">
        <f ca="1">I265/Share_Price-1</f>
        <v>0.2914654965972512</v>
      </c>
      <c r="R265" s="674">
        <f ca="1">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 ca="1">$E$188*(1+(2*$K$153))</f>
        <v>18130.55293166153</v>
      </c>
      <c r="F266" s="801">
        <v>252.3582372930236</v>
      </c>
      <c r="G266" s="802">
        <v>278.5584582925345</v>
      </c>
      <c r="H266" s="802">
        <v>304.7586792920453</v>
      </c>
      <c r="I266" s="802">
        <v>330.95890029155623</v>
      </c>
      <c r="J266" s="803">
        <v>357.1591212910671</v>
      </c>
      <c r="K266" s="16"/>
      <c r="L266" s="683"/>
      <c r="M266" s="762">
        <f ca="1">E266</f>
        <v>18130.55293166153</v>
      </c>
      <c r="N266" s="804">
        <f ca="1">F266/Share_Price-1</f>
        <v>0.08224649323708544</v>
      </c>
      <c r="O266" s="670">
        <f ca="1">G266/Share_Price-1</f>
        <v>0.19460699156246042</v>
      </c>
      <c r="P266" s="670">
        <f ca="1">H266/Share_Price-1</f>
        <v>0.30696748988783473</v>
      </c>
      <c r="Q266" s="670">
        <f ca="1">I266/Share_Price-1</f>
        <v>0.4193279882132097</v>
      </c>
      <c r="R266" s="805">
        <f ca="1">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811</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872</v>
      </c>
      <c r="F270" s="44"/>
      <c r="G270" s="109" t="s">
        <v>907</v>
      </c>
      <c r="H270" s="109"/>
      <c r="I270" s="109" t="s">
        <v>908</v>
      </c>
      <c r="J270" s="109"/>
      <c r="K270" s="109" t="s">
        <v>870</v>
      </c>
      <c r="L270" s="109"/>
      <c r="M270" s="45" t="s">
        <v>909</v>
      </c>
      <c r="N270" s="16"/>
      <c r="O270" s="92" t="s">
        <v>910</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 ca="1">'Segment Analysis'!C16</f>
        <v>Home Improvement Retail</v>
      </c>
      <c r="D272" s="16"/>
      <c r="E272" s="832">
        <f ca="1">SUM('Segment Analysis'!W70:X70,'Segment Analysis'!Z70:AA70)</f>
        <v>14887.766997086248</v>
      </c>
      <c r="F272" s="16"/>
      <c r="G272" s="690">
        <f ca="1">IF($G289=Comparables!$D$86,Valuation!$E$12,IF(Valuation!$G289=Comparables!$G$86,Valuation!$E$17,IF(Valuation!$G289=Comparables!$L$86,Valuation!$E$22,IF($G289=Company_Name,$D$12))))</f>
        <v>15.517159999999999</v>
      </c>
      <c r="H272" s="548"/>
      <c r="I272" s="833">
        <v>0</v>
      </c>
      <c r="J272" s="548"/>
      <c r="K272" s="548">
        <f t="shared" ref="K272:K277" si="84" ca="1">G272+I272</f>
        <v>15.517159999999999</v>
      </c>
      <c r="L272" s="548"/>
      <c r="M272" s="116">
        <f t="shared" ref="M272:M277" si="85" ca="1">E272*K272</f>
        <v>231015.86253650681</v>
      </c>
      <c r="N272" s="16"/>
      <c r="O272" s="188" t="s">
        <v>873</v>
      </c>
      <c r="P272" s="16"/>
      <c r="Q272" s="16"/>
      <c r="R272" s="762">
        <f ca="1">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 ca="1">'Segment Analysis'!C17</f>
        <v>Segment 2</v>
      </c>
      <c r="D273" s="16"/>
      <c r="E273" s="832">
        <f ca="1">SUM('Segment Analysis'!W71:X71,'Segment Analysis'!Z71:AA71)</f>
        <v>1e-12</v>
      </c>
      <c r="F273" s="16"/>
      <c r="G273" s="690">
        <f ca="1">IF($G290=Comparables!$D$86,Valuation!$E$12,IF(Valuation!$G290=Comparables!$G$86,Valuation!$E$17,IF(Valuation!$G290=Comparables!$L$86,Valuation!$E$22,IF($G290=Company_Name,$D$12))))</f>
        <v>15.517159999999999</v>
      </c>
      <c r="H273" s="548"/>
      <c r="I273" s="833">
        <v>0</v>
      </c>
      <c r="J273" s="548"/>
      <c r="K273" s="548">
        <f ca="1">G273+I273</f>
        <v>15.517159999999999</v>
      </c>
      <c r="L273" s="548"/>
      <c r="M273" s="116">
        <f ca="1">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 ca="1">'Segment Analysis'!C18</f>
        <v>Segment 3</v>
      </c>
      <c r="D274" s="16"/>
      <c r="E274" s="832">
        <f ca="1">SUM('Segment Analysis'!W72:X72,'Segment Analysis'!Z72:AA72)</f>
        <v>1e-12</v>
      </c>
      <c r="F274" s="16"/>
      <c r="G274" s="690" t="b">
        <f ca="1">IF($G291=Comparables!$D$86,Valuation!$E$12,IF(Valuation!$G291=Comparables!$G$86,Valuation!$E$17,IF(Valuation!$G291=Comparables!$L$86,Valuation!$E$22,IF($G291=Company_Name,$D$12))))</f>
        <v>0</v>
      </c>
      <c r="H274" s="548"/>
      <c r="I274" s="833">
        <v>0</v>
      </c>
      <c r="J274" s="548"/>
      <c r="K274" s="548">
        <f ca="1">G274+I274</f>
        <v>1e-12</v>
      </c>
      <c r="L274" s="548"/>
      <c r="M274" s="116">
        <f ca="1">E274*K274</f>
        <v>1e-12</v>
      </c>
      <c r="N274" s="16"/>
      <c r="O274" s="188" t="s">
        <v>876</v>
      </c>
      <c r="P274" s="16"/>
      <c r="Q274" s="16"/>
      <c r="R274" s="816">
        <f t="shared" ref="R274:R279" si="86" ca="1">K66</f>
        <v>6255</v>
      </c>
      <c r="S274" s="16"/>
      <c r="T274" s="16"/>
      <c r="U274" s="16"/>
      <c r="V274" s="16"/>
      <c r="W274" s="16"/>
      <c r="X274" s="16"/>
      <c r="Y274" s="16"/>
      <c r="Z274" s="16"/>
      <c r="AA274" s="16"/>
      <c r="AB274" s="16"/>
    </row>
    <row r="275" ht="13.5" customHeight="1" hidden="1" spans="1:28" x14ac:dyDescent="0.25" outlineLevel="1" collapsed="1">
      <c r="A275" s="16"/>
      <c r="B275" s="16"/>
      <c r="C275" s="16" t="str">
        <f ca="1">'Segment Analysis'!C19</f>
        <v>Segment 4</v>
      </c>
      <c r="D275" s="16"/>
      <c r="E275" s="832">
        <f ca="1">SUM('Segment Analysis'!W73:X73,'Segment Analysis'!Z73:AA73)</f>
        <v>1e-12</v>
      </c>
      <c r="F275" s="16"/>
      <c r="G275" s="690" t="b">
        <f ca="1">IF($G292=Comparables!$D$86,Valuation!$E$12,IF(Valuation!$G292=Comparables!$G$86,Valuation!$E$17,IF(Valuation!$G292=Comparables!$L$86,Valuation!$E$22,IF($G292=Company_Name,$D$12))))</f>
        <v>0</v>
      </c>
      <c r="H275" s="548"/>
      <c r="I275" s="833">
        <v>0</v>
      </c>
      <c r="J275" s="548"/>
      <c r="K275" s="548">
        <f ca="1">G275+I275</f>
        <v>1e-12</v>
      </c>
      <c r="L275" s="548"/>
      <c r="M275" s="116">
        <f ca="1">E275*K275</f>
        <v>1e-12</v>
      </c>
      <c r="N275" s="16"/>
      <c r="O275" s="188" t="s">
        <v>877</v>
      </c>
      <c r="P275" s="16"/>
      <c r="Q275" s="16"/>
      <c r="R275" s="765">
        <f ca="1">K67</f>
        <v>1e-12</v>
      </c>
      <c r="S275" s="16"/>
      <c r="T275" s="16"/>
      <c r="U275" s="16"/>
      <c r="V275" s="16"/>
      <c r="W275" s="16"/>
      <c r="X275" s="16"/>
      <c r="Y275" s="16"/>
      <c r="Z275" s="16"/>
      <c r="AA275" s="16"/>
      <c r="AB275" s="16"/>
    </row>
    <row r="276" ht="13.5" customHeight="1" hidden="1" spans="1:28" x14ac:dyDescent="0.25" outlineLevel="1" collapsed="1">
      <c r="A276" s="16"/>
      <c r="B276" s="16"/>
      <c r="C276" s="16" t="str">
        <f ca="1">'Segment Analysis'!C20</f>
        <v>Segment 5</v>
      </c>
      <c r="D276" s="16"/>
      <c r="E276" s="832">
        <f ca="1">SUM('Segment Analysis'!W74:X74,'Segment Analysis'!Z74:AA74)</f>
        <v>1e-12</v>
      </c>
      <c r="F276" s="16"/>
      <c r="G276" s="690" t="b">
        <f ca="1">IF($G293=Comparables!$D$86,Valuation!$E$12,IF(Valuation!$G293=Comparables!$G$86,Valuation!$E$17,IF(Valuation!$G293=Comparables!$L$86,Valuation!$E$22,IF($G293=Company_Name,$D$12))))</f>
        <v>0</v>
      </c>
      <c r="H276" s="548"/>
      <c r="I276" s="833">
        <v>0</v>
      </c>
      <c r="J276" s="548"/>
      <c r="K276" s="548">
        <f ca="1">G276+I276</f>
        <v>1e-12</v>
      </c>
      <c r="L276" s="548"/>
      <c r="M276" s="116">
        <f ca="1">E276*K276</f>
        <v>1e-12</v>
      </c>
      <c r="N276" s="16"/>
      <c r="O276" s="188" t="s">
        <v>878</v>
      </c>
      <c r="P276" s="16"/>
      <c r="Q276" s="16"/>
      <c r="R276" s="765">
        <f ca="1">K68</f>
        <v>-23311</v>
      </c>
      <c r="S276" s="16"/>
      <c r="T276" s="16"/>
      <c r="U276" s="16"/>
      <c r="V276" s="16"/>
      <c r="W276" s="16"/>
      <c r="X276" s="16"/>
      <c r="Y276" s="16"/>
      <c r="Z276" s="16"/>
      <c r="AA276" s="16"/>
      <c r="AB276" s="16"/>
    </row>
    <row r="277" ht="13.5" customHeight="1" hidden="1" spans="1:28" x14ac:dyDescent="0.25" outlineLevel="1" collapsed="1">
      <c r="A277" s="16"/>
      <c r="B277" s="16"/>
      <c r="C277" s="16" t="str">
        <f ca="1">'Segment Analysis'!C21</f>
        <v>Segment 6</v>
      </c>
      <c r="D277" s="16"/>
      <c r="E277" s="832">
        <f ca="1">SUM('Segment Analysis'!W75:X75,'Segment Analysis'!Z75:AA75)</f>
        <v>1e-12</v>
      </c>
      <c r="F277" s="16"/>
      <c r="G277" s="690" t="b">
        <f ca="1">IF($G294=Comparables!$D$86,Valuation!$E$12,IF(Valuation!$G294=Comparables!$G$86,Valuation!$E$17,IF(Valuation!$G294=Comparables!$L$86,Valuation!$E$22,IF($G294=Company_Name,$D$12))))</f>
        <v>0</v>
      </c>
      <c r="H277" s="548"/>
      <c r="I277" s="833">
        <v>0</v>
      </c>
      <c r="J277" s="548"/>
      <c r="K277" s="548">
        <f ca="1">G277+I277</f>
        <v>1e-12</v>
      </c>
      <c r="L277" s="548"/>
      <c r="M277" s="116">
        <f ca="1">E277*K277</f>
        <v>1e-12</v>
      </c>
      <c r="N277" s="16"/>
      <c r="O277" s="188" t="s">
        <v>879</v>
      </c>
      <c r="P277" s="16"/>
      <c r="Q277" s="16"/>
      <c r="R277" s="765">
        <f ca="1">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880</v>
      </c>
      <c r="P278" s="16"/>
      <c r="Q278" s="16"/>
      <c r="R278" s="765">
        <f ca="1">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881</v>
      </c>
      <c r="P279" s="131"/>
      <c r="Q279" s="16"/>
      <c r="R279" s="819">
        <f ca="1">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882</v>
      </c>
      <c r="P281" s="16"/>
      <c r="Q281" s="16"/>
      <c r="R281" s="814">
        <f ca="1">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 ca="1">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874</v>
      </c>
      <c r="P284" s="16"/>
      <c r="Q284" s="16"/>
      <c r="R284" s="814">
        <f ca="1">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875</v>
      </c>
      <c r="P285" s="131"/>
      <c r="Q285" s="131"/>
      <c r="R285" s="773">
        <f ca="1">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 ca="1">"Multiple Used for "&amp;C272</f>
        <v>Multiple Used for Home Improvement Retail</v>
      </c>
      <c r="D289" s="16"/>
      <c r="E289" s="16"/>
      <c r="F289" s="16"/>
      <c r="G289" s="42" t="s">
        <v>559</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ca="1">"Multiple Used for "&amp;C273</f>
        <v>Multiple Used for Segment 2</v>
      </c>
      <c r="D290" s="16"/>
      <c r="E290" s="16"/>
      <c r="F290" s="16"/>
      <c r="G290" s="42" t="s">
        <v>559</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ca="1">"Multiple Used for "&amp;C274</f>
        <v>Multiple Used for Segment 3</v>
      </c>
      <c r="D291" s="16"/>
      <c r="E291" s="16"/>
      <c r="F291" s="16"/>
      <c r="G291" s="42" t="s">
        <v>911</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ca="1">"Multiple Used for "&amp;C275</f>
        <v>Multiple Used for Segment 4</v>
      </c>
      <c r="D292" s="16"/>
      <c r="E292" s="16"/>
      <c r="F292" s="16"/>
      <c r="G292" s="42" t="s">
        <v>911</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ca="1">"Multiple Used for "&amp;C276</f>
        <v>Multiple Used for Segment 5</v>
      </c>
      <c r="D293" s="16"/>
      <c r="E293" s="16"/>
      <c r="F293" s="16"/>
      <c r="G293" s="42" t="s">
        <v>911</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ca="1">"Multiple Used for "&amp;C277</f>
        <v>Multiple Used for Segment 6</v>
      </c>
      <c r="D294" s="16"/>
      <c r="E294" s="16"/>
      <c r="F294" s="16"/>
      <c r="G294" s="42" t="s">
        <v>911</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 ca="1">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 ca="1">Cover!C2</f>
        <v>$ in Millions Except Per Share Data</v>
      </c>
      <c r="D2" s="4"/>
      <c r="E2" s="4"/>
      <c r="F2" s="4"/>
      <c r="G2" s="4"/>
      <c r="H2" s="4"/>
      <c r="I2" s="4"/>
      <c r="J2" s="4"/>
      <c r="K2" s="242"/>
      <c r="L2" s="838" t="s">
        <v>912</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 ca="1">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 ca="1">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 ca="1">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913</v>
      </c>
      <c r="M5" s="112"/>
      <c r="N5" s="112"/>
      <c r="O5" s="112"/>
      <c r="P5" s="112"/>
      <c r="Q5" s="112"/>
      <c r="R5" s="839" t="s">
        <v>914</v>
      </c>
      <c r="S5" s="112"/>
      <c r="T5" s="112"/>
      <c r="U5" s="112"/>
      <c r="V5" s="112"/>
      <c r="W5" s="112"/>
      <c r="X5" s="839" t="s">
        <v>915</v>
      </c>
      <c r="Y5" s="112"/>
      <c r="Z5" s="112"/>
      <c r="AA5" s="112"/>
      <c r="AB5" s="112"/>
      <c r="AC5" s="112"/>
      <c r="AD5" s="839" t="s">
        <v>916</v>
      </c>
      <c r="AE5" s="112"/>
      <c r="AF5" s="112"/>
      <c r="AG5" s="112"/>
      <c r="AH5" s="112"/>
      <c r="AI5" s="112"/>
      <c r="AJ5" s="16"/>
      <c r="AK5" s="16"/>
      <c r="AL5" s="840" t="s">
        <v>913</v>
      </c>
      <c r="AM5" s="112"/>
      <c r="AN5" s="112"/>
      <c r="AO5" s="112"/>
      <c r="AP5" s="112"/>
      <c r="AQ5" s="112"/>
      <c r="AR5" s="839" t="s">
        <v>914</v>
      </c>
      <c r="AS5" s="112"/>
      <c r="AT5" s="112"/>
      <c r="AU5" s="112"/>
      <c r="AV5" s="112"/>
      <c r="AW5" s="112"/>
      <c r="AX5" s="839" t="s">
        <v>915</v>
      </c>
      <c r="AY5" s="112"/>
      <c r="AZ5" s="112"/>
      <c r="BA5" s="112"/>
      <c r="BB5" s="112"/>
      <c r="BC5" s="112"/>
      <c r="BD5" s="839" t="s">
        <v>916</v>
      </c>
      <c r="BE5" s="112"/>
      <c r="BF5" s="112"/>
      <c r="BG5" s="112"/>
      <c r="BH5" s="112"/>
      <c r="BI5" s="112"/>
      <c r="BJ5" s="16"/>
      <c r="BK5" s="16"/>
      <c r="BL5" s="840" t="s">
        <v>913</v>
      </c>
      <c r="BM5" s="112"/>
      <c r="BN5" s="112"/>
      <c r="BO5" s="112"/>
      <c r="BP5" s="112"/>
      <c r="BQ5" s="112"/>
      <c r="BR5" s="839" t="s">
        <v>914</v>
      </c>
      <c r="BS5" s="112"/>
      <c r="BT5" s="112"/>
      <c r="BU5" s="112"/>
      <c r="BV5" s="112"/>
      <c r="BW5" s="112"/>
      <c r="BX5" s="839" t="s">
        <v>915</v>
      </c>
      <c r="BY5" s="112"/>
      <c r="BZ5" s="112"/>
      <c r="CA5" s="112"/>
      <c r="CB5" s="112"/>
      <c r="CC5" s="112"/>
      <c r="CD5" s="839" t="s">
        <v>916</v>
      </c>
      <c r="CE5" s="112"/>
      <c r="CF5" s="112"/>
      <c r="CG5" s="112"/>
      <c r="CH5" s="112"/>
      <c r="CI5" s="112"/>
    </row>
    <row r="6" ht="14.25" customHeight="1" spans="1:87" x14ac:dyDescent="0.25">
      <c r="A6" s="16"/>
      <c r="B6" s="16"/>
      <c r="C6" s="836" t="str">
        <f ca="1">Company_Name</f>
        <v>Lowe's Companies, Inc.</v>
      </c>
      <c r="D6" s="110"/>
      <c r="E6" s="110"/>
      <c r="F6" s="110"/>
      <c r="G6" s="110"/>
      <c r="H6" s="111"/>
      <c r="I6" s="841" t="str">
        <f ca="1">Last_FQR</f>
        <v>2Q</v>
      </c>
      <c r="J6" s="16"/>
      <c r="K6" s="264"/>
      <c r="L6" s="842" t="str">
        <f ca="1">Comparables!E88</f>
        <v>Lowe's Companies, Inc.</v>
      </c>
      <c r="M6" s="843" t="str">
        <f ca="1">Comparables!$E$92</f>
        <v>The Home Depot, Inc.</v>
      </c>
      <c r="N6" s="843" t="str">
        <f ca="1">Comparables!$E$96</f>
        <v>Apple</v>
      </c>
      <c r="O6" s="843" t="str">
        <f ca="1">Comparables!$E$100</f>
        <v>Microsoft</v>
      </c>
      <c r="P6" s="843" t="str">
        <f ca="1">Comparables!$E$104</f>
        <v>Broadcom</v>
      </c>
      <c r="Q6" s="843" t="str">
        <f ca="1">Comparables!$E$108</f>
        <v>Disney</v>
      </c>
      <c r="R6" s="843" t="str">
        <f ca="1">$L$6</f>
        <v>Lowe's Companies, Inc.</v>
      </c>
      <c r="S6" s="843" t="str">
        <f t="shared" ref="S6:W6" si="0" ca="1">M6</f>
        <v>The Home Depot, Inc.</v>
      </c>
      <c r="T6" s="843" t="str">
        <f ca="1">N6</f>
        <v>Apple</v>
      </c>
      <c r="U6" s="843" t="str">
        <f ca="1">O6</f>
        <v>Microsoft</v>
      </c>
      <c r="V6" s="843" t="str">
        <f ca="1">P6</f>
        <v>Broadcom</v>
      </c>
      <c r="W6" s="843" t="str">
        <f ca="1">Q6</f>
        <v>Disney</v>
      </c>
      <c r="X6" s="843" t="str">
        <f t="shared" ref="X6:AC6" si="1" ca="1">L6</f>
        <v>Lowe's Companies, Inc.</v>
      </c>
      <c r="Y6" s="843" t="str">
        <f ca="1">M6</f>
        <v>The Home Depot, Inc.</v>
      </c>
      <c r="Z6" s="843" t="str">
        <f ca="1">N6</f>
        <v>Apple</v>
      </c>
      <c r="AA6" s="843" t="str">
        <f ca="1">O6</f>
        <v>Microsoft</v>
      </c>
      <c r="AB6" s="843" t="str">
        <f ca="1">P6</f>
        <v>Broadcom</v>
      </c>
      <c r="AC6" s="843" t="str">
        <f ca="1">Q6</f>
        <v>Disney</v>
      </c>
      <c r="AD6" s="843" t="str">
        <f t="shared" ref="AD6:AI6" si="2" ca="1">L6</f>
        <v>Lowe's Companies, Inc.</v>
      </c>
      <c r="AE6" s="843" t="str">
        <f ca="1">M6</f>
        <v>The Home Depot, Inc.</v>
      </c>
      <c r="AF6" s="843" t="str">
        <f ca="1">N6</f>
        <v>Apple</v>
      </c>
      <c r="AG6" s="843" t="str">
        <f ca="1">O6</f>
        <v>Microsoft</v>
      </c>
      <c r="AH6" s="843" t="str">
        <f ca="1">P6</f>
        <v>Broadcom</v>
      </c>
      <c r="AI6" s="843" t="str">
        <f ca="1">Q6</f>
        <v>Disney</v>
      </c>
      <c r="AJ6" s="16"/>
      <c r="AK6" s="16"/>
      <c r="AL6" s="842" t="str">
        <f ca="1">AD6</f>
        <v>Lowe's Companies, Inc.</v>
      </c>
      <c r="AM6" s="843" t="str">
        <f ca="1">Comparables!I$92</f>
        <v>Raytheon</v>
      </c>
      <c r="AN6" s="843" t="str">
        <f ca="1">Comparables!$I$96</f>
        <v>Boeing</v>
      </c>
      <c r="AO6" s="843" t="str">
        <f ca="1">Comparables!$I$100</f>
        <v>Huntington Ingalls</v>
      </c>
      <c r="AP6" s="843" t="str">
        <f ca="1">Comparables!$I$104</f>
        <v>Lockheed Martin</v>
      </c>
      <c r="AQ6" s="843" t="str">
        <f ca="1">Comparables!$I$108</f>
        <v>Northrop Grumman</v>
      </c>
      <c r="AR6" s="843" t="str">
        <f ca="1">$AL$6</f>
        <v>Lowe's Companies, Inc.</v>
      </c>
      <c r="AS6" s="843" t="str">
        <f t="shared" ref="AS6:AW6" si="3" ca="1">AM6</f>
        <v>Raytheon</v>
      </c>
      <c r="AT6" s="843" t="str">
        <f ca="1">AN6</f>
        <v>Boeing</v>
      </c>
      <c r="AU6" s="843" t="str">
        <f ca="1">AO6</f>
        <v>Huntington Ingalls</v>
      </c>
      <c r="AV6" s="843" t="str">
        <f ca="1">AP6</f>
        <v>Lockheed Martin</v>
      </c>
      <c r="AW6" s="844" t="str">
        <f ca="1">AQ6</f>
        <v>Northrop Grumman</v>
      </c>
      <c r="AX6" s="843" t="s">
        <v>917</v>
      </c>
      <c r="AY6" s="843" t="str">
        <f t="shared" ref="AY6:BC6" si="4" ca="1">AS6</f>
        <v>Raytheon</v>
      </c>
      <c r="AZ6" s="843" t="str">
        <f ca="1">AT6</f>
        <v>Boeing</v>
      </c>
      <c r="BA6" s="843" t="str">
        <f ca="1">AU6</f>
        <v>Huntington Ingalls</v>
      </c>
      <c r="BB6" s="843" t="str">
        <f ca="1">AV6</f>
        <v>Lockheed Martin</v>
      </c>
      <c r="BC6" s="844" t="str">
        <f ca="1">AW6</f>
        <v>Northrop Grumman</v>
      </c>
      <c r="BD6" s="843" t="s">
        <v>917</v>
      </c>
      <c r="BE6" s="843" t="str">
        <f t="shared" ref="BE6:BI6" si="5" ca="1">AY6</f>
        <v>Raytheon</v>
      </c>
      <c r="BF6" s="843" t="str">
        <f ca="1">AZ6</f>
        <v>Boeing</v>
      </c>
      <c r="BG6" s="843" t="str">
        <f ca="1">BA6</f>
        <v>Huntington Ingalls</v>
      </c>
      <c r="BH6" s="843" t="str">
        <f ca="1">BB6</f>
        <v>Lockheed Martin</v>
      </c>
      <c r="BI6" s="844" t="str">
        <f ca="1">BC6</f>
        <v>Northrop Grumman</v>
      </c>
      <c r="BJ6" s="16"/>
      <c r="BK6" s="16"/>
      <c r="BL6" s="842" t="str">
        <f ca="1">BD6</f>
        <v>Lowe's Companies, Inc.</v>
      </c>
      <c r="BM6" s="843" t="str">
        <f ca="1">Comparables!N$92</f>
        <v>3M Company</v>
      </c>
      <c r="BN6" s="843" t="str">
        <f ca="1">Comparables!$N$96</f>
        <v>General Electric</v>
      </c>
      <c r="BO6" s="843" t="str">
        <f ca="1">Comparables!$N$100</f>
        <v>Honeywell</v>
      </c>
      <c r="BP6" s="843" t="str">
        <f ca="1">Comparables!$N$104</f>
        <v>Roper Technologies</v>
      </c>
      <c r="BQ6" s="845" t="str">
        <f ca="1">Comparables!$N$108</f>
        <v>Emerson Electric</v>
      </c>
      <c r="BR6" s="843" t="s">
        <v>917</v>
      </c>
      <c r="BS6" s="843" t="str">
        <f t="shared" ref="BS6:BW6" si="6" ca="1">BM6</f>
        <v>3M Company</v>
      </c>
      <c r="BT6" s="843" t="str">
        <f ca="1">BN6</f>
        <v>General Electric</v>
      </c>
      <c r="BU6" s="843" t="str">
        <f ca="1">BO6</f>
        <v>Honeywell</v>
      </c>
      <c r="BV6" s="843" t="str">
        <f ca="1">BP6</f>
        <v>Roper Technologies</v>
      </c>
      <c r="BW6" s="844" t="str">
        <f ca="1">BQ6</f>
        <v>Emerson Electric</v>
      </c>
      <c r="BX6" s="843" t="str">
        <f ca="1">$BD$6</f>
        <v>Lowe's Companies, Inc.</v>
      </c>
      <c r="BY6" s="843" t="str">
        <f t="shared" ref="BY6:CC6" si="7" ca="1">BS6</f>
        <v>3M Company</v>
      </c>
      <c r="BZ6" s="843" t="str">
        <f ca="1">BT6</f>
        <v>General Electric</v>
      </c>
      <c r="CA6" s="843" t="str">
        <f ca="1">BU6</f>
        <v>Honeywell</v>
      </c>
      <c r="CB6" s="843" t="str">
        <f ca="1">BV6</f>
        <v>Roper Technologies</v>
      </c>
      <c r="CC6" s="844" t="str">
        <f ca="1">BW6</f>
        <v>Emerson Electric</v>
      </c>
      <c r="CD6" s="843" t="str">
        <f ca="1">$BD$6</f>
        <v>Lowe's Companies, Inc.</v>
      </c>
      <c r="CE6" s="843" t="str">
        <f t="shared" ref="CE6:CI6" si="8" ca="1">BY6</f>
        <v>3M Company</v>
      </c>
      <c r="CF6" s="843" t="str">
        <f ca="1">BZ6</f>
        <v>General Electric</v>
      </c>
      <c r="CG6" s="843" t="str">
        <f ca="1">CA6</f>
        <v>Honeywell</v>
      </c>
      <c r="CH6" s="843" t="str">
        <f ca="1">CB6</f>
        <v>Roper Technologies</v>
      </c>
      <c r="CI6" s="844" t="str">
        <f ca="1">CC6</f>
        <v>Emerson Electric</v>
      </c>
    </row>
    <row r="7" ht="14.25" customHeight="1" spans="1:87" x14ac:dyDescent="0.25">
      <c r="A7" s="16"/>
      <c r="B7" s="16"/>
      <c r="C7" s="846" t="s">
        <v>918</v>
      </c>
      <c r="D7" s="846"/>
      <c r="E7" s="846"/>
      <c r="F7" s="846"/>
      <c r="G7" s="846"/>
      <c r="H7" s="846"/>
      <c r="I7" s="84" t="str">
        <f ca="1">LEFT(I6)</f>
        <v>2</v>
      </c>
      <c r="J7" s="16"/>
      <c r="K7" s="84"/>
      <c r="L7" s="842" t="str">
        <f ca="1">Ticker</f>
        <v>LOW</v>
      </c>
      <c r="M7" s="843" t="str">
        <f ca="1">Comparables!$E$93</f>
        <v>HD</v>
      </c>
      <c r="N7" s="843" t="str">
        <f ca="1">Comparables!$E$97</f>
        <v>""</v>
      </c>
      <c r="O7" s="843" t="str">
        <f ca="1">Comparables!$E$101</f>
        <v>""</v>
      </c>
      <c r="P7" s="843" t="str">
        <f ca="1">Comparables!$E$105</f>
        <v>""</v>
      </c>
      <c r="Q7" s="843" t="str">
        <f ca="1">Comparables!$E$109</f>
        <v>""</v>
      </c>
      <c r="R7" s="843" t="str">
        <f t="shared" ref="R7:W7" si="9" ca="1">L7</f>
        <v>LOW</v>
      </c>
      <c r="S7" s="843" t="str">
        <f ca="1">M7</f>
        <v>HD</v>
      </c>
      <c r="T7" s="843" t="str">
        <f ca="1">N7</f>
        <v>""</v>
      </c>
      <c r="U7" s="843" t="str">
        <f ca="1">O7</f>
        <v>""</v>
      </c>
      <c r="V7" s="843" t="str">
        <f ca="1">P7</f>
        <v>""</v>
      </c>
      <c r="W7" s="843" t="str">
        <f ca="1">Q7</f>
        <v>""</v>
      </c>
      <c r="X7" s="843" t="str">
        <f t="shared" ref="X7:AC7" si="10" ca="1">L7</f>
        <v>LOW</v>
      </c>
      <c r="Y7" s="843" t="str">
        <f ca="1">M7</f>
        <v>HD</v>
      </c>
      <c r="Z7" s="843" t="str">
        <f ca="1">N7</f>
        <v>""</v>
      </c>
      <c r="AA7" s="843" t="str">
        <f ca="1">O7</f>
        <v>""</v>
      </c>
      <c r="AB7" s="843" t="str">
        <f ca="1">P7</f>
        <v>""</v>
      </c>
      <c r="AC7" s="843" t="str">
        <f ca="1">Q7</f>
        <v>""</v>
      </c>
      <c r="AD7" s="843" t="str">
        <f t="shared" ref="AD7:AI7" si="11" ca="1">L7</f>
        <v>LOW</v>
      </c>
      <c r="AE7" s="843" t="str">
        <f ca="1">M7</f>
        <v>HD</v>
      </c>
      <c r="AF7" s="843" t="str">
        <f ca="1">N7</f>
        <v>""</v>
      </c>
      <c r="AG7" s="843" t="str">
        <f ca="1">O7</f>
        <v>""</v>
      </c>
      <c r="AH7" s="843" t="str">
        <f ca="1">P7</f>
        <v>""</v>
      </c>
      <c r="AI7" s="843" t="str">
        <f ca="1">Q7</f>
        <v>""</v>
      </c>
      <c r="AJ7" s="16"/>
      <c r="AK7" s="16"/>
      <c r="AL7" s="842" t="str">
        <f ca="1">Ticker</f>
        <v>LOW</v>
      </c>
      <c r="AM7" s="843" t="str">
        <f ca="1">Comparables!$I$93</f>
        <v>RTX</v>
      </c>
      <c r="AN7" s="843" t="str">
        <f ca="1">Comparables!$I$97</f>
        <v>BA</v>
      </c>
      <c r="AO7" s="843" t="str">
        <f ca="1">Comparables!$I$101</f>
        <v>HII</v>
      </c>
      <c r="AP7" s="843" t="str">
        <f ca="1">Comparables!$I$105</f>
        <v>LMT</v>
      </c>
      <c r="AQ7" s="843" t="str">
        <f ca="1">Comparables!$I$109</f>
        <v>NOC</v>
      </c>
      <c r="AR7" s="843" t="str">
        <f ca="1">$AL$7</f>
        <v>LOW</v>
      </c>
      <c r="AS7" s="843" t="str">
        <f t="shared" ref="AS7:AW7" si="12" ca="1">AM7</f>
        <v>RTX</v>
      </c>
      <c r="AT7" s="843" t="str">
        <f ca="1">AN7</f>
        <v>BA</v>
      </c>
      <c r="AU7" s="843" t="str">
        <f ca="1">AO7</f>
        <v>HII</v>
      </c>
      <c r="AV7" s="843" t="str">
        <f ca="1">AP7</f>
        <v>LMT</v>
      </c>
      <c r="AW7" s="845" t="str">
        <f ca="1">AQ7</f>
        <v>NOC</v>
      </c>
      <c r="AX7" s="843" t="s">
        <v>501</v>
      </c>
      <c r="AY7" s="843" t="str">
        <f t="shared" ref="AY7:BC7" si="13" ca="1">AS7</f>
        <v>RTX</v>
      </c>
      <c r="AZ7" s="843" t="str">
        <f ca="1">AT7</f>
        <v>BA</v>
      </c>
      <c r="BA7" s="843" t="str">
        <f ca="1">AU7</f>
        <v>HII</v>
      </c>
      <c r="BB7" s="843" t="str">
        <f ca="1">AV7</f>
        <v>LMT</v>
      </c>
      <c r="BC7" s="845" t="str">
        <f ca="1">AW7</f>
        <v>NOC</v>
      </c>
      <c r="BD7" s="843" t="s">
        <v>501</v>
      </c>
      <c r="BE7" s="843" t="str">
        <f t="shared" ref="BE7:BI7" si="14" ca="1">AY7</f>
        <v>RTX</v>
      </c>
      <c r="BF7" s="843" t="str">
        <f ca="1">AZ7</f>
        <v>BA</v>
      </c>
      <c r="BG7" s="843" t="str">
        <f ca="1">BA7</f>
        <v>HII</v>
      </c>
      <c r="BH7" s="843" t="str">
        <f ca="1">BB7</f>
        <v>LMT</v>
      </c>
      <c r="BI7" s="845" t="str">
        <f ca="1">BC7</f>
        <v>NOC</v>
      </c>
      <c r="BJ7" s="16"/>
      <c r="BK7" s="16"/>
      <c r="BL7" s="842" t="str">
        <f ca="1">Ticker</f>
        <v>LOW</v>
      </c>
      <c r="BM7" s="843" t="str">
        <f ca="1">Comparables!$N$93</f>
        <v>MMM</v>
      </c>
      <c r="BN7" s="843" t="str">
        <f ca="1">Comparables!$N$97</f>
        <v>GE</v>
      </c>
      <c r="BO7" s="843" t="str">
        <f ca="1">Comparables!$N$101</f>
        <v>HON</v>
      </c>
      <c r="BP7" s="843" t="str">
        <f ca="1">Comparables!$N$105</f>
        <v>ROP</v>
      </c>
      <c r="BQ7" s="845" t="str">
        <f ca="1">Comparables!$N$109</f>
        <v>EMR</v>
      </c>
      <c r="BR7" s="843" t="s">
        <v>501</v>
      </c>
      <c r="BS7" s="843" t="str">
        <f t="shared" ref="BS7:BW7" si="15" ca="1">BM7</f>
        <v>MMM</v>
      </c>
      <c r="BT7" s="843" t="str">
        <f ca="1">BN7</f>
        <v>GE</v>
      </c>
      <c r="BU7" s="843" t="str">
        <f ca="1">BO7</f>
        <v>HON</v>
      </c>
      <c r="BV7" s="843" t="str">
        <f ca="1">BP7</f>
        <v>ROP</v>
      </c>
      <c r="BW7" s="845" t="str">
        <f ca="1">BQ7</f>
        <v>EMR</v>
      </c>
      <c r="BX7" s="843" t="str">
        <f ca="1">$BD$7</f>
        <v>LOW</v>
      </c>
      <c r="BY7" s="843" t="str">
        <f t="shared" ref="BY7:CC7" si="16" ca="1">BS7</f>
        <v>MMM</v>
      </c>
      <c r="BZ7" s="843" t="str">
        <f ca="1">BT7</f>
        <v>GE</v>
      </c>
      <c r="CA7" s="843" t="str">
        <f ca="1">BU7</f>
        <v>HON</v>
      </c>
      <c r="CB7" s="843" t="str">
        <f ca="1">BV7</f>
        <v>ROP</v>
      </c>
      <c r="CC7" s="845" t="str">
        <f ca="1">BW7</f>
        <v>EMR</v>
      </c>
      <c r="CD7" s="843" t="str">
        <f ca="1">$BD$7</f>
        <v>LOW</v>
      </c>
      <c r="CE7" s="843" t="str">
        <f t="shared" ref="CE7:CI7" si="17" ca="1">BY7</f>
        <v>MMM</v>
      </c>
      <c r="CF7" s="843" t="str">
        <f ca="1">BZ7</f>
        <v>GE</v>
      </c>
      <c r="CG7" s="843" t="str">
        <f ca="1">CA7</f>
        <v>HON</v>
      </c>
      <c r="CH7" s="843" t="str">
        <f ca="1">CB7</f>
        <v>ROP</v>
      </c>
      <c r="CI7" s="845" t="str">
        <f ca="1">CC7</f>
        <v>EMR</v>
      </c>
    </row>
    <row r="8" ht="14.25" customHeight="1" spans="1:87" x14ac:dyDescent="0.25">
      <c r="A8" s="16"/>
      <c r="B8" s="16"/>
      <c r="C8" s="84"/>
      <c r="D8" s="16"/>
      <c r="E8" s="84" t="s">
        <v>913</v>
      </c>
      <c r="F8" s="84" t="s">
        <v>914</v>
      </c>
      <c r="G8" s="84" t="s">
        <v>915</v>
      </c>
      <c r="H8" s="84" t="s">
        <v>916</v>
      </c>
      <c r="I8" s="84">
        <f ca="1">IF(I7="1",4,I7-1)</f>
        <v>1</v>
      </c>
      <c r="J8" s="641">
        <v>2004</v>
      </c>
      <c r="K8" s="345" t="str">
        <f t="shared" ref="K8:K85" si="18" ca="1">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 ca="1">$K8</f>
        <v>1Q04</v>
      </c>
      <c r="AL8" s="847">
        <f t="shared" ref="AL8:AL84" si="20" ca="1">L8</f>
        <v>31.0959</v>
      </c>
      <c r="AM8" s="778">
        <v>31.6373624508615</v>
      </c>
      <c r="AN8" s="778">
        <v>57.3242799255251</v>
      </c>
      <c r="AO8" s="778">
        <v>29.5323741007194</v>
      </c>
      <c r="AP8" s="778">
        <v>19.8206751054852</v>
      </c>
      <c r="AQ8" s="848"/>
      <c r="AR8" s="847">
        <f t="shared" ref="AR8:AR84" si="21" ca="1">R8</f>
        <v>26.8322</v>
      </c>
      <c r="AS8" s="778">
        <v>24.1628199748217</v>
      </c>
      <c r="AT8" s="778">
        <v>15.5671617478749</v>
      </c>
      <c r="AU8" s="778">
        <v>19.4273544723142</v>
      </c>
      <c r="AV8" s="778">
        <v>18.1932610379551</v>
      </c>
      <c r="AW8" s="848"/>
      <c r="AX8" s="847">
        <f t="shared" ref="AX8:AX84" si="22" ca="1">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 ca="1">$K8</f>
        <v>1Q04</v>
      </c>
      <c r="BL8" s="847">
        <f t="shared" ref="BL8:BL84" si="24" ca="1">AL8</f>
        <v>31.0959</v>
      </c>
      <c r="BM8" s="778">
        <v>24.0889830508475</v>
      </c>
      <c r="BN8" s="778">
        <v>198.04347826087</v>
      </c>
      <c r="BO8" s="778">
        <v>24.6567570429574</v>
      </c>
      <c r="BP8" s="778">
        <v>18.3081071668037</v>
      </c>
      <c r="BQ8" s="848">
        <v>18.3663366336634</v>
      </c>
      <c r="BR8" s="847">
        <f t="shared" ref="BR8:BR84" si="25" ca="1">AR8</f>
        <v>26.8322</v>
      </c>
      <c r="BS8" s="778">
        <v>21.3400900900901</v>
      </c>
      <c r="BT8" s="778">
        <v>59.3098958333333</v>
      </c>
      <c r="BU8" s="778">
        <v>21.8971197871046</v>
      </c>
      <c r="BV8" s="778">
        <v>15.6499713324482</v>
      </c>
      <c r="BW8" s="848">
        <v>17.2077922077922</v>
      </c>
      <c r="BX8" s="847">
        <f t="shared" ref="BX8:BX84" si="26" ca="1">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887</v>
      </c>
      <c r="D9" s="16"/>
      <c r="E9" s="724">
        <f ca="1">AVERAGE(L81:L86)</f>
        <v>19.53543333333333</v>
      </c>
      <c r="F9" s="724">
        <f ca="1">AVERAGE(R81:R86)</f>
        <v>18.597966666666668</v>
      </c>
      <c r="G9" s="724">
        <f ca="1">AVERAGE(X81:X86)</f>
        <v>13.0505</v>
      </c>
      <c r="H9" s="724">
        <f ca="1">AVERAGE(AD81:AD86)</f>
        <v>12.3564</v>
      </c>
      <c r="I9" s="84">
        <f ca="1">IF(I8=4,1,I8+1)</f>
        <v>2</v>
      </c>
      <c r="J9" s="5">
        <f t="shared" ref="J9:J85" si="27" ca="1">IF(I9=1,J8+1,J8)</f>
        <v>2004</v>
      </c>
      <c r="K9" s="345" t="str">
        <f ca="1">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 ca="1">$K9</f>
        <v>2Q04</v>
      </c>
      <c r="AL9" s="847">
        <f ca="1">L9</f>
        <v>25.3988</v>
      </c>
      <c r="AM9" s="778">
        <v>33.7378642338589</v>
      </c>
      <c r="AN9" s="778">
        <v>65.2061273977061</v>
      </c>
      <c r="AO9" s="778">
        <v>25.3105590062112</v>
      </c>
      <c r="AP9" s="778">
        <v>21.4415322786777</v>
      </c>
      <c r="AQ9" s="848"/>
      <c r="AR9" s="847">
        <f ca="1">R9</f>
        <v>23.6842</v>
      </c>
      <c r="AS9" s="778">
        <v>27.5903136165145</v>
      </c>
      <c r="AT9" s="778">
        <v>17.0317268699309</v>
      </c>
      <c r="AU9" s="778">
        <v>18.7442502299908</v>
      </c>
      <c r="AV9" s="778">
        <v>20.4048349961627</v>
      </c>
      <c r="AW9" s="848"/>
      <c r="AX9" s="847">
        <f ca="1">X9</f>
        <v>11.6632</v>
      </c>
      <c r="AY9" s="778">
        <v>15.4589819476129</v>
      </c>
      <c r="AZ9" s="778">
        <v>9.63156595976785</v>
      </c>
      <c r="BA9" s="778">
        <v>16.5102450531201</v>
      </c>
      <c r="BB9" s="778">
        <v>12.6637918478585</v>
      </c>
      <c r="BC9" s="848">
        <v>10.5788759046551</v>
      </c>
      <c r="BD9" s="847"/>
      <c r="BE9" s="778"/>
      <c r="BF9" s="778"/>
      <c r="BG9" s="778"/>
      <c r="BH9" s="778"/>
      <c r="BI9" s="848"/>
      <c r="BJ9" s="16"/>
      <c r="BK9" s="345" t="str">
        <f ca="1">$K9</f>
        <v>2Q04</v>
      </c>
      <c r="BL9" s="847">
        <f ca="1">AL9</f>
        <v>25.3988</v>
      </c>
      <c r="BM9" s="778">
        <v>22.662037037037</v>
      </c>
      <c r="BN9" s="778">
        <v>171.071428571429</v>
      </c>
      <c r="BO9" s="778">
        <v>18.4929491192053</v>
      </c>
      <c r="BP9" s="778">
        <v>16.8537918862423</v>
      </c>
      <c r="BQ9" s="848">
        <v>16.5206812652068</v>
      </c>
      <c r="BR9" s="847">
        <f ca="1">AR9</f>
        <v>23.6842</v>
      </c>
      <c r="BS9" s="778">
        <v>19.6271050521251</v>
      </c>
      <c r="BT9" s="778">
        <v>55.4398148148148</v>
      </c>
      <c r="BU9" s="778">
        <v>16.8829221100363</v>
      </c>
      <c r="BV9" s="778">
        <v>14.3390533790604</v>
      </c>
      <c r="BW9" s="848">
        <v>15.68853974122</v>
      </c>
      <c r="BX9" s="847">
        <f ca="1">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889</v>
      </c>
      <c r="D10" s="16"/>
      <c r="E10" s="724">
        <f ca="1">AVERAGE(L77:L86)</f>
        <v>19.24751</v>
      </c>
      <c r="F10" s="724">
        <f ca="1">AVERAGE(R77:R86)</f>
        <v>18.62513</v>
      </c>
      <c r="G10" s="724">
        <f ca="1">AVERAGE(X77:X86)</f>
        <v>13.67243</v>
      </c>
      <c r="H10" s="724">
        <f ca="1">AVERAGE(AD77:AD86)</f>
        <v>12.432619999999998</v>
      </c>
      <c r="I10" s="84">
        <f ca="1">IF(I9+1=5,1,I9+1)</f>
        <v>3</v>
      </c>
      <c r="J10" s="5">
        <f ca="1">IF(I10=1,J9+1,J9)</f>
        <v>2004</v>
      </c>
      <c r="K10" s="345" t="str">
        <f ca="1">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 ca="1">$K10</f>
        <v>3Q04</v>
      </c>
      <c r="AL10" s="847">
        <f ca="1">L10</f>
        <v>21.5517</v>
      </c>
      <c r="AM10" s="778">
        <v>28.2401745548824</v>
      </c>
      <c r="AN10" s="778">
        <v>61.5214753802231</v>
      </c>
      <c r="AO10" s="778">
        <v>15.668449197861</v>
      </c>
      <c r="AP10" s="778">
        <v>15.6403846153846</v>
      </c>
      <c r="AQ10" s="848"/>
      <c r="AR10" s="847">
        <f ca="1">R10</f>
        <v>21.0438</v>
      </c>
      <c r="AS10" s="778">
        <v>25.4606299212598</v>
      </c>
      <c r="AT10" s="778">
        <v>17.2111267537473</v>
      </c>
      <c r="AU10" s="778">
        <v>13.5710977304308</v>
      </c>
      <c r="AV10" s="778">
        <v>15.6947124662293</v>
      </c>
      <c r="AW10" s="848"/>
      <c r="AX10" s="847">
        <f ca="1">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 ca="1">$K10</f>
        <v>3Q04</v>
      </c>
      <c r="BL10" s="847">
        <f ca="1">AL10</f>
        <v>21.5517</v>
      </c>
      <c r="BM10" s="778">
        <v>17.0733944954128</v>
      </c>
      <c r="BN10" s="778">
        <v>77.0338983050848</v>
      </c>
      <c r="BO10" s="778">
        <v>14.9024195031447</v>
      </c>
      <c r="BP10" s="778">
        <v>10.058718431346</v>
      </c>
      <c r="BQ10" s="848">
        <v>13.45</v>
      </c>
      <c r="BR10" s="847">
        <f ca="1">AR10</f>
        <v>21.0438</v>
      </c>
      <c r="BS10" s="778">
        <v>18.3711747285291</v>
      </c>
      <c r="BT10" s="778">
        <v>42.6360225140713</v>
      </c>
      <c r="BU10" s="778">
        <v>14.3954113061968</v>
      </c>
      <c r="BV10" s="778">
        <v>10.177874029743</v>
      </c>
      <c r="BW10" s="848">
        <v>12.8503184713376</v>
      </c>
      <c r="BX10" s="847">
        <f ca="1">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884</v>
      </c>
      <c r="D11" s="16"/>
      <c r="E11" s="724">
        <f ca="1">AVERAGE(L73:L86)</f>
        <v>19.09469285714286</v>
      </c>
      <c r="F11" s="724">
        <f ca="1">AVERAGE(R73:R86)</f>
        <v>18.758692857142854</v>
      </c>
      <c r="G11" s="724">
        <f ca="1">AVERAGE(X73:X86)</f>
        <v>14.044407142857143</v>
      </c>
      <c r="H11" s="724">
        <f ca="1">AVERAGE(AD73:AD86)</f>
        <v>12.439849999999998</v>
      </c>
      <c r="I11" s="84">
        <f ca="1">IF(I10=4,1,I10+1)</f>
        <v>4</v>
      </c>
      <c r="J11" s="5">
        <f ca="1">IF(I11=1,J10+1,J10)</f>
        <v>2004</v>
      </c>
      <c r="K11" s="345" t="str">
        <f ca="1">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 ca="1">$K11</f>
        <v>4Q04</v>
      </c>
      <c r="AL11" s="847">
        <f ca="1">L11</f>
        <v>21.9462</v>
      </c>
      <c r="AM11" s="778">
        <v>22.470817037238</v>
      </c>
      <c r="AN11" s="778">
        <v>38.2756671232394</v>
      </c>
      <c r="AO11" s="778">
        <v>16.6216216216216</v>
      </c>
      <c r="AP11" s="778">
        <v>15.0037807183365</v>
      </c>
      <c r="AQ11" s="848"/>
      <c r="AR11" s="847">
        <f ca="1">R11</f>
        <v>18.6053</v>
      </c>
      <c r="AS11" s="778">
        <v>22.6470588235294</v>
      </c>
      <c r="AT11" s="778">
        <v>14.7843172547043</v>
      </c>
      <c r="AU11" s="778">
        <v>14.5047169811321</v>
      </c>
      <c r="AV11" s="778">
        <v>15.3283120896099</v>
      </c>
      <c r="AW11" s="848"/>
      <c r="AX11" s="847">
        <f ca="1">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 ca="1">$K11</f>
        <v>4Q04</v>
      </c>
      <c r="BL11" s="847">
        <f ca="1">AL11</f>
        <v>21.9462</v>
      </c>
      <c r="BM11" s="778">
        <v>19.8782608695652</v>
      </c>
      <c r="BN11" s="778">
        <v>33.7132352941176</v>
      </c>
      <c r="BO11" s="778">
        <v>15.5009745629139</v>
      </c>
      <c r="BP11" s="778">
        <v>11.424029243357</v>
      </c>
      <c r="BQ11" s="848">
        <v>14.0772727272727</v>
      </c>
      <c r="BR11" s="847">
        <f ca="1">AR11</f>
        <v>18.6053</v>
      </c>
      <c r="BS11" s="778">
        <v>21.8546845124283</v>
      </c>
      <c r="BT11" s="778">
        <v>19.3623310810811</v>
      </c>
      <c r="BU11" s="778">
        <v>15.470238988764</v>
      </c>
      <c r="BV11" s="778">
        <v>11.4012267897774</v>
      </c>
      <c r="BW11" s="848">
        <v>14.0581025873808</v>
      </c>
      <c r="BX11" s="847">
        <f ca="1">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890</v>
      </c>
      <c r="D12" s="16"/>
      <c r="E12" s="724">
        <f ca="1">AVERAGE(L65:L86)</f>
        <v>19.295113636363638</v>
      </c>
      <c r="F12" s="724">
        <f ca="1">AVERAGE(R65:R86)</f>
        <v>18.396150000000002</v>
      </c>
      <c r="G12" s="724">
        <f ca="1">AVERAGE(X65:X86)</f>
        <v>12.976963636363633</v>
      </c>
      <c r="H12" s="724">
        <f ca="1">AVERAGE(AD65:AD86)</f>
        <v>11.666890909090908</v>
      </c>
      <c r="I12" s="84">
        <f ca="1">I8</f>
        <v>1</v>
      </c>
      <c r="J12" s="5">
        <f ca="1">IF(I12=1,J11+1,J11)</f>
        <v>2005</v>
      </c>
      <c r="K12" s="345" t="str">
        <f ca="1">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 ca="1">$K12</f>
        <v>1Q05</v>
      </c>
      <c r="AL12" s="847">
        <f ca="1">L12</f>
        <v>22.3698</v>
      </c>
      <c r="AM12" s="778">
        <v>18.1488548131938</v>
      </c>
      <c r="AN12" s="778">
        <v>13.8276219685405</v>
      </c>
      <c r="AO12" s="778">
        <v>16.2114285714286</v>
      </c>
      <c r="AP12" s="778">
        <v>10.4695817490494</v>
      </c>
      <c r="AQ12" s="848"/>
      <c r="AR12" s="847">
        <f ca="1">R12</f>
        <v>19.6119</v>
      </c>
      <c r="AS12" s="778">
        <v>21.5940054495913</v>
      </c>
      <c r="AT12" s="778">
        <v>20.1751850233281</v>
      </c>
      <c r="AU12" s="778">
        <v>16.4559164733179</v>
      </c>
      <c r="AV12" s="778">
        <v>10.9352660841938</v>
      </c>
      <c r="AW12" s="848"/>
      <c r="AX12" s="847">
        <f ca="1">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 ca="1">$K12</f>
        <v>1Q05</v>
      </c>
      <c r="BL12" s="847">
        <f ca="1">AL12</f>
        <v>22.3698</v>
      </c>
      <c r="BM12" s="778">
        <v>20.1639344262295</v>
      </c>
      <c r="BN12" s="778">
        <v>21.8111111111111</v>
      </c>
      <c r="BO12" s="778">
        <v>16.5621018243243</v>
      </c>
      <c r="BP12" s="778">
        <v>10.8742096541045</v>
      </c>
      <c r="BQ12" s="848">
        <v>12.84</v>
      </c>
      <c r="BR12" s="847">
        <f ca="1">AR12</f>
        <v>19.6119</v>
      </c>
      <c r="BS12" s="778">
        <v>21.8278615794144</v>
      </c>
      <c r="BT12" s="778">
        <v>16.523569023569</v>
      </c>
      <c r="BU12" s="778">
        <v>15.2532113876789</v>
      </c>
      <c r="BV12" s="778">
        <v>12.4524017471987</v>
      </c>
      <c r="BW12" s="848">
        <v>12.3093310609288</v>
      </c>
      <c r="BX12" s="847">
        <f ca="1">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919</v>
      </c>
      <c r="D13" s="846"/>
      <c r="E13" s="846"/>
      <c r="F13" s="846"/>
      <c r="G13" s="846"/>
      <c r="H13" s="846"/>
      <c r="I13" s="84">
        <f ca="1">IF(I12=4,1,I12+1)</f>
        <v>2</v>
      </c>
      <c r="J13" s="5">
        <f ca="1">IF(I13=1,J12+1,J12)</f>
        <v>2005</v>
      </c>
      <c r="K13" s="345" t="str">
        <f ca="1">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 ca="1">$K13</f>
        <v>2Q05</v>
      </c>
      <c r="AL13" s="847">
        <f ca="1">L13</f>
        <v>25.1942</v>
      </c>
      <c r="AM13" s="778">
        <v>18.0189389708436</v>
      </c>
      <c r="AN13" s="778">
        <v>14.3659743500337</v>
      </c>
      <c r="AO13" s="778">
        <v>20.1472392638037</v>
      </c>
      <c r="AP13" s="778">
        <v>14.1050583657588</v>
      </c>
      <c r="AQ13" s="848"/>
      <c r="AR13" s="847">
        <f ca="1">R13</f>
        <v>22.7432</v>
      </c>
      <c r="AS13" s="778">
        <v>20.6736201651456</v>
      </c>
      <c r="AT13" s="778">
        <v>19.4244121565757</v>
      </c>
      <c r="AU13" s="778">
        <v>18.9607390300231</v>
      </c>
      <c r="AV13" s="778">
        <v>14.9054276315789</v>
      </c>
      <c r="AW13" s="848"/>
      <c r="AX13" s="847">
        <f ca="1">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 ca="1">$K13</f>
        <v>2Q05</v>
      </c>
      <c r="BL13" s="847">
        <f ca="1">AL13</f>
        <v>25.1942</v>
      </c>
      <c r="BM13" s="778">
        <v>18.4916943521595</v>
      </c>
      <c r="BN13" s="778">
        <v>20.0438596491228</v>
      </c>
      <c r="BO13" s="778">
        <v>19.4145705295775</v>
      </c>
      <c r="BP13" s="778">
        <v>15.1250091313676</v>
      </c>
      <c r="BQ13" s="848">
        <v>15.635761589404</v>
      </c>
      <c r="BR13" s="847">
        <f ca="1">AR13</f>
        <v>22.7432</v>
      </c>
      <c r="BS13" s="778">
        <v>24.4982394366197</v>
      </c>
      <c r="BT13" s="778">
        <v>19.6643717728055</v>
      </c>
      <c r="BU13" s="778">
        <v>17.2844452363636</v>
      </c>
      <c r="BV13" s="778">
        <v>16.4381128180137</v>
      </c>
      <c r="BW13" s="848">
        <v>15.2914507772021</v>
      </c>
      <c r="BX13" s="847">
        <f ca="1">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913</v>
      </c>
      <c r="F14" s="84" t="s">
        <v>914</v>
      </c>
      <c r="G14" s="84" t="s">
        <v>915</v>
      </c>
      <c r="H14" s="84" t="s">
        <v>916</v>
      </c>
      <c r="I14" s="84">
        <f ca="1">IF(I13+1=5,1,I13+1)</f>
        <v>3</v>
      </c>
      <c r="J14" s="5">
        <f ca="1">IF(I14=1,J13+1,J13)</f>
        <v>2005</v>
      </c>
      <c r="K14" s="345" t="str">
        <f ca="1">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 ca="1">$K14</f>
        <v>3Q05</v>
      </c>
      <c r="AL14" s="847">
        <f ca="1">L14</f>
        <v>25.4083</v>
      </c>
      <c r="AM14" s="778">
        <v>17.4810601955945</v>
      </c>
      <c r="AN14" s="778">
        <v>15.5222617083941</v>
      </c>
      <c r="AO14" s="778">
        <v>18.6666666666667</v>
      </c>
      <c r="AP14" s="778">
        <v>15.4574257425743</v>
      </c>
      <c r="AQ14" s="848"/>
      <c r="AR14" s="847">
        <f ca="1">R14</f>
        <v>23.793</v>
      </c>
      <c r="AS14" s="778">
        <v>19.7559931506849</v>
      </c>
      <c r="AT14" s="778">
        <v>18.1815152343096</v>
      </c>
      <c r="AU14" s="778">
        <v>16.1476355247982</v>
      </c>
      <c r="AV14" s="778">
        <v>15.7315598548972</v>
      </c>
      <c r="AW14" s="848"/>
      <c r="AX14" s="847">
        <f ca="1">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 ca="1">$K14</f>
        <v>3Q05</v>
      </c>
      <c r="BL14" s="847">
        <f ca="1">AL14</f>
        <v>25.4083</v>
      </c>
      <c r="BM14" s="778">
        <v>21.9936102236422</v>
      </c>
      <c r="BN14" s="778">
        <v>19.817843866171</v>
      </c>
      <c r="BO14" s="778">
        <v>20.3226270304026</v>
      </c>
      <c r="BP14" s="778">
        <v>15.7768957317849</v>
      </c>
      <c r="BQ14" s="848">
        <v>16.8366013071895</v>
      </c>
      <c r="BR14" s="847">
        <f ca="1">AR14</f>
        <v>23.793</v>
      </c>
      <c r="BS14" s="778">
        <v>22.0499679692505</v>
      </c>
      <c r="BT14" s="778">
        <v>20.9222919937206</v>
      </c>
      <c r="BU14" s="778">
        <v>18.2631639477374</v>
      </c>
      <c r="BV14" s="778">
        <v>15.9982552382258</v>
      </c>
      <c r="BW14" s="848">
        <v>16.6122098022356</v>
      </c>
      <c r="BX14" s="847">
        <f ca="1">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920</v>
      </c>
      <c r="D15" s="16"/>
      <c r="E15" s="724">
        <f ca="1">AVERAGE(L8:L75)</f>
        <v>19.79816153846154</v>
      </c>
      <c r="F15" s="724">
        <f ca="1">AVERAGE(R8:R75)</f>
        <v>18.242857352941172</v>
      </c>
      <c r="G15" s="724">
        <f ca="1">AVERAGE(X8:X75)</f>
        <v>9.726156923076925</v>
      </c>
      <c r="H15" s="724">
        <f ca="1">AVERAGE(AD8:AD75)</f>
        <v>8.828614545454545</v>
      </c>
      <c r="I15" s="84">
        <f ca="1">IF(I14=4,1,I14+1)</f>
        <v>4</v>
      </c>
      <c r="J15" s="5">
        <f ca="1">IF(I15=1,J14+1,J14)</f>
        <v>2005</v>
      </c>
      <c r="K15" s="345" t="str">
        <f ca="1">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 ca="1">$K15</f>
        <v>4Q05</v>
      </c>
      <c r="AL15" s="847">
        <f ca="1">L15</f>
        <v>24.8363</v>
      </c>
      <c r="AM15" s="778">
        <v>20.0781245138205</v>
      </c>
      <c r="AN15" s="778">
        <v>19.3154136802241</v>
      </c>
      <c r="AO15" s="778">
        <v>17.8809523809524</v>
      </c>
      <c r="AP15" s="778">
        <v>18.0419162535235</v>
      </c>
      <c r="AQ15" s="848"/>
      <c r="AR15" s="847">
        <f ca="1">R15</f>
        <v>21.1492</v>
      </c>
      <c r="AS15" s="778">
        <v>22.1075268817204</v>
      </c>
      <c r="AT15" s="778">
        <v>20.1782706468125</v>
      </c>
      <c r="AU15" s="778">
        <v>22.7059712773999</v>
      </c>
      <c r="AV15" s="778">
        <v>18.1287605294826</v>
      </c>
      <c r="AW15" s="848"/>
      <c r="AX15" s="847">
        <f ca="1">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 ca="1">$K15</f>
        <v>4Q05</v>
      </c>
      <c r="BL15" s="847">
        <f ca="1">AL15</f>
        <v>24.8363</v>
      </c>
      <c r="BM15" s="778">
        <v>25.7826086956522</v>
      </c>
      <c r="BN15" s="778">
        <v>24.6401515151515</v>
      </c>
      <c r="BO15" s="778">
        <v>19.2126246822476</v>
      </c>
      <c r="BP15" s="778">
        <v>20.1426844728599</v>
      </c>
      <c r="BQ15" s="848">
        <v>20.2068230277186</v>
      </c>
      <c r="BR15" s="847">
        <f ca="1">AR15</f>
        <v>21.1492</v>
      </c>
      <c r="BS15" s="778">
        <v>26.7117117117117</v>
      </c>
      <c r="BT15" s="778">
        <v>18.6603557085485</v>
      </c>
      <c r="BU15" s="778">
        <v>19.1878662190722</v>
      </c>
      <c r="BV15" s="778">
        <v>20.4796920637829</v>
      </c>
      <c r="BW15" s="848">
        <v>20.3281853281853</v>
      </c>
      <c r="BX15" s="847">
        <f ca="1">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921</v>
      </c>
      <c r="D16" s="16"/>
      <c r="E16" s="724">
        <f t="shared" ref="E16:H16" si="28" ca="1">AVERAGE(E20,E24)</f>
        <v>20.521407291666662</v>
      </c>
      <c r="F16" s="724">
        <f ca="1">AVERAGE(F20,F24)</f>
        <v>18.89432708333333</v>
      </c>
      <c r="G16" s="724">
        <f ca="1">AVERAGE(G20,G24)</f>
        <v>9.275228125</v>
      </c>
      <c r="H16" s="724">
        <f ca="1">AVERAGE(H20,H24)</f>
        <v>3.7041437499999996</v>
      </c>
      <c r="I16" s="84">
        <f ca="1">I12</f>
        <v>1</v>
      </c>
      <c r="J16" s="5">
        <f ca="1">IF(I16=1,J15+1,J15)</f>
        <v>2006</v>
      </c>
      <c r="K16" s="345" t="str">
        <f ca="1">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 ca="1">$K16</f>
        <v>1Q06</v>
      </c>
      <c r="AL16" s="847">
        <f ca="1">L16</f>
        <v>22.5536</v>
      </c>
      <c r="AM16" s="778">
        <v>17.1578944138873</v>
      </c>
      <c r="AN16" s="778">
        <v>17.964677885176</v>
      </c>
      <c r="AO16" s="778">
        <v>18.9939393939394</v>
      </c>
      <c r="AP16" s="778">
        <v>17.8303394062093</v>
      </c>
      <c r="AQ16" s="848"/>
      <c r="AR16" s="847">
        <f ca="1">R16</f>
        <v>19.3199</v>
      </c>
      <c r="AS16" s="778">
        <v>18.0466587584025</v>
      </c>
      <c r="AT16" s="778">
        <v>15.2884330339041</v>
      </c>
      <c r="AU16" s="778">
        <v>24.2007722007722</v>
      </c>
      <c r="AV16" s="778">
        <v>15.9574848160057</v>
      </c>
      <c r="AW16" s="848"/>
      <c r="AX16" s="847">
        <f ca="1">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 ca="1">$K16</f>
        <v>1Q06</v>
      </c>
      <c r="BL16" s="847">
        <f ca="1">AL16</f>
        <v>22.5536</v>
      </c>
      <c r="BM16" s="778">
        <v>19.7182044887781</v>
      </c>
      <c r="BN16" s="778">
        <v>22.7993421052632</v>
      </c>
      <c r="BO16" s="778">
        <v>18.9273500743124</v>
      </c>
      <c r="BP16" s="778">
        <v>19.8921496855779</v>
      </c>
      <c r="BQ16" s="848">
        <v>18.0543933054393</v>
      </c>
      <c r="BR16" s="847">
        <f ca="1">AR16</f>
        <v>19.3199</v>
      </c>
      <c r="BS16" s="778">
        <v>17.7845254161044</v>
      </c>
      <c r="BT16" s="778">
        <v>17.2756729810568</v>
      </c>
      <c r="BU16" s="778">
        <v>18.6981470541746</v>
      </c>
      <c r="BV16" s="778">
        <v>21.0760513346214</v>
      </c>
      <c r="BW16" s="848">
        <v>16.5515918680476</v>
      </c>
      <c r="BX16" s="847">
        <f ca="1">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922</v>
      </c>
      <c r="D17" s="16"/>
      <c r="E17" s="724">
        <f t="shared" ref="E17:H17" si="29" ca="1">AVERAGE(E21,E25)</f>
        <v>20.795365625</v>
      </c>
      <c r="F17" s="724">
        <f ca="1">AVERAGE(F21,F25)</f>
        <v>18.852084374999997</v>
      </c>
      <c r="G17" s="724">
        <f ca="1">AVERAGE(G21,G25)</f>
        <v>9.887566666666665</v>
      </c>
      <c r="H17" s="724">
        <f ca="1">AVERAGE(H21,H25)</f>
        <v>8.968177232142857</v>
      </c>
      <c r="I17" s="84">
        <f ca="1">IF(I16=4,1,I16+1)</f>
        <v>2</v>
      </c>
      <c r="J17" s="5">
        <f ca="1">IF(I17=1,J16+1,J16)</f>
        <v>2006</v>
      </c>
      <c r="K17" s="345" t="str">
        <f ca="1">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 ca="1">$K17</f>
        <v>2Q06</v>
      </c>
      <c r="AL17" s="847">
        <f ca="1">L17</f>
        <v>21.8273</v>
      </c>
      <c r="AM17" s="778">
        <v>19.1470584543003</v>
      </c>
      <c r="AN17" s="778">
        <v>18.700749834615</v>
      </c>
      <c r="AO17" s="778">
        <v>22.6392405063291</v>
      </c>
      <c r="AP17" s="778">
        <v>19.0229884014843</v>
      </c>
      <c r="AQ17" s="848">
        <v>24.9147727272727</v>
      </c>
      <c r="AR17" s="847">
        <f ca="1">R17</f>
        <v>20.0999</v>
      </c>
      <c r="AS17" s="778">
        <v>19.7272727272727</v>
      </c>
      <c r="AT17" s="778">
        <v>16.5025248069106</v>
      </c>
      <c r="AU17" s="778">
        <v>26.4375461936438</v>
      </c>
      <c r="AV17" s="778">
        <v>17.1621154510888</v>
      </c>
      <c r="AW17" s="848"/>
      <c r="AX17" s="847">
        <f ca="1">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 ca="1">$K17</f>
        <v>2Q06</v>
      </c>
      <c r="BL17" s="847">
        <f ca="1">AL17</f>
        <v>21.8273</v>
      </c>
      <c r="BM17" s="778">
        <v>18.0136054421769</v>
      </c>
      <c r="BN17" s="778">
        <v>18.2181818181818</v>
      </c>
      <c r="BO17" s="778">
        <v>20.0932549936999</v>
      </c>
      <c r="BP17" s="778">
        <v>20.5128525090277</v>
      </c>
      <c r="BQ17" s="848">
        <v>18.296</v>
      </c>
      <c r="BR17" s="847">
        <f ca="1">AR17</f>
        <v>20.0999</v>
      </c>
      <c r="BS17" s="778">
        <v>14.4436363636364</v>
      </c>
      <c r="BT17" s="778">
        <v>14.955223880597</v>
      </c>
      <c r="BU17" s="778">
        <v>19.8499333078394</v>
      </c>
      <c r="BV17" s="778">
        <v>21.8358480058529</v>
      </c>
      <c r="BW17" s="848">
        <v>17.3652239939256</v>
      </c>
      <c r="BX17" s="847">
        <f ca="1">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923</v>
      </c>
      <c r="D18" s="16"/>
      <c r="E18" s="724">
        <f t="shared" ref="E18:H18" si="30" ca="1">AVERAGE(E22,E26)</f>
        <v>17.294518402777776</v>
      </c>
      <c r="F18" s="724">
        <f ca="1">AVERAGE(F22,F26)</f>
        <v>16.837352083333336</v>
      </c>
      <c r="G18" s="724">
        <f ca="1">AVERAGE(G22,G26)</f>
        <v>9.422169444444444</v>
      </c>
      <c r="H18" s="724">
        <f ca="1">AVERAGE(H22,H26)</f>
        <v>8.970667708333334</v>
      </c>
      <c r="I18" s="84">
        <f ca="1">IF(I17+1=5,1,I17+1)</f>
        <v>3</v>
      </c>
      <c r="J18" s="5">
        <f ca="1">IF(I18=1,J17+1,J17)</f>
        <v>2006</v>
      </c>
      <c r="K18" s="345" t="str">
        <f ca="1">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 ca="1">$K18</f>
        <v>3Q06</v>
      </c>
      <c r="AL18" s="847">
        <f ca="1">L18</f>
        <v>22.15</v>
      </c>
      <c r="AM18" s="778">
        <v>20.283636187782</v>
      </c>
      <c r="AN18" s="778">
        <v>17.0052012260412</v>
      </c>
      <c r="AO18" s="778">
        <v>24.3461538461538</v>
      </c>
      <c r="AP18" s="778">
        <v>18.7683820568193</v>
      </c>
      <c r="AQ18" s="848">
        <v>25.5397727272727</v>
      </c>
      <c r="AR18" s="847">
        <f ca="1">R18</f>
        <v>21.204</v>
      </c>
      <c r="AS18" s="778">
        <v>20.7824143070045</v>
      </c>
      <c r="AT18" s="778">
        <v>16.1319764611537</v>
      </c>
      <c r="AU18" s="778">
        <v>27.8241758241758</v>
      </c>
      <c r="AV18" s="778">
        <v>17.2875042329834</v>
      </c>
      <c r="AW18" s="848"/>
      <c r="AX18" s="847">
        <f ca="1">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 ca="1">$K18</f>
        <v>3Q06</v>
      </c>
      <c r="BL18" s="847">
        <f ca="1">AL18</f>
        <v>22.15</v>
      </c>
      <c r="BM18" s="778">
        <v>15.8366141732283</v>
      </c>
      <c r="BN18" s="778">
        <v>14.6371882086168</v>
      </c>
      <c r="BO18" s="778">
        <v>21.0972692888889</v>
      </c>
      <c r="BP18" s="778">
        <v>19.2874618016375</v>
      </c>
      <c r="BQ18" s="848">
        <v>17.8206106870229</v>
      </c>
      <c r="BR18" s="847">
        <f ca="1">AR18</f>
        <v>21.204</v>
      </c>
      <c r="BS18" s="778">
        <v>14.143811533052</v>
      </c>
      <c r="BT18" s="778">
        <v>12.5779423226812</v>
      </c>
      <c r="BU18" s="778">
        <v>20.4944901663492</v>
      </c>
      <c r="BV18" s="778">
        <v>20.2965561170621</v>
      </c>
      <c r="BW18" s="848">
        <v>17.0215092963908</v>
      </c>
      <c r="BX18" s="847">
        <f ca="1">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924</v>
      </c>
      <c r="D19" s="16"/>
      <c r="E19" s="724">
        <f ca="1">AVERAGE(L8:L35)</f>
        <v>19.619196</v>
      </c>
      <c r="F19" s="724">
        <f ca="1">AVERAGE(R8:R35)</f>
        <v>17.960307142857143</v>
      </c>
      <c r="G19" s="724">
        <f ca="1">AVERAGE(X8:X35)</f>
        <v>9.25948</v>
      </c>
      <c r="H19" s="724">
        <f ca="1">AVERAGE(AD8:AD35)</f>
        <v>7.4632</v>
      </c>
      <c r="I19" s="84">
        <f ca="1">IF(I18=4,1,I18+1)</f>
        <v>4</v>
      </c>
      <c r="J19" s="5">
        <f ca="1">IF(I19=1,J18+1,J18)</f>
        <v>2006</v>
      </c>
      <c r="K19" s="345" t="str">
        <f ca="1">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 ca="1">$K19</f>
        <v>4Q06</v>
      </c>
      <c r="AL19" s="847">
        <f ca="1">L19</f>
        <v>20.6848</v>
      </c>
      <c r="AM19" s="778">
        <v>19.4912279071203</v>
      </c>
      <c r="AN19" s="778">
        <v>16.6883893888325</v>
      </c>
      <c r="AO19" s="778">
        <v>24.7324840764331</v>
      </c>
      <c r="AP19" s="778">
        <v>17.4916383775587</v>
      </c>
      <c r="AQ19" s="848">
        <v>16.2323943661972</v>
      </c>
      <c r="AR19" s="847">
        <f ca="1">R19</f>
        <v>16.7912</v>
      </c>
      <c r="AS19" s="778">
        <v>20.3629032258064</v>
      </c>
      <c r="AT19" s="778">
        <v>16.26994082613</v>
      </c>
      <c r="AU19" s="778">
        <v>29.3277945619335</v>
      </c>
      <c r="AV19" s="778">
        <v>17.3293571901922</v>
      </c>
      <c r="AW19" s="848"/>
      <c r="AX19" s="847">
        <f ca="1">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 ca="1">$K19</f>
        <v>4Q06</v>
      </c>
      <c r="BL19" s="847">
        <f ca="1">AL19</f>
        <v>20.6848</v>
      </c>
      <c r="BM19" s="778">
        <v>17.258407079646</v>
      </c>
      <c r="BN19" s="778">
        <v>13.3333333333333</v>
      </c>
      <c r="BO19" s="778">
        <v>21.7923454037267</v>
      </c>
      <c r="BP19" s="778">
        <v>18.2218412390662</v>
      </c>
      <c r="BQ19" s="848">
        <v>19.2100371747212</v>
      </c>
      <c r="BR19" s="847">
        <f ca="1">AR19</f>
        <v>16.7912</v>
      </c>
      <c r="BS19" s="778">
        <v>16.9937260369467</v>
      </c>
      <c r="BT19" s="778">
        <v>12.3301292674843</v>
      </c>
      <c r="BU19" s="778">
        <v>22.2061241139241</v>
      </c>
      <c r="BV19" s="778">
        <v>20.0418586755485</v>
      </c>
      <c r="BW19" s="848">
        <v>18.7977446344125</v>
      </c>
      <c r="BX19" s="847">
        <f ca="1">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925</v>
      </c>
      <c r="D20" s="16"/>
      <c r="E20" s="724">
        <f ca="1">AVERAGE(L8:L19)</f>
        <v>23.75140833333333</v>
      </c>
      <c r="F20" s="724">
        <f ca="1">AVERAGE(R8:R19)</f>
        <v>21.239816666666666</v>
      </c>
      <c r="G20" s="724">
        <f ca="1">AVERAGE(X8:X19)</f>
        <v>10.85385</v>
      </c>
      <c r="H20" s="724">
        <f ca="1">AVERAGE(AD8:AD19)</f>
      </c>
      <c r="I20" s="84">
        <f ca="1">I16</f>
        <v>1</v>
      </c>
      <c r="J20" s="5">
        <f ca="1">IF(I20=1,J19+1,J19)</f>
        <v>2007</v>
      </c>
      <c r="K20" s="345" t="str">
        <f ca="1">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 ca="1">$K20</f>
        <v>1Q07</v>
      </c>
      <c r="AL20" s="847">
        <f ca="1">L20</f>
        <v>19.9384</v>
      </c>
      <c r="AM20" s="778">
        <v>20.3533331715796</v>
      </c>
      <c r="AN20" s="778">
        <v>14.8843352711246</v>
      </c>
      <c r="AO20" s="778">
        <v>21.6201117318436</v>
      </c>
      <c r="AP20" s="778">
        <v>17.9013373644136</v>
      </c>
      <c r="AQ20" s="848">
        <v>18.2746478873239</v>
      </c>
      <c r="AR20" s="847">
        <f ca="1">R20</f>
        <v>17.5573</v>
      </c>
      <c r="AS20" s="778">
        <v>18.2759652798563</v>
      </c>
      <c r="AT20" s="778">
        <v>13.5724675837029</v>
      </c>
      <c r="AU20" s="778">
        <v>20.5087440381558</v>
      </c>
      <c r="AV20" s="778">
        <v>15.71953010279</v>
      </c>
      <c r="AW20" s="848">
        <v>13.586387434555</v>
      </c>
      <c r="AX20" s="847">
        <f ca="1">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 ca="1">$K20</f>
        <v>1Q07</v>
      </c>
      <c r="BL20" s="847">
        <f ca="1">AL20</f>
        <v>19.9384</v>
      </c>
      <c r="BM20" s="778">
        <v>14.9411764705882</v>
      </c>
      <c r="BN20" s="778">
        <v>11.6545138888889</v>
      </c>
      <c r="BO20" s="778">
        <v>21.3967441259259</v>
      </c>
      <c r="BP20" s="778">
        <v>17.8909144842303</v>
      </c>
      <c r="BQ20" s="848">
        <v>18.1860465116279</v>
      </c>
      <c r="BR20" s="847">
        <f ca="1">AR20</f>
        <v>17.5573</v>
      </c>
      <c r="BS20" s="778">
        <v>12.5157404872707</v>
      </c>
      <c r="BT20" s="778">
        <v>11.2219993313273</v>
      </c>
      <c r="BU20" s="778">
        <v>19.1718614402655</v>
      </c>
      <c r="BV20" s="778">
        <v>17.5714338684405</v>
      </c>
      <c r="BW20" s="848">
        <v>16.753460777851</v>
      </c>
      <c r="BX20" s="847">
        <f ca="1">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926</v>
      </c>
      <c r="D21" s="16"/>
      <c r="E21" s="724">
        <f ca="1">AVERAGE(L16:L27)</f>
        <v>19.173399999999997</v>
      </c>
      <c r="F21" s="724">
        <f ca="1">AVERAGE(R16:R27)</f>
        <v>17.364974999999998</v>
      </c>
      <c r="G21" s="724">
        <f ca="1">AVERAGE(X16:X27)</f>
        <v>9.242608333333331</v>
      </c>
      <c r="H21" s="724">
        <f ca="1">AVERAGE(AD16:AD27)</f>
        <v>8.039285714285713</v>
      </c>
      <c r="I21" s="84">
        <f ca="1">IF(I20=4,1,I20+1)</f>
        <v>2</v>
      </c>
      <c r="J21" s="5">
        <f ca="1">IF(I21=1,J20+1,J20)</f>
        <v>2007</v>
      </c>
      <c r="K21" s="345" t="str">
        <f ca="1">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 ca="1">$K21</f>
        <v>2Q07</v>
      </c>
      <c r="AL21" s="847">
        <f ca="1">L21</f>
        <v>20.9091</v>
      </c>
      <c r="AM21" s="778">
        <v>19.657575771778</v>
      </c>
      <c r="AN21" s="778">
        <v>14.2796521296296</v>
      </c>
      <c r="AO21" s="778">
        <v>20.0615384615385</v>
      </c>
      <c r="AP21" s="778">
        <v>17.1156247577095</v>
      </c>
      <c r="AQ21" s="848">
        <v>16.2146892655367</v>
      </c>
      <c r="AR21" s="847">
        <f ca="1">R21</f>
        <v>19.0645</v>
      </c>
      <c r="AS21" s="778">
        <v>18.3041760722348</v>
      </c>
      <c r="AT21" s="778">
        <v>13.1036807777778</v>
      </c>
      <c r="AU21" s="778">
        <v>19.9286805909322</v>
      </c>
      <c r="AV21" s="778">
        <v>15.7024082568807</v>
      </c>
      <c r="AW21" s="848">
        <v>15.0261780104712</v>
      </c>
      <c r="AX21" s="847">
        <f ca="1">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 ca="1">$K21</f>
        <v>2Q07</v>
      </c>
      <c r="BL21" s="847">
        <f ca="1">AL21</f>
        <v>20.9091</v>
      </c>
      <c r="BM21" s="778">
        <v>14.1619613670134</v>
      </c>
      <c r="BN21" s="778">
        <v>10.4117647058824</v>
      </c>
      <c r="BO21" s="778">
        <v>20.1862794</v>
      </c>
      <c r="BP21" s="778">
        <v>16.6056425073082</v>
      </c>
      <c r="BQ21" s="848">
        <v>17.6157804459691</v>
      </c>
      <c r="BR21" s="847">
        <f ca="1">AR21</f>
        <v>19.0645</v>
      </c>
      <c r="BS21" s="778">
        <v>12.0737268811756</v>
      </c>
      <c r="BT21" s="778">
        <v>10.378763866878</v>
      </c>
      <c r="BU21" s="778">
        <v>18.3714070656371</v>
      </c>
      <c r="BV21" s="778">
        <v>17.0522490295096</v>
      </c>
      <c r="BW21" s="848">
        <v>16.8250327653997</v>
      </c>
      <c r="BX21" s="847">
        <f ca="1">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927</v>
      </c>
      <c r="D22" s="16"/>
      <c r="E22" s="724">
        <f ca="1">AVERAGE(L24:L35)</f>
        <v>13.922155555555555</v>
      </c>
      <c r="F22" s="724">
        <f ca="1">AVERAGE(R24:R35)</f>
        <v>14.71904166666667</v>
      </c>
      <c r="G22" s="724">
        <f ca="1">AVERAGE(X24:X35)</f>
        <v>6.932388888888889</v>
      </c>
      <c r="H22" s="724">
        <f ca="1">AVERAGE(AD24:AD35)</f>
        <v>7.137241666666667</v>
      </c>
      <c r="I22" s="84">
        <f ca="1">IF(I21+1=5,1,I21+1)</f>
        <v>3</v>
      </c>
      <c r="J22" s="5">
        <f ca="1">IF(I22=1,J21+1,J21)</f>
        <v>2007</v>
      </c>
      <c r="K22" s="345" t="str">
        <f ca="1">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 ca="1">$K22</f>
        <v>3Q07</v>
      </c>
      <c r="AL22" s="847">
        <f ca="1">L22</f>
        <v>20.6378</v>
      </c>
      <c r="AM22" s="778">
        <v>17.0980392156863</v>
      </c>
      <c r="AN22" s="778">
        <v>14.6741425193452</v>
      </c>
      <c r="AO22" s="778">
        <v>18.5463414634146</v>
      </c>
      <c r="AP22" s="778">
        <v>17.5036603221083</v>
      </c>
      <c r="AQ22" s="848">
        <v>19.406779661017</v>
      </c>
      <c r="AR22" s="847">
        <f ca="1">R22</f>
        <v>19.0893</v>
      </c>
      <c r="AS22" s="778">
        <v>16.0758493547538</v>
      </c>
      <c r="AT22" s="778">
        <v>12.5076405035515</v>
      </c>
      <c r="AU22" s="778">
        <v>19.0004997501249</v>
      </c>
      <c r="AV22" s="778">
        <v>16.852269523541</v>
      </c>
      <c r="AW22" s="848">
        <v>16.2028301886792</v>
      </c>
      <c r="AX22" s="847">
        <f ca="1">X22</f>
        <v>10.0884</v>
      </c>
      <c r="AY22" s="778">
        <v>8.85585659875072</v>
      </c>
      <c r="AZ22" s="778">
        <v>7.86304877795203</v>
      </c>
      <c r="BA22" s="778">
        <v>10.2621107586187</v>
      </c>
      <c r="BB22" s="778"/>
      <c r="BC22" s="848">
        <v>10.1926114955517</v>
      </c>
      <c r="BD22" s="847">
        <f t="shared" ref="BD22:BD84" si="31" ca="1">AD22</f>
        <v>10.3418</v>
      </c>
      <c r="BE22" s="778">
        <v>8.02052961360611</v>
      </c>
      <c r="BF22" s="778">
        <v>7.33188710956758</v>
      </c>
      <c r="BG22" s="778">
        <v>9.44294226823773</v>
      </c>
      <c r="BH22" s="778">
        <v>9.41766242765802</v>
      </c>
      <c r="BI22" s="848">
        <v>10.2188931136207</v>
      </c>
      <c r="BJ22" s="16"/>
      <c r="BK22" s="345" t="str">
        <f ca="1">$K22</f>
        <v>3Q07</v>
      </c>
      <c r="BL22" s="847">
        <f ca="1">AL22</f>
        <v>20.6378</v>
      </c>
      <c r="BM22" s="778">
        <v>16.2968099861304</v>
      </c>
      <c r="BN22" s="778">
        <v>9.77635782747604</v>
      </c>
      <c r="BO22" s="778">
        <v>19.03843214</v>
      </c>
      <c r="BP22" s="778">
        <v>16.2273142661321</v>
      </c>
      <c r="BQ22" s="848">
        <v>17.2225913621262</v>
      </c>
      <c r="BR22" s="847">
        <f ca="1">AR22</f>
        <v>19.0893</v>
      </c>
      <c r="BS22" s="778">
        <v>14.2458777885548</v>
      </c>
      <c r="BT22" s="778">
        <v>10.6620209059233</v>
      </c>
      <c r="BU22" s="778">
        <v>17.8223208359031</v>
      </c>
      <c r="BV22" s="778">
        <v>17.0000435169003</v>
      </c>
      <c r="BW22" s="848">
        <v>16.869508623495</v>
      </c>
      <c r="BX22" s="847">
        <f ca="1">AX22</f>
        <v>10.0884</v>
      </c>
      <c r="BY22" s="778">
        <v>8.8394808862531</v>
      </c>
      <c r="BZ22" s="778"/>
      <c r="CA22" s="778">
        <v>12.1583880831806</v>
      </c>
      <c r="CB22" s="778">
        <v>12.5701333982331</v>
      </c>
      <c r="CC22" s="848">
        <v>10.0294593414261</v>
      </c>
      <c r="CD22" s="847">
        <f t="shared" ref="CD22:CD84" si="32" ca="1">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928</v>
      </c>
      <c r="D23" s="16"/>
      <c r="E23" s="724">
        <f ca="1">AVERAGE(L36:L75)</f>
        <v>19.910015</v>
      </c>
      <c r="F23" s="724">
        <f ca="1">AVERAGE(R36:R75)</f>
        <v>18.440642500000003</v>
      </c>
      <c r="G23" s="724">
        <f ca="1">AVERAGE(X36:X75)</f>
        <v>10.017830000000002</v>
      </c>
      <c r="H23" s="724">
        <f ca="1">AVERAGE(AD36:AD75)</f>
        <v>9.340644999999999</v>
      </c>
      <c r="I23" s="84">
        <f ca="1">IF(I22=4,1,I22+1)</f>
        <v>4</v>
      </c>
      <c r="J23" s="5">
        <f ca="1">IF(I23=1,J22+1,J22)</f>
        <v>2007</v>
      </c>
      <c r="K23" s="345" t="str">
        <f ca="1">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 ca="1">$K23</f>
        <v>4Q07</v>
      </c>
      <c r="AL23" s="847">
        <f ca="1">L23</f>
        <v>18.6783</v>
      </c>
      <c r="AM23" s="778">
        <v>17.0980392156863</v>
      </c>
      <c r="AN23" s="778">
        <v>14.9398530326027</v>
      </c>
      <c r="AO23" s="778">
        <v>19.1190476190476</v>
      </c>
      <c r="AP23" s="778">
        <v>15.9287709497207</v>
      </c>
      <c r="AQ23" s="848">
        <v>27.4640287769784</v>
      </c>
      <c r="AR23" s="847">
        <f ca="1">R23</f>
        <v>15.6712</v>
      </c>
      <c r="AS23" s="778">
        <v>16.0722404647638</v>
      </c>
      <c r="AT23" s="778">
        <v>14.7619013451543</v>
      </c>
      <c r="AU23" s="778">
        <v>19.5758166747928</v>
      </c>
      <c r="AV23" s="778">
        <v>15.8226970033296</v>
      </c>
      <c r="AW23" s="848">
        <v>18.0070754716981</v>
      </c>
      <c r="AX23" s="847">
        <f ca="1">X23</f>
        <v>9.2974</v>
      </c>
      <c r="AY23" s="778">
        <v>8.14393988109869</v>
      </c>
      <c r="AZ23" s="778">
        <v>8.51506896797682</v>
      </c>
      <c r="BA23" s="778">
        <v>9.99949700916278</v>
      </c>
      <c r="BB23" s="778">
        <v>9.51634435930719</v>
      </c>
      <c r="BC23" s="848">
        <v>11.144456998288</v>
      </c>
      <c r="BD23" s="847">
        <f ca="1">AD23</f>
        <v>8.0252</v>
      </c>
      <c r="BE23" s="778">
        <v>7.89003508895669</v>
      </c>
      <c r="BF23" s="778">
        <v>7.69701748867841</v>
      </c>
      <c r="BG23" s="778">
        <v>8.55207703377935</v>
      </c>
      <c r="BH23" s="778">
        <v>8.14331030360429</v>
      </c>
      <c r="BI23" s="848">
        <v>8.69454187226435</v>
      </c>
      <c r="BJ23" s="16"/>
      <c r="BK23" s="345" t="str">
        <f ca="1">$K23</f>
        <v>4Q07</v>
      </c>
      <c r="BL23" s="847">
        <f ca="1">AL23</f>
        <v>18.6783</v>
      </c>
      <c r="BM23" s="778">
        <v>14.3172242874845</v>
      </c>
      <c r="BN23" s="778">
        <v>11.8865619546248</v>
      </c>
      <c r="BO23" s="778">
        <v>19.2524923257143</v>
      </c>
      <c r="BP23" s="778">
        <v>15.4856291599362</v>
      </c>
      <c r="BQ23" s="848">
        <v>17.8057324840764</v>
      </c>
      <c r="BR23" s="847">
        <f ca="1">AR23</f>
        <v>15.6712</v>
      </c>
      <c r="BS23" s="778">
        <v>14.6401419158642</v>
      </c>
      <c r="BT23" s="778">
        <v>10.7768987341772</v>
      </c>
      <c r="BU23" s="778">
        <v>19.4077543605991</v>
      </c>
      <c r="BV23" s="778">
        <v>16.8786724303922</v>
      </c>
      <c r="BW23" s="848">
        <v>17.9948503379466</v>
      </c>
      <c r="BX23" s="847">
        <f ca="1">AX23</f>
        <v>9.2974</v>
      </c>
      <c r="BY23" s="778">
        <v>8.04174963302337</v>
      </c>
      <c r="BZ23" s="778">
        <v>5.57286484093618</v>
      </c>
      <c r="CA23" s="778">
        <v>12.3021853597381</v>
      </c>
      <c r="CB23" s="778">
        <v>11.4719491585091</v>
      </c>
      <c r="CC23" s="848">
        <v>10.3347166358238</v>
      </c>
      <c r="CD23" s="847">
        <f ca="1">BD23</f>
        <v>8.0252</v>
      </c>
      <c r="CE23" s="778">
        <v>7.0964548994156</v>
      </c>
      <c r="CF23" s="778">
        <v>5.77276339622483</v>
      </c>
      <c r="CG23" s="778">
        <v>9.44339138004464</v>
      </c>
      <c r="CH23" s="778">
        <v>8.65216305801951</v>
      </c>
      <c r="CI23" s="848">
        <v>9.26565185572825</v>
      </c>
    </row>
    <row r="24" ht="14.25" customHeight="1" spans="1:87" x14ac:dyDescent="0.25">
      <c r="A24" s="16"/>
      <c r="B24" s="16"/>
      <c r="C24" s="16" t="s">
        <v>929</v>
      </c>
      <c r="D24" s="16"/>
      <c r="E24" s="724">
        <f ca="1">AVERAGE(L36:L51)</f>
        <v>17.291406249999998</v>
      </c>
      <c r="F24" s="724">
        <f ca="1">AVERAGE(R36:R51)</f>
        <v>16.548837499999998</v>
      </c>
      <c r="G24" s="724">
        <f ca="1">AVERAGE(X36:X51)</f>
        <v>7.696606249999999</v>
      </c>
      <c r="H24" s="724">
        <f ca="1">AVERAGE(AD36:AD51)</f>
        <v>7.408287499999999</v>
      </c>
      <c r="I24" s="84">
        <f ca="1">I20</f>
        <v>1</v>
      </c>
      <c r="J24" s="5">
        <f ca="1">IF(I24=1,J23+1,J23)</f>
        <v>2008</v>
      </c>
      <c r="K24" s="345" t="str">
        <f ca="1">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 ca="1">$K24</f>
        <v>1Q08</v>
      </c>
      <c r="AL24" s="847">
        <f ca="1">L24</f>
        <v>16.0503</v>
      </c>
      <c r="AM24" s="778">
        <v>17.4720930232558</v>
      </c>
      <c r="AN24" s="778">
        <v>16.6535426857527</v>
      </c>
      <c r="AO24" s="778">
        <v>20.6486486486486</v>
      </c>
      <c r="AP24" s="778">
        <v>17.4808743169399</v>
      </c>
      <c r="AQ24" s="848">
        <v>30.2697841726619</v>
      </c>
      <c r="AR24" s="847">
        <f ca="1">R24</f>
        <v>14.5631</v>
      </c>
      <c r="AS24" s="778">
        <v>16.1500429922614</v>
      </c>
      <c r="AT24" s="778">
        <v>14.2711768696153</v>
      </c>
      <c r="AU24" s="778">
        <v>17.6851851851852</v>
      </c>
      <c r="AV24" s="778">
        <v>16.0190285428142</v>
      </c>
      <c r="AW24" s="848">
        <v>16.5649606299213</v>
      </c>
      <c r="AX24" s="847">
        <f ca="1">X24</f>
        <v>7.9532</v>
      </c>
      <c r="AY24" s="778">
        <v>8.61555833241446</v>
      </c>
      <c r="AZ24" s="778">
        <v>9.77164783427025</v>
      </c>
      <c r="BA24" s="778">
        <v>11.1010203748702</v>
      </c>
      <c r="BB24" s="778">
        <v>10.616211642331</v>
      </c>
      <c r="BC24" s="848">
        <v>12.2117798159006</v>
      </c>
      <c r="BD24" s="847">
        <f ca="1">AD24</f>
        <v>7.2602</v>
      </c>
      <c r="BE24" s="778">
        <v>8.47923620690157</v>
      </c>
      <c r="BF24" s="778">
        <v>8.73491664130109</v>
      </c>
      <c r="BG24" s="778">
        <v>9.66165648553287</v>
      </c>
      <c r="BH24" s="778">
        <v>9.20147957997077</v>
      </c>
      <c r="BI24" s="848">
        <v>9.44777207299858</v>
      </c>
      <c r="BJ24" s="16"/>
      <c r="BK24" s="345" t="str">
        <f ca="1">$K24</f>
        <v>1Q08</v>
      </c>
      <c r="BL24" s="847">
        <f ca="1">AL24</f>
        <v>16.0503</v>
      </c>
      <c r="BM24" s="778">
        <v>16.2466063348416</v>
      </c>
      <c r="BN24" s="778">
        <v>13.605851979346</v>
      </c>
      <c r="BO24" s="778">
        <v>18.5735131622222</v>
      </c>
      <c r="BP24" s="778">
        <v>16.8950805926133</v>
      </c>
      <c r="BQ24" s="848">
        <v>17.8369230769231</v>
      </c>
      <c r="BR24" s="847">
        <f ca="1">AR24</f>
        <v>14.5631</v>
      </c>
      <c r="BS24" s="778">
        <v>14.4632426988922</v>
      </c>
      <c r="BT24" s="778">
        <v>12.6237623762376</v>
      </c>
      <c r="BU24" s="778">
        <v>18.1205006460705</v>
      </c>
      <c r="BV24" s="778">
        <v>16.4980325073736</v>
      </c>
      <c r="BW24" s="848">
        <v>16.4360646441735</v>
      </c>
      <c r="BX24" s="847">
        <f ca="1">AX24</f>
        <v>7.9532</v>
      </c>
      <c r="BY24" s="778">
        <v>8.92992048937141</v>
      </c>
      <c r="BZ24" s="778">
        <v>6.39162415109242</v>
      </c>
      <c r="CA24" s="778">
        <v>12.2438373320001</v>
      </c>
      <c r="CB24" s="778">
        <v>12.2282689647088</v>
      </c>
      <c r="CC24" s="848">
        <v>10.2409050296403</v>
      </c>
      <c r="CD24" s="847">
        <f ca="1">BD24</f>
        <v>7.2602</v>
      </c>
      <c r="CE24" s="778">
        <v>8.63452107677273</v>
      </c>
      <c r="CF24" s="778">
        <v>7.63712730640728</v>
      </c>
      <c r="CG24" s="778">
        <v>12.8046274714408</v>
      </c>
      <c r="CH24" s="778">
        <v>9.44700227696712</v>
      </c>
      <c r="CI24" s="848">
        <v>9.39085100873505</v>
      </c>
    </row>
    <row r="25" ht="14.25" customHeight="1" spans="1:87" x14ac:dyDescent="0.25">
      <c r="A25" s="16"/>
      <c r="B25" s="16"/>
      <c r="C25" s="16" t="s">
        <v>930</v>
      </c>
      <c r="D25" s="16"/>
      <c r="E25" s="724">
        <f ca="1">AVERAGE(L48:L63)</f>
        <v>22.41733125</v>
      </c>
      <c r="F25" s="724">
        <f ca="1">AVERAGE(R48:R63)</f>
        <v>20.33919375</v>
      </c>
      <c r="G25" s="724">
        <f ca="1">AVERAGE(X48:X63)</f>
        <v>10.532525</v>
      </c>
      <c r="H25" s="724">
        <f ca="1">AVERAGE(AD48:AD63)</f>
        <v>9.897068749999999</v>
      </c>
      <c r="I25" s="84">
        <f ca="1">IF(I24=4,1,I24+1)</f>
        <v>2</v>
      </c>
      <c r="J25" s="5">
        <f ca="1">IF(I25=1,J24+1,J24)</f>
        <v>2008</v>
      </c>
      <c r="K25" s="345" t="str">
        <f ca="1">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 ca="1">$K25</f>
        <v>2Q08</v>
      </c>
      <c r="AL25" s="847">
        <f ca="1">L25</f>
        <v>14.2799</v>
      </c>
      <c r="AM25" s="778">
        <v>15.4279569892473</v>
      </c>
      <c r="AN25" s="778">
        <v>15.0553928170984</v>
      </c>
      <c r="AO25" s="778">
        <v>19.5482456140351</v>
      </c>
      <c r="AP25" s="778">
        <v>16.9585492227979</v>
      </c>
      <c r="AQ25" s="848">
        <v>30.5578512396694</v>
      </c>
      <c r="AR25" s="847">
        <f ca="1">R25</f>
        <v>13.4645</v>
      </c>
      <c r="AS25" s="778">
        <v>14.5991045991046</v>
      </c>
      <c r="AT25" s="778">
        <v>13.2498441117191</v>
      </c>
      <c r="AU25" s="778">
        <v>16.4404278863888</v>
      </c>
      <c r="AV25" s="778">
        <v>15.6677836285304</v>
      </c>
      <c r="AW25" s="848">
        <v>14.9092741935484</v>
      </c>
      <c r="AX25" s="847">
        <f ca="1">X25</f>
        <v>7.1858</v>
      </c>
      <c r="AY25" s="778">
        <v>7.63779299955548</v>
      </c>
      <c r="AZ25" s="778">
        <v>8.81353092988812</v>
      </c>
      <c r="BA25" s="778">
        <v>10.6843425636309</v>
      </c>
      <c r="BB25" s="778">
        <v>10.043763313574</v>
      </c>
      <c r="BC25" s="848">
        <v>9.895961637202</v>
      </c>
      <c r="BD25" s="847">
        <f ca="1">AD25</f>
        <v>7.1029</v>
      </c>
      <c r="BE25" s="778">
        <v>7.65548728620756</v>
      </c>
      <c r="BF25" s="778">
        <v>7.99308465903532</v>
      </c>
      <c r="BG25" s="778">
        <v>8.95666163844804</v>
      </c>
      <c r="BH25" s="778">
        <v>9.6289268838999</v>
      </c>
      <c r="BI25" s="848">
        <v>8.63670687874056</v>
      </c>
      <c r="BJ25" s="16"/>
      <c r="BK25" s="345" t="str">
        <f ca="1">$K25</f>
        <v>2Q08</v>
      </c>
      <c r="BL25" s="847">
        <f ca="1">AL25</f>
        <v>14.2799</v>
      </c>
      <c r="BM25" s="778">
        <v>15.3251028806584</v>
      </c>
      <c r="BN25" s="778">
        <v>14.4696707105719</v>
      </c>
      <c r="BO25" s="778">
        <v>17.1258627805405</v>
      </c>
      <c r="BP25" s="778">
        <v>14.9282872408329</v>
      </c>
      <c r="BQ25" s="848">
        <v>18.5982404692082</v>
      </c>
      <c r="BR25" s="847">
        <f ca="1">AR25</f>
        <v>13.4645</v>
      </c>
      <c r="BS25" s="778">
        <v>14.0927152317881</v>
      </c>
      <c r="BT25" s="778">
        <v>13.0493904345108</v>
      </c>
      <c r="BU25" s="778">
        <v>15.9290327521368</v>
      </c>
      <c r="BV25" s="778">
        <v>15.4017254953595</v>
      </c>
      <c r="BW25" s="848">
        <v>17.5971143174251</v>
      </c>
      <c r="BX25" s="847">
        <f ca="1">AX25</f>
        <v>7.1858</v>
      </c>
      <c r="BY25" s="778">
        <v>8.71342246572718</v>
      </c>
      <c r="BZ25" s="778">
        <v>6.58452980858521</v>
      </c>
      <c r="CA25" s="778">
        <v>11.1879267021409</v>
      </c>
      <c r="CB25" s="778">
        <v>10.8915271624449</v>
      </c>
      <c r="CC25" s="848">
        <v>10.6184235577362</v>
      </c>
      <c r="CD25" s="847">
        <f ca="1">BD25</f>
        <v>7.1029</v>
      </c>
      <c r="CE25" s="778">
        <v>8.73196687365729</v>
      </c>
      <c r="CF25" s="778">
        <v>7.9292794875331</v>
      </c>
      <c r="CG25" s="778">
        <v>11.8924594472119</v>
      </c>
      <c r="CH25" s="778">
        <v>9.06167211008443</v>
      </c>
      <c r="CI25" s="848">
        <v>10.0294018548875</v>
      </c>
    </row>
    <row r="26" ht="14.25" customHeight="1" spans="1:87" x14ac:dyDescent="0.25">
      <c r="A26" s="16"/>
      <c r="B26" s="16"/>
      <c r="C26" s="16" t="s">
        <v>931</v>
      </c>
      <c r="D26" s="16"/>
      <c r="E26" s="724">
        <f ca="1">AVERAGE(L60:L75)</f>
        <v>20.666881249999996</v>
      </c>
      <c r="F26" s="724">
        <f ca="1">AVERAGE(R60:R75)</f>
        <v>18.955662500000006</v>
      </c>
      <c r="G26" s="724">
        <f ca="1">AVERAGE(X60:X75)</f>
        <v>11.91195</v>
      </c>
      <c r="H26" s="724">
        <f ca="1">AVERAGE(AD60:AD75)</f>
        <v>10.80409375</v>
      </c>
      <c r="I26" s="84">
        <f ca="1">IF(I25+1=5,1,I25+1)</f>
        <v>3</v>
      </c>
      <c r="J26" s="5">
        <f ca="1">IF(I26=1,J25+1,J25)</f>
        <v>2008</v>
      </c>
      <c r="K26" s="345" t="str">
        <f ca="1">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 ca="1">$K26</f>
        <v>3Q08</v>
      </c>
      <c r="AL26" s="847">
        <f ca="1">L26</f>
        <v>15.4208</v>
      </c>
      <c r="AM26" s="778">
        <v>17.2464929859719</v>
      </c>
      <c r="AN26" s="778">
        <v>14.3943122734266</v>
      </c>
      <c r="AO26" s="778">
        <v>20.172268907563</v>
      </c>
      <c r="AP26" s="778">
        <v>17.740099009901</v>
      </c>
      <c r="AQ26" s="848">
        <v>32.6652892561983</v>
      </c>
      <c r="AR26" s="847">
        <f ca="1">R26</f>
        <v>15.958</v>
      </c>
      <c r="AS26" s="778">
        <v>16.4929091605979</v>
      </c>
      <c r="AT26" s="778">
        <v>13.759269084893</v>
      </c>
      <c r="AU26" s="778">
        <v>17.5925247343349</v>
      </c>
      <c r="AV26" s="778">
        <v>17.1009305654975</v>
      </c>
      <c r="AW26" s="848">
        <v>14.9715909090909</v>
      </c>
      <c r="AX26" s="847">
        <f ca="1">X26</f>
        <v>7.7965</v>
      </c>
      <c r="AY26" s="778">
        <v>8.59690566989158</v>
      </c>
      <c r="AZ26" s="778">
        <v>8.80108366138237</v>
      </c>
      <c r="BA26" s="778">
        <v>11.0940527176738</v>
      </c>
      <c r="BB26" s="778">
        <v>9.85910704093812</v>
      </c>
      <c r="BC26" s="848">
        <v>10.5383628649705</v>
      </c>
      <c r="BD26" s="847">
        <f ca="1">AD26</f>
        <v>7.824</v>
      </c>
      <c r="BE26" s="778">
        <v>8.74279316866968</v>
      </c>
      <c r="BF26" s="778">
        <v>8.15291865119672</v>
      </c>
      <c r="BG26" s="778">
        <v>9.70235882969312</v>
      </c>
      <c r="BH26" s="778">
        <v>10.2335240724788</v>
      </c>
      <c r="BI26" s="848">
        <v>8.72096085961602</v>
      </c>
      <c r="BJ26" s="16"/>
      <c r="BK26" s="345" t="str">
        <f ca="1">$K26</f>
        <v>3Q08</v>
      </c>
      <c r="BL26" s="847">
        <f ca="1">AL26</f>
        <v>15.4208</v>
      </c>
      <c r="BM26" s="778">
        <v>12.8015564202335</v>
      </c>
      <c r="BN26" s="778">
        <v>13.8237232289951</v>
      </c>
      <c r="BO26" s="778">
        <v>18.0490289468085</v>
      </c>
      <c r="BP26" s="778">
        <v>14.1588726076758</v>
      </c>
      <c r="BQ26" s="848">
        <v>17.7450980392157</v>
      </c>
      <c r="BR26" s="847">
        <f ca="1">AR26</f>
        <v>15.958</v>
      </c>
      <c r="BS26" s="778">
        <v>12.0160701241782</v>
      </c>
      <c r="BT26" s="778">
        <v>13.4773530356569</v>
      </c>
      <c r="BU26" s="778">
        <v>17.094294418136</v>
      </c>
      <c r="BV26" s="778">
        <v>15.5312723059866</v>
      </c>
      <c r="BW26" s="848">
        <v>17.4038461538462</v>
      </c>
      <c r="BX26" s="847">
        <f ca="1">AX26</f>
        <v>7.7965</v>
      </c>
      <c r="BY26" s="778">
        <v>10.8942187359427</v>
      </c>
      <c r="BZ26" s="778">
        <v>5.79676573417688</v>
      </c>
      <c r="CA26" s="778">
        <v>12.0248697957627</v>
      </c>
      <c r="CB26" s="778">
        <v>10.1625572132205</v>
      </c>
      <c r="CC26" s="848">
        <v>10.1605825557342</v>
      </c>
      <c r="CD26" s="847">
        <f ca="1">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IF(I27=1,J26+1,J26)</f>
        <v>2008</v>
      </c>
      <c r="K27" s="345" t="str">
        <f ca="1">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 ca="1">$K27</f>
        <v>4Q08</v>
      </c>
      <c r="AL27" s="847">
        <f ca="1">L27</f>
        <v>16.9505</v>
      </c>
      <c r="AM27" s="778">
        <v>16.7096188747731</v>
      </c>
      <c r="AN27" s="778">
        <v>13.7703909932735</v>
      </c>
      <c r="AO27" s="778">
        <v>20.952380952381</v>
      </c>
      <c r="AP27" s="778">
        <v>17.744630071599</v>
      </c>
      <c r="AQ27" s="848">
        <v>25.9249561574435</v>
      </c>
      <c r="AR27" s="847">
        <f ca="1">R27</f>
        <v>15.5968</v>
      </c>
      <c r="AS27" s="778">
        <v>16.7735470941884</v>
      </c>
      <c r="AT27" s="778">
        <v>13.9518273125852</v>
      </c>
      <c r="AU27" s="778">
        <v>20.4492641363284</v>
      </c>
      <c r="AV27" s="778">
        <v>17.7277062470196</v>
      </c>
      <c r="AW27" s="848">
        <v>16.8948412698413</v>
      </c>
      <c r="AX27" s="847">
        <f ca="1">X27</f>
        <v>8.5195</v>
      </c>
      <c r="AY27" s="778">
        <v>8.72887163490164</v>
      </c>
      <c r="AZ27" s="778">
        <v>8.50140191692857</v>
      </c>
      <c r="BA27" s="778">
        <v>11.1070955202352</v>
      </c>
      <c r="BB27" s="778">
        <v>9.56326177625636</v>
      </c>
      <c r="BC27" s="848">
        <v>9.70015168691678</v>
      </c>
      <c r="BD27" s="847">
        <f ca="1">AD27</f>
        <v>7.7868</v>
      </c>
      <c r="BE27" s="778">
        <v>8.54571044640648</v>
      </c>
      <c r="BF27" s="778">
        <v>7.68553234522558</v>
      </c>
      <c r="BG27" s="778">
        <v>9.42364323846125</v>
      </c>
      <c r="BH27" s="778">
        <v>9.25498225269748</v>
      </c>
      <c r="BI27" s="848">
        <v>7.89259181500183</v>
      </c>
      <c r="BJ27" s="16"/>
      <c r="BK27" s="345" t="str">
        <f ca="1">$K27</f>
        <v>4Q08</v>
      </c>
      <c r="BL27" s="847">
        <f ca="1">AL27</f>
        <v>16.9505</v>
      </c>
      <c r="BM27" s="778">
        <v>11.6596958174905</v>
      </c>
      <c r="BN27" s="778">
        <v>14.9481132075472</v>
      </c>
      <c r="BO27" s="778">
        <v>19.0256194648936</v>
      </c>
      <c r="BP27" s="778">
        <v>15.3269004439344</v>
      </c>
      <c r="BQ27" s="848">
        <v>16.8064516129032</v>
      </c>
      <c r="BR27" s="847">
        <f ca="1">AR27</f>
        <v>15.5968</v>
      </c>
      <c r="BS27" s="778">
        <v>11.755798351543</v>
      </c>
      <c r="BT27" s="778">
        <v>15.0474833808167</v>
      </c>
      <c r="BU27" s="778">
        <v>18.0647295929293</v>
      </c>
      <c r="BV27" s="778">
        <v>17.1042852452168</v>
      </c>
      <c r="BW27" s="848">
        <v>17.0215083038388</v>
      </c>
      <c r="BX27" s="847">
        <f ca="1">AX27</f>
        <v>8.5195</v>
      </c>
      <c r="BY27" s="778">
        <v>10.2197271127802</v>
      </c>
      <c r="BZ27" s="778">
        <v>6.28424395129667</v>
      </c>
      <c r="CA27" s="778">
        <v>12.6356232363168</v>
      </c>
      <c r="CB27" s="778">
        <v>10.57792595541</v>
      </c>
      <c r="CC27" s="848">
        <v>9.67175051875175</v>
      </c>
      <c r="CD27" s="847">
        <f ca="1">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 ca="1">Comparables!S88</f>
        <v>Primary Peer Group</v>
      </c>
      <c r="D28" s="110"/>
      <c r="E28" s="110"/>
      <c r="F28" s="110"/>
      <c r="G28" s="110"/>
      <c r="H28" s="111"/>
      <c r="I28" s="84">
        <f ca="1">I24</f>
        <v>1</v>
      </c>
      <c r="J28" s="5">
        <f ca="1">IF(I28=1,J27+1,J27)</f>
        <v>2009</v>
      </c>
      <c r="K28" s="345" t="str">
        <f ca="1">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 ca="1">$K28</f>
        <v>1Q09</v>
      </c>
      <c r="AL28" s="847">
        <f ca="1">L28</f>
        <v>1e-12</v>
      </c>
      <c r="AM28" s="778">
        <v>17.2021276595745</v>
      </c>
      <c r="AN28" s="778">
        <v>14.7979656567033</v>
      </c>
      <c r="AO28" s="778">
        <v>19.7962264150943</v>
      </c>
      <c r="AP28" s="778">
        <v>17.7262180974478</v>
      </c>
      <c r="AQ28" s="848">
        <v>28.010522213562</v>
      </c>
      <c r="AR28" s="847">
        <f ca="1">R28</f>
        <v>15.5</v>
      </c>
      <c r="AS28" s="778">
        <v>16.0257680872151</v>
      </c>
      <c r="AT28" s="778">
        <v>13.4769302918335</v>
      </c>
      <c r="AU28" s="778">
        <v>17.2395662175485</v>
      </c>
      <c r="AV28" s="778">
        <v>16.1147437249525</v>
      </c>
      <c r="AW28" s="848">
        <v>16.7272727272727</v>
      </c>
      <c r="AX28" s="847">
        <f ca="1">X28</f>
        <v>1e-12</v>
      </c>
      <c r="AY28" s="778">
        <v>8.85900261785775</v>
      </c>
      <c r="AZ28" s="778">
        <v>9.35236565763727</v>
      </c>
      <c r="BA28" s="778">
        <v>11.0643323413605</v>
      </c>
      <c r="BB28" s="778">
        <v>9.54752528769943</v>
      </c>
      <c r="BC28" s="848">
        <v>10.4468358443576</v>
      </c>
      <c r="BD28" s="847">
        <f ca="1">AD28</f>
        <v>7.7076</v>
      </c>
      <c r="BE28" s="778">
        <v>8.4865906345287</v>
      </c>
      <c r="BF28" s="778">
        <v>8.5156768142428</v>
      </c>
      <c r="BG28" s="778">
        <v>9.73644673364436</v>
      </c>
      <c r="BH28" s="778">
        <v>9.64438372190624</v>
      </c>
      <c r="BI28" s="848">
        <v>8.80910495908152</v>
      </c>
      <c r="BJ28" s="16"/>
      <c r="BK28" s="345" t="str">
        <f ca="1">$K28</f>
        <v>1Q09</v>
      </c>
      <c r="BL28" s="847">
        <f ca="1">AL28</f>
        <v>1e-12</v>
      </c>
      <c r="BM28" s="778">
        <v>12.6710775047259</v>
      </c>
      <c r="BN28" s="778">
        <v>16.8173374613003</v>
      </c>
      <c r="BO28" s="778">
        <v>17.1665906585859</v>
      </c>
      <c r="BP28" s="778">
        <v>14.5678512444358</v>
      </c>
      <c r="BQ28" s="848">
        <v>16.8831168831169</v>
      </c>
      <c r="BR28" s="847">
        <f ca="1">AR28</f>
        <v>15.5</v>
      </c>
      <c r="BS28" s="778">
        <v>12.2855571847507</v>
      </c>
      <c r="BT28" s="778">
        <v>16.5710799267846</v>
      </c>
      <c r="BU28" s="778">
        <v>15.3245489197475</v>
      </c>
      <c r="BV28" s="778">
        <v>14.7590818733598</v>
      </c>
      <c r="BW28" s="848">
        <v>15.6400384985563</v>
      </c>
      <c r="BX28" s="847">
        <f ca="1">AX28</f>
        <v>1e-12</v>
      </c>
      <c r="BY28" s="778">
        <v>10.8467594071463</v>
      </c>
      <c r="BZ28" s="778">
        <v>7.36376070979415</v>
      </c>
      <c r="CA28" s="778">
        <v>11.4163523058198</v>
      </c>
      <c r="CB28" s="778">
        <v>10.2260901018242</v>
      </c>
      <c r="CC28" s="848">
        <v>9.68686175304303</v>
      </c>
      <c r="CD28" s="847">
        <f ca="1">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918</v>
      </c>
      <c r="D29" s="846"/>
      <c r="E29" s="846"/>
      <c r="F29" s="846"/>
      <c r="G29" s="846"/>
      <c r="H29" s="846"/>
      <c r="I29" s="84">
        <f ca="1">IF(I28=4,1,I28+1)</f>
        <v>2</v>
      </c>
      <c r="J29" s="5">
        <f ca="1">IF(I29=1,J28+1,J28)</f>
        <v>2009</v>
      </c>
      <c r="K29" s="345" t="str">
        <f ca="1">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 ca="1">$K29</f>
        <v>2Q09</v>
      </c>
      <c r="AL29" s="847">
        <f ca="1">L29</f>
        <v>1e-12</v>
      </c>
      <c r="AM29" s="778">
        <v>15.4058919803601</v>
      </c>
      <c r="AN29" s="778">
        <v>14.8719880153684</v>
      </c>
      <c r="AO29" s="778">
        <v>18.7770034843206</v>
      </c>
      <c r="AP29" s="778">
        <v>17.1912087912088</v>
      </c>
      <c r="AQ29" s="848">
        <v>17.9026098026735</v>
      </c>
      <c r="AR29" s="847">
        <f ca="1">R29</f>
        <v>14.3252</v>
      </c>
      <c r="AS29" s="778">
        <v>14.8329656476521</v>
      </c>
      <c r="AT29" s="778">
        <v>14.1680591803049</v>
      </c>
      <c r="AU29" s="778">
        <v>17.6168682576005</v>
      </c>
      <c r="AV29" s="778">
        <v>16.4052013422819</v>
      </c>
      <c r="AW29" s="848">
        <v>14.8897058823529</v>
      </c>
      <c r="AX29" s="847">
        <f ca="1">X29</f>
        <v>1e-12</v>
      </c>
      <c r="AY29" s="778">
        <v>8.01288639099495</v>
      </c>
      <c r="AZ29" s="778">
        <v>9.59164296154905</v>
      </c>
      <c r="BA29" s="778">
        <v>9.68836800040644</v>
      </c>
      <c r="BB29" s="778">
        <v>9.56951054364888</v>
      </c>
      <c r="BC29" s="848">
        <v>8.3114767326934</v>
      </c>
      <c r="BD29" s="847">
        <f ca="1">AD29</f>
        <v>7.1951</v>
      </c>
      <c r="BE29" s="778">
        <v>7.97273141350249</v>
      </c>
      <c r="BF29" s="778">
        <v>8.61574057333204</v>
      </c>
      <c r="BG29" s="778">
        <v>9.10850981783904</v>
      </c>
      <c r="BH29" s="778">
        <v>9.66151145850426</v>
      </c>
      <c r="BI29" s="848">
        <v>7.72762338743707</v>
      </c>
      <c r="BJ29" s="16"/>
      <c r="BK29" s="345" t="str">
        <f ca="1">$K29</f>
        <v>2Q09</v>
      </c>
      <c r="BL29" s="847">
        <f ca="1">AL29</f>
        <v>1e-12</v>
      </c>
      <c r="BM29" s="778">
        <v>15.6287425149701</v>
      </c>
      <c r="BN29" s="778">
        <v>17.7298091042584</v>
      </c>
      <c r="BO29" s="778">
        <v>17.8624774718447</v>
      </c>
      <c r="BP29" s="778">
        <v>16.9552839086532</v>
      </c>
      <c r="BQ29" s="848">
        <v>17.6882793017456</v>
      </c>
      <c r="BR29" s="847">
        <f ca="1">AR29</f>
        <v>14.3252</v>
      </c>
      <c r="BS29" s="778">
        <v>13.9896373056995</v>
      </c>
      <c r="BT29" s="778">
        <v>17.3427176098822</v>
      </c>
      <c r="BU29" s="778">
        <v>16.6350377902351</v>
      </c>
      <c r="BV29" s="778">
        <v>17.3787535359534</v>
      </c>
      <c r="BW29" s="848">
        <v>16.9770224988033</v>
      </c>
      <c r="BX29" s="847">
        <f ca="1">AX29</f>
        <v>1e-12</v>
      </c>
      <c r="BY29" s="778">
        <v>8.73674862448364</v>
      </c>
      <c r="BZ29" s="778">
        <v>7.507600302718</v>
      </c>
      <c r="CA29" s="778">
        <v>12.0946544433192</v>
      </c>
      <c r="CB29" s="778">
        <v>11.9712771283663</v>
      </c>
      <c r="CC29" s="848">
        <v>6.79728445867446</v>
      </c>
      <c r="CD29" s="847">
        <f ca="1">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913</v>
      </c>
      <c r="F30" s="84" t="s">
        <v>914</v>
      </c>
      <c r="G30" s="84" t="s">
        <v>915</v>
      </c>
      <c r="H30" s="84" t="s">
        <v>916</v>
      </c>
      <c r="I30" s="84">
        <f ca="1">IF(I29+1=5,1,I29+1)</f>
        <v>3</v>
      </c>
      <c r="J30" s="5">
        <f ca="1">IF(I30=1,J29+1,J29)</f>
        <v>2009</v>
      </c>
      <c r="K30" s="345" t="str">
        <f ca="1">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 ca="1">$K30</f>
        <v>3Q09</v>
      </c>
      <c r="AL30" s="847">
        <f ca="1">L30</f>
        <v>1e-12</v>
      </c>
      <c r="AM30" s="778">
        <v>16.4130105900151</v>
      </c>
      <c r="AN30" s="778">
        <v>13.929109488189</v>
      </c>
      <c r="AO30" s="778">
        <v>20.4551282051282</v>
      </c>
      <c r="AP30" s="778">
        <v>17.5613305613306</v>
      </c>
      <c r="AQ30" s="848">
        <v>21.8146615743688</v>
      </c>
      <c r="AR30" s="847">
        <f ca="1">R30</f>
        <v>12.2469</v>
      </c>
      <c r="AS30" s="778">
        <v>15.7872526193248</v>
      </c>
      <c r="AT30" s="778">
        <v>14.0257435480674</v>
      </c>
      <c r="AU30" s="778">
        <v>19.7523986381925</v>
      </c>
      <c r="AV30" s="778">
        <v>17.106115836371</v>
      </c>
      <c r="AW30" s="848">
        <v>16.9006849315069</v>
      </c>
      <c r="AX30" s="847">
        <f ca="1">X30</f>
        <v>1e-12</v>
      </c>
      <c r="AY30" s="778">
        <v>8.58424870725069</v>
      </c>
      <c r="AZ30" s="778">
        <v>8.44273757619393</v>
      </c>
      <c r="BA30" s="778">
        <v>11.1349827480621</v>
      </c>
      <c r="BB30" s="778">
        <v>10.4017651747751</v>
      </c>
      <c r="BC30" s="848">
        <v>10.7651705951063</v>
      </c>
      <c r="BD30" s="847">
        <f ca="1">AD30</f>
        <v>6.259</v>
      </c>
      <c r="BE30" s="778">
        <v>8.56723621121493</v>
      </c>
      <c r="BF30" s="778">
        <v>8.46114657038452</v>
      </c>
      <c r="BG30" s="778">
        <v>10.5056506409749</v>
      </c>
      <c r="BH30" s="778">
        <v>10.058965891206</v>
      </c>
      <c r="BI30" s="848">
        <v>9.44569181856999</v>
      </c>
      <c r="BJ30" s="16"/>
      <c r="BK30" s="345" t="str">
        <f ca="1">$K30</f>
        <v>3Q09</v>
      </c>
      <c r="BL30" s="847">
        <f ca="1">AL30</f>
        <v>1e-12</v>
      </c>
      <c r="BM30" s="778">
        <v>15.111753371869</v>
      </c>
      <c r="BN30" s="778">
        <v>20.2482946793997</v>
      </c>
      <c r="BO30" s="778">
        <v>18.4239851666667</v>
      </c>
      <c r="BP30" s="778">
        <v>17.1044063218137</v>
      </c>
      <c r="BQ30" s="848">
        <v>19.2997601918465</v>
      </c>
      <c r="BR30" s="847">
        <f ca="1">AR30</f>
        <v>12.2469</v>
      </c>
      <c r="BS30" s="778">
        <v>14.5213849287169</v>
      </c>
      <c r="BT30" s="778">
        <v>19.4114569709652</v>
      </c>
      <c r="BU30" s="778">
        <v>18.0479854693878</v>
      </c>
      <c r="BV30" s="778">
        <v>18.0075015665405</v>
      </c>
      <c r="BW30" s="848">
        <v>19.012520670919</v>
      </c>
      <c r="BX30" s="847">
        <f ca="1">AX30</f>
        <v>1e-12</v>
      </c>
      <c r="BY30" s="778">
        <v>8.29237002443662</v>
      </c>
      <c r="BZ30" s="778">
        <v>8.90934420426463</v>
      </c>
      <c r="CA30" s="778">
        <v>12.5523640844115</v>
      </c>
      <c r="CB30" s="778">
        <v>11.7121590153251</v>
      </c>
      <c r="CC30" s="848">
        <v>7.52760370412584</v>
      </c>
      <c r="CD30" s="847">
        <f ca="1">BD30</f>
        <v>6.259</v>
      </c>
      <c r="CE30" s="778">
        <v>8.15426847974502</v>
      </c>
      <c r="CF30" s="778">
        <v>10.7704744434713</v>
      </c>
      <c r="CG30" s="778">
        <v>12.3639389901145</v>
      </c>
      <c r="CH30" s="778">
        <v>10.6466484541989</v>
      </c>
      <c r="CI30" s="848">
        <v>10.8118977956183</v>
      </c>
    </row>
    <row r="31" ht="14.25" customHeight="1" spans="1:87" x14ac:dyDescent="0.25">
      <c r="A31" s="16"/>
      <c r="B31" s="16"/>
      <c r="C31" s="16" t="s">
        <v>887</v>
      </c>
      <c r="D31" s="16"/>
      <c r="E31" s="724">
        <f ca="1">AVERAGE(M81:Q86)</f>
        <v>24.03590666666668</v>
      </c>
      <c r="F31" s="724">
        <f ca="1">AVERAGE(S81:W86)</f>
        <v>23.23926666666667</v>
      </c>
      <c r="G31" s="724">
        <f ca="1">AVERAGE(Y81:AC86)</f>
        <v>15.931383333333336</v>
      </c>
      <c r="H31" s="724">
        <f ca="1">AVERAGE(AE81:AI86)</f>
        <v>15.898750000000001</v>
      </c>
      <c r="I31" s="84">
        <f ca="1">IF(I30=4,1,I30+1)</f>
        <v>4</v>
      </c>
      <c r="J31" s="5">
        <f ca="1">IF(I31=1,J30+1,J30)</f>
        <v>2009</v>
      </c>
      <c r="K31" s="345" t="str">
        <f ca="1">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 ca="1">$K31</f>
        <v>4Q09</v>
      </c>
      <c r="AL31" s="847">
        <f ca="1">L31</f>
        <v>12.3333</v>
      </c>
      <c r="AM31" s="778">
        <v>15.3440233236152</v>
      </c>
      <c r="AN31" s="778">
        <v>13.7193211646154</v>
      </c>
      <c r="AO31" s="778">
        <v>18.2831325301205</v>
      </c>
      <c r="AP31" s="778">
        <v>17.4490196078431</v>
      </c>
      <c r="AQ31" s="848">
        <v>19.1538461538462</v>
      </c>
      <c r="AR31" s="847">
        <f ca="1">R31</f>
        <v>14.8383</v>
      </c>
      <c r="AS31" s="778">
        <v>15.1956113757759</v>
      </c>
      <c r="AT31" s="778">
        <v>13.8983966600429</v>
      </c>
      <c r="AU31" s="778">
        <v>18.6941792423776</v>
      </c>
      <c r="AV31" s="778">
        <v>17.5315208825847</v>
      </c>
      <c r="AW31" s="848">
        <v>16.8243243243243</v>
      </c>
      <c r="AX31" s="847">
        <f ca="1">X31</f>
        <v>6.4357</v>
      </c>
      <c r="AY31" s="778">
        <v>8.24111235821925</v>
      </c>
      <c r="AZ31" s="778">
        <v>8.02423787510952</v>
      </c>
      <c r="BA31" s="778">
        <v>9.96072924776507</v>
      </c>
      <c r="BB31" s="778">
        <v>10.0980469559544</v>
      </c>
      <c r="BC31" s="848">
        <v>9.3325299750434</v>
      </c>
      <c r="BD31" s="847">
        <f ca="1">AD31</f>
        <v>7.207</v>
      </c>
      <c r="BE31" s="778">
        <v>7.97389754145216</v>
      </c>
      <c r="BF31" s="778">
        <v>7.72976976739138</v>
      </c>
      <c r="BG31" s="778">
        <v>8.71093614698981</v>
      </c>
      <c r="BH31" s="778">
        <v>9.15086981964502</v>
      </c>
      <c r="BI31" s="848">
        <v>8.56753479334558</v>
      </c>
      <c r="BJ31" s="16"/>
      <c r="BK31" s="345" t="str">
        <f ca="1">$K31</f>
        <v>4Q09</v>
      </c>
      <c r="BL31" s="847">
        <f ca="1">AL31</f>
        <v>12.3333</v>
      </c>
      <c r="BM31" s="778">
        <v>13.512104283054</v>
      </c>
      <c r="BN31" s="778">
        <v>23.250936329588</v>
      </c>
      <c r="BO31" s="778">
        <v>15.7670749548673</v>
      </c>
      <c r="BP31" s="778">
        <v>16.1919309510472</v>
      </c>
      <c r="BQ31" s="848">
        <v>17.4748858447489</v>
      </c>
      <c r="BR31" s="847">
        <f ca="1">AR31</f>
        <v>14.8383</v>
      </c>
      <c r="BS31" s="778">
        <v>13.4869888475836</v>
      </c>
      <c r="BT31" s="778">
        <v>18.594249201278</v>
      </c>
      <c r="BU31" s="778">
        <v>16.1676902894737</v>
      </c>
      <c r="BV31" s="778">
        <v>18.6433810568673</v>
      </c>
      <c r="BW31" s="848">
        <v>17.9967082059723</v>
      </c>
      <c r="BX31" s="847">
        <f ca="1">AX31</f>
        <v>6.4357</v>
      </c>
      <c r="BY31" s="778">
        <v>7.33406986274049</v>
      </c>
      <c r="BZ31" s="778">
        <v>10.3981517643782</v>
      </c>
      <c r="CA31" s="778">
        <v>10.9312546610151</v>
      </c>
      <c r="CB31" s="778">
        <v>11.3586064014464</v>
      </c>
      <c r="CC31" s="848">
        <v>6.90251803024707</v>
      </c>
      <c r="CD31" s="847">
        <f ca="1">BD31</f>
        <v>7.207</v>
      </c>
      <c r="CE31" s="778">
        <v>7.15781064029143</v>
      </c>
      <c r="CF31" s="778">
        <v>11.0079026660542</v>
      </c>
      <c r="CG31" s="778">
        <v>9.6792214411202</v>
      </c>
      <c r="CH31" s="778">
        <v>9.8381757631917</v>
      </c>
      <c r="CI31" s="848">
        <v>9.27720073675327</v>
      </c>
    </row>
    <row r="32" ht="14.25" customHeight="1" spans="1:87" x14ac:dyDescent="0.25">
      <c r="A32" s="16"/>
      <c r="B32" s="16"/>
      <c r="C32" s="16" t="s">
        <v>889</v>
      </c>
      <c r="D32" s="16"/>
      <c r="E32" s="724">
        <f ca="1">AVERAGE(M77:Q86)</f>
        <v>22.794811999999997</v>
      </c>
      <c r="F32" s="724">
        <f ca="1">AVERAGE(S77:W86)</f>
        <v>22.402899999999995</v>
      </c>
      <c r="G32" s="724">
        <f ca="1">AVERAGE(Y77:AC86)</f>
        <v>15.202821999999996</v>
      </c>
      <c r="H32" s="724">
        <f ca="1">AVERAGE(AE77:AI86)</f>
        <v>15.226447999999996</v>
      </c>
      <c r="I32" s="84">
        <f ca="1">I28</f>
        <v>1</v>
      </c>
      <c r="J32" s="5">
        <f ca="1">IF(I32=1,J31+1,J31)</f>
        <v>2010</v>
      </c>
      <c r="K32" s="345" t="str">
        <f ca="1">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 ca="1">$K32</f>
        <v>1Q10</v>
      </c>
      <c r="AL32" s="847">
        <f ca="1">L32</f>
        <v>11.5922</v>
      </c>
      <c r="AM32" s="778">
        <v>13.7916666666667</v>
      </c>
      <c r="AN32" s="778">
        <v>14.4646541801229</v>
      </c>
      <c r="AO32" s="778">
        <v>18.2514124293785</v>
      </c>
      <c r="AP32" s="778">
        <v>15.297247706422</v>
      </c>
      <c r="AQ32" s="848">
        <v>18.6634615384615</v>
      </c>
      <c r="AR32" s="847">
        <f ca="1">R32</f>
        <v>13.7874</v>
      </c>
      <c r="AS32" s="778">
        <v>13.4771986970684</v>
      </c>
      <c r="AT32" s="778">
        <v>12.3404741956294</v>
      </c>
      <c r="AU32" s="778">
        <v>16.664947124065</v>
      </c>
      <c r="AV32" s="778">
        <v>14.4890510948905</v>
      </c>
      <c r="AW32" s="848">
        <v>13.7855113636364</v>
      </c>
      <c r="AX32" s="847">
        <f ca="1">X32</f>
        <v>5.7847</v>
      </c>
      <c r="AY32" s="778">
        <v>7.5082358060283</v>
      </c>
      <c r="AZ32" s="778">
        <v>8.52486044129458</v>
      </c>
      <c r="BA32" s="778">
        <v>10.3114736638174</v>
      </c>
      <c r="BB32" s="778">
        <v>8.98015145446268</v>
      </c>
      <c r="BC32" s="848">
        <v>9.08579678005642</v>
      </c>
      <c r="BD32" s="847">
        <f ca="1">AD32</f>
        <v>6.4312</v>
      </c>
      <c r="BE32" s="778">
        <v>7.44225321565274</v>
      </c>
      <c r="BF32" s="778">
        <v>7.58233332727495</v>
      </c>
      <c r="BG32" s="778">
        <v>9.37739082369275</v>
      </c>
      <c r="BH32" s="778">
        <v>8.58421079389026</v>
      </c>
      <c r="BI32" s="848">
        <v>8.06478592151889</v>
      </c>
      <c r="BJ32" s="16"/>
      <c r="BK32" s="345" t="str">
        <f ca="1">$K32</f>
        <v>1Q10</v>
      </c>
      <c r="BL32" s="847">
        <f ca="1">AL32</f>
        <v>11.5922</v>
      </c>
      <c r="BM32" s="778">
        <v>14.005366726297</v>
      </c>
      <c r="BN32" s="778">
        <v>18.6419466975666</v>
      </c>
      <c r="BO32" s="778">
        <v>16.0251866279279</v>
      </c>
      <c r="BP32" s="778">
        <v>14.024015011101</v>
      </c>
      <c r="BQ32" s="848">
        <v>15.15859030837</v>
      </c>
      <c r="BR32" s="847">
        <f ca="1">AR32</f>
        <v>13.7874</v>
      </c>
      <c r="BS32" s="778">
        <v>13.1403155421282</v>
      </c>
      <c r="BT32" s="778">
        <v>15.4811393379523</v>
      </c>
      <c r="BU32" s="778">
        <v>14.6523535065898</v>
      </c>
      <c r="BV32" s="778">
        <v>14.2851003969459</v>
      </c>
      <c r="BW32" s="848">
        <v>14.1546688605512</v>
      </c>
      <c r="BX32" s="847">
        <f ca="1">AX32</f>
        <v>5.7847</v>
      </c>
      <c r="BY32" s="778">
        <v>7.58359118671717</v>
      </c>
      <c r="BZ32" s="778">
        <v>8.82653249435534</v>
      </c>
      <c r="CA32" s="778">
        <v>10.8670026348689</v>
      </c>
      <c r="CB32" s="778">
        <v>10.0792752371108</v>
      </c>
      <c r="CC32" s="848">
        <v>6.17659738967299</v>
      </c>
      <c r="CD32" s="847">
        <f ca="1">BD32</f>
        <v>6.4312</v>
      </c>
      <c r="CE32" s="778">
        <v>7.96814530662271</v>
      </c>
      <c r="CF32" s="778">
        <v>9.57449076073544</v>
      </c>
      <c r="CG32" s="778">
        <v>9.11535440583849</v>
      </c>
      <c r="CH32" s="778">
        <v>9.0013095935908</v>
      </c>
      <c r="CI32" s="848">
        <v>8.36843695719435</v>
      </c>
    </row>
    <row r="33" ht="14.25" customHeight="1" spans="1:87" x14ac:dyDescent="0.25">
      <c r="A33" s="16"/>
      <c r="B33" s="16"/>
      <c r="C33" s="16" t="s">
        <v>884</v>
      </c>
      <c r="D33" s="16"/>
      <c r="E33" s="724">
        <f ca="1">AVERAGE(M73:Q86)</f>
        <v>22.434631428571436</v>
      </c>
      <c r="F33" s="724">
        <f ca="1">AVERAGE(S73:W86)</f>
        <v>21.62764142857142</v>
      </c>
      <c r="G33" s="724">
        <f ca="1">AVERAGE(Y73:AC86)</f>
        <v>14.829062857142853</v>
      </c>
      <c r="H33" s="724">
        <f ca="1">AVERAGE(AE73:AI86)</f>
        <v>14.83389857142857</v>
      </c>
      <c r="I33" s="84">
        <f ca="1">IF(I32=4,1,I32+1)</f>
        <v>2</v>
      </c>
      <c r="J33" s="5">
        <f ca="1">IF(I33=1,J32+1,J32)</f>
        <v>2010</v>
      </c>
      <c r="K33" s="345" t="str">
        <f ca="1">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 ca="1">$K33</f>
        <v>2Q10</v>
      </c>
      <c r="AL33" s="847">
        <f ca="1">L33</f>
        <v>13.4602</v>
      </c>
      <c r="AM33" s="778">
        <v>13.0330250990753</v>
      </c>
      <c r="AN33" s="778">
        <v>12.3103857018256</v>
      </c>
      <c r="AO33" s="778">
        <v>15.048128342246</v>
      </c>
      <c r="AP33" s="778">
        <v>14.7978910369069</v>
      </c>
      <c r="AQ33" s="848">
        <v>16.1496350364963</v>
      </c>
      <c r="AR33" s="847">
        <f ca="1">R33</f>
        <v>15.4735</v>
      </c>
      <c r="AS33" s="778">
        <v>13.2518468770987</v>
      </c>
      <c r="AT33" s="778">
        <v>11.8143277224061</v>
      </c>
      <c r="AU33" s="778">
        <v>14.3534812547819</v>
      </c>
      <c r="AV33" s="778">
        <v>14.2518618821936</v>
      </c>
      <c r="AW33" s="848">
        <v>12.6068376068376</v>
      </c>
      <c r="AX33" s="847">
        <f ca="1">X33</f>
        <v>6.5525</v>
      </c>
      <c r="AY33" s="778">
        <v>7.13845427889995</v>
      </c>
      <c r="AZ33" s="778">
        <v>7.2858484195114</v>
      </c>
      <c r="BA33" s="778">
        <v>8.56023963831996</v>
      </c>
      <c r="BB33" s="778">
        <v>8.52483697498763</v>
      </c>
      <c r="BC33" s="848">
        <v>8.51204820813631</v>
      </c>
      <c r="BD33" s="847">
        <f ca="1">AD33</f>
        <v>7.1468</v>
      </c>
      <c r="BE33" s="778">
        <v>7.17551512396366</v>
      </c>
      <c r="BF33" s="778">
        <v>7.07841661921764</v>
      </c>
      <c r="BG33" s="778">
        <v>7.97209442218629</v>
      </c>
      <c r="BH33" s="778">
        <v>8.23352538970197</v>
      </c>
      <c r="BI33" s="848">
        <v>8.00985159188212</v>
      </c>
      <c r="BJ33" s="16"/>
      <c r="BK33" s="345" t="str">
        <f ca="1">$K33</f>
        <v>2Q10</v>
      </c>
      <c r="BL33" s="847">
        <f ca="1">AL33</f>
        <v>13.4602</v>
      </c>
      <c r="BM33" s="778">
        <v>12.1215106732348</v>
      </c>
      <c r="BN33" s="778">
        <v>15.3631522896699</v>
      </c>
      <c r="BO33" s="778">
        <v>11.4534820830357</v>
      </c>
      <c r="BP33" s="778">
        <v>11.7898232831689</v>
      </c>
      <c r="BQ33" s="848">
        <v>13.0168776371308</v>
      </c>
      <c r="BR33" s="847">
        <f ca="1">AR33</f>
        <v>15.4735</v>
      </c>
      <c r="BS33" s="778">
        <v>12.1996364237316</v>
      </c>
      <c r="BT33" s="778">
        <v>14.2156089869925</v>
      </c>
      <c r="BU33" s="778">
        <v>11.5879854859982</v>
      </c>
      <c r="BV33" s="778">
        <v>12.6164160594796</v>
      </c>
      <c r="BW33" s="848">
        <v>12.6046986721144</v>
      </c>
      <c r="BX33" s="847">
        <f ca="1">AX33</f>
        <v>6.5525</v>
      </c>
      <c r="BY33" s="778">
        <v>6.76726294065942</v>
      </c>
      <c r="BZ33" s="778">
        <v>7.10345359639207</v>
      </c>
      <c r="CA33" s="778">
        <v>7.78108940528903</v>
      </c>
      <c r="CB33" s="778">
        <v>8.89386809611559</v>
      </c>
      <c r="CC33" s="848">
        <v>7.83430844388233</v>
      </c>
      <c r="CD33" s="847">
        <f ca="1">BD33</f>
        <v>7.1468</v>
      </c>
      <c r="CE33" s="778">
        <v>7.42775735230166</v>
      </c>
      <c r="CF33" s="778">
        <v>8.32214301402676</v>
      </c>
      <c r="CG33" s="778">
        <v>7.3101900362287</v>
      </c>
      <c r="CH33" s="778">
        <v>8.08381866379652</v>
      </c>
      <c r="CI33" s="848">
        <v>7.55503811116955</v>
      </c>
    </row>
    <row r="34" ht="14.25" customHeight="1" spans="1:87" x14ac:dyDescent="0.25">
      <c r="A34" s="16"/>
      <c r="B34" s="16"/>
      <c r="C34" s="16" t="s">
        <v>890</v>
      </c>
      <c r="D34" s="16"/>
      <c r="E34" s="724">
        <f ca="1">AVERAGE(M65:Q86)</f>
        <v>22.779055454545446</v>
      </c>
      <c r="F34" s="724">
        <f ca="1">AVERAGE(S65:W86)</f>
        <v>21.50007</v>
      </c>
      <c r="G34" s="724">
        <f ca="1">AVERAGE(Y65:AC86)</f>
        <v>14.193111818181821</v>
      </c>
      <c r="H34" s="724">
        <f ca="1">AVERAGE(AE65:AI86)</f>
        <v>14.158867272727273</v>
      </c>
      <c r="I34" s="84">
        <f ca="1">IF(I33+1=5,1,I33+1)</f>
        <v>3</v>
      </c>
      <c r="J34" s="5">
        <f ca="1">IF(I34=1,J33+1,J33)</f>
        <v>2010</v>
      </c>
      <c r="K34" s="345" t="str">
        <f ca="1">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 ca="1">$K34</f>
        <v>3Q10</v>
      </c>
      <c r="AL34" s="847">
        <f ca="1">L34</f>
        <v>12.9639</v>
      </c>
      <c r="AM34" s="778">
        <v>14.2613784135241</v>
      </c>
      <c r="AN34" s="778">
        <v>10.9403486187251</v>
      </c>
      <c r="AO34" s="778">
        <v>13.6310164596243</v>
      </c>
      <c r="AP34" s="778">
        <v>12.3939393939394</v>
      </c>
      <c r="AQ34" s="848">
        <v>15.036496350365</v>
      </c>
      <c r="AR34" s="847">
        <f ca="1">R34</f>
        <v>14.299</v>
      </c>
      <c r="AS34" s="778">
        <v>14.1894164833743</v>
      </c>
      <c r="AT34" s="778">
        <v>10.6953359427459</v>
      </c>
      <c r="AU34" s="778">
        <v>13.3708145927036</v>
      </c>
      <c r="AV34" s="778">
        <v>12.0274464956706</v>
      </c>
      <c r="AW34" s="848">
        <v>11.2568306010929</v>
      </c>
      <c r="AX34" s="847">
        <f ca="1">X34</f>
        <v>6.2556</v>
      </c>
      <c r="AY34" s="778">
        <v>7.63722758727173</v>
      </c>
      <c r="AZ34" s="778">
        <v>6.5458498682913</v>
      </c>
      <c r="BA34" s="778">
        <v>7.38488673506552</v>
      </c>
      <c r="BB34" s="778">
        <v>7.15096702293113</v>
      </c>
      <c r="BC34" s="848">
        <v>7.94865866056743</v>
      </c>
      <c r="BD34" s="847">
        <f ca="1">AD34</f>
        <v>6.6945</v>
      </c>
      <c r="BE34" s="778">
        <v>7.65709577706541</v>
      </c>
      <c r="BF34" s="778">
        <v>6.31387809328918</v>
      </c>
      <c r="BG34" s="778">
        <v>7.29278151519314</v>
      </c>
      <c r="BH34" s="778">
        <v>7.04444582656831</v>
      </c>
      <c r="BI34" s="848">
        <v>7.05981330295993</v>
      </c>
      <c r="BJ34" s="16"/>
      <c r="BK34" s="345" t="str">
        <f ca="1">$K34</f>
        <v>3Q10</v>
      </c>
      <c r="BL34" s="847">
        <f ca="1">AL34</f>
        <v>12.9639</v>
      </c>
      <c r="BM34" s="778">
        <v>9.80263157894737</v>
      </c>
      <c r="BN34" s="778">
        <v>10.2484472049689</v>
      </c>
      <c r="BO34" s="778">
        <v>11.5079392957746</v>
      </c>
      <c r="BP34" s="778">
        <v>8.52493561532834</v>
      </c>
      <c r="BQ34" s="848">
        <v>12.1578947368421</v>
      </c>
      <c r="BR34" s="847">
        <f ca="1">AR34</f>
        <v>14.299</v>
      </c>
      <c r="BS34" s="778">
        <v>9.80101956914981</v>
      </c>
      <c r="BT34" s="778">
        <v>10.116492949111</v>
      </c>
      <c r="BU34" s="778">
        <v>12.1166142857143</v>
      </c>
      <c r="BV34" s="778">
        <v>10.3440641357541</v>
      </c>
      <c r="BW34" s="848">
        <v>12.1406913280776</v>
      </c>
      <c r="BX34" s="847">
        <f ca="1">AX34</f>
        <v>6.2556</v>
      </c>
      <c r="BY34" s="778">
        <v>5.8776212254061</v>
      </c>
      <c r="BZ34" s="778">
        <v>4.76372495848693</v>
      </c>
      <c r="CA34" s="778">
        <v>7.59923687527338</v>
      </c>
      <c r="CB34" s="778">
        <v>8.4334234393286</v>
      </c>
      <c r="CC34" s="848">
        <v>7.37840266412968</v>
      </c>
      <c r="CD34" s="847">
        <f ca="1">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919</v>
      </c>
      <c r="D35" s="846"/>
      <c r="E35" s="846"/>
      <c r="F35" s="846"/>
      <c r="G35" s="846"/>
      <c r="H35" s="846"/>
      <c r="I35" s="84">
        <f ca="1">IF(I34=4,1,I34+1)</f>
        <v>4</v>
      </c>
      <c r="J35" s="5">
        <f ca="1">IF(I35=1,J34+1,J34)</f>
        <v>2010</v>
      </c>
      <c r="K35" s="345" t="str">
        <f ca="1">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 ca="1">$K35</f>
        <v>4Q10</v>
      </c>
      <c r="AL35" s="847">
        <f ca="1">L35</f>
        <v>12.2483</v>
      </c>
      <c r="AM35" s="778">
        <v>10.8211068211068</v>
      </c>
      <c r="AN35" s="778">
        <v>21.9437661740064</v>
      </c>
      <c r="AO35" s="778">
        <v>12.4621362504108</v>
      </c>
      <c r="AP35" s="778">
        <v>9.37947882736156</v>
      </c>
      <c r="AQ35" s="848">
        <v>7.59576612903226</v>
      </c>
      <c r="AR35" s="847">
        <f ca="1">R35</f>
        <v>16.5758</v>
      </c>
      <c r="AS35" s="778">
        <v>10.8883708883709</v>
      </c>
      <c r="AT35" s="778">
        <v>7.85453529719339</v>
      </c>
      <c r="AU35" s="778">
        <v>12.6493184634449</v>
      </c>
      <c r="AV35" s="778">
        <v>9.32631578947369</v>
      </c>
      <c r="AW35" s="848">
        <v>10.0199468085106</v>
      </c>
      <c r="AX35" s="847">
        <f ca="1">X35</f>
        <v>5.908</v>
      </c>
      <c r="AY35" s="778">
        <v>5.90011760747417</v>
      </c>
      <c r="AZ35" s="778">
        <v>4.82447464821243</v>
      </c>
      <c r="BA35" s="778">
        <v>7.14185113877008</v>
      </c>
      <c r="BB35" s="778">
        <v>6.06203857526081</v>
      </c>
      <c r="BC35" s="848">
        <v>5.50760434172874</v>
      </c>
      <c r="BD35" s="847">
        <f ca="1">AD35</f>
        <v>7.0318</v>
      </c>
      <c r="BE35" s="778">
        <v>6.03087847680449</v>
      </c>
      <c r="BF35" s="778">
        <v>4.62504773738436</v>
      </c>
      <c r="BG35" s="778">
        <v>6.2991772819749</v>
      </c>
      <c r="BH35" s="778">
        <v>5.53833867354741</v>
      </c>
      <c r="BI35" s="848">
        <v>5.70512358787155</v>
      </c>
      <c r="BJ35" s="16"/>
      <c r="BK35" s="345" t="str">
        <f ca="1">$K35</f>
        <v>4Q10</v>
      </c>
      <c r="BL35" s="847">
        <f ca="1">AL35</f>
        <v>12.2483</v>
      </c>
      <c r="BM35" s="778">
        <v>7.89222614840989</v>
      </c>
      <c r="BN35" s="778">
        <v>8.01673640167364</v>
      </c>
      <c r="BO35" s="778">
        <v>7.98578086153846</v>
      </c>
      <c r="BP35" s="778">
        <v>6.70691845599802</v>
      </c>
      <c r="BQ35" s="848">
        <v>10.784708249497</v>
      </c>
      <c r="BR35" s="847">
        <f ca="1">AR35</f>
        <v>16.5758</v>
      </c>
      <c r="BS35" s="778">
        <v>7.57118644067797</v>
      </c>
      <c r="BT35" s="778">
        <v>8.47600088476001</v>
      </c>
      <c r="BU35" s="778">
        <v>8.1487559811617</v>
      </c>
      <c r="BV35" s="778">
        <v>8.31229787365712</v>
      </c>
      <c r="BW35" s="848">
        <v>10.9387755102041</v>
      </c>
      <c r="BX35" s="847">
        <f ca="1">AX35</f>
        <v>5.908</v>
      </c>
      <c r="BY35" s="778">
        <v>4.30281119062126</v>
      </c>
      <c r="BZ35" s="778">
        <v>3.84144099267505</v>
      </c>
      <c r="CA35" s="778">
        <v>5.64581306397784</v>
      </c>
      <c r="CB35" s="778">
        <v>6.80370302620347</v>
      </c>
      <c r="CC35" s="848">
        <v>6.62475062506113</v>
      </c>
      <c r="CD35" s="847">
        <f ca="1">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913</v>
      </c>
      <c r="F36" s="84" t="s">
        <v>914</v>
      </c>
      <c r="G36" s="84" t="s">
        <v>915</v>
      </c>
      <c r="H36" s="84" t="s">
        <v>916</v>
      </c>
      <c r="I36" s="84">
        <f ca="1">I32</f>
        <v>1</v>
      </c>
      <c r="J36" s="5">
        <f ca="1">IF(I36=1,J35+1,J35)</f>
        <v>2011</v>
      </c>
      <c r="K36" s="345" t="str">
        <f ca="1">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 ca="1">$K36</f>
        <v>1Q11</v>
      </c>
      <c r="AL36" s="847">
        <f ca="1">L36</f>
        <v>13.8423</v>
      </c>
      <c r="AM36" s="778">
        <v>8.94170984455958</v>
      </c>
      <c r="AN36" s="778">
        <v>18.143558</v>
      </c>
      <c r="AO36" s="778">
        <v>9.14879335309855</v>
      </c>
      <c r="AP36" s="778">
        <v>6.77361563517915</v>
      </c>
      <c r="AQ36" s="848">
        <v>6.74395161290323</v>
      </c>
      <c r="AR36" s="847">
        <f ca="1">R36</f>
        <v>15.7677</v>
      </c>
      <c r="AS36" s="778">
        <v>9.4007898679014</v>
      </c>
      <c r="AT36" s="778">
        <v>8.16609809323432</v>
      </c>
      <c r="AU36" s="778">
        <v>8.41945945945946</v>
      </c>
      <c r="AV36" s="778">
        <v>6.82810704317846</v>
      </c>
      <c r="AW36" s="848">
        <v>8.06024096385542</v>
      </c>
      <c r="AX36" s="847">
        <f ca="1">X36</f>
        <v>6.181</v>
      </c>
      <c r="AY36" s="778">
        <v>4.89790121018937</v>
      </c>
      <c r="AZ36" s="778">
        <v>4.62200946967527</v>
      </c>
      <c r="BA36" s="778">
        <v>5.07124184961911</v>
      </c>
      <c r="BB36" s="778">
        <v>4.50233671413515</v>
      </c>
      <c r="BC36" s="848">
        <v>4.90204376382567</v>
      </c>
      <c r="BD36" s="847">
        <f ca="1">AD36</f>
        <v>6.7382</v>
      </c>
      <c r="BE36" s="778">
        <v>5.2630583207003</v>
      </c>
      <c r="BF36" s="778">
        <v>4.9107333603228</v>
      </c>
      <c r="BG36" s="778">
        <v>4.76823874635809</v>
      </c>
      <c r="BH36" s="778">
        <v>4.5585638192333</v>
      </c>
      <c r="BI36" s="848">
        <v>4.8074347810977</v>
      </c>
      <c r="BJ36" s="16"/>
      <c r="BK36" s="345" t="str">
        <f ca="1">$K36</f>
        <v>1Q11</v>
      </c>
      <c r="BL36" s="847">
        <f ca="1">AL36</f>
        <v>13.8423</v>
      </c>
      <c r="BM36" s="778">
        <v>6.06261010977097</v>
      </c>
      <c r="BN36" s="778">
        <v>7.29854559770248</v>
      </c>
      <c r="BO36" s="778">
        <v>5.51742027483059</v>
      </c>
      <c r="BP36" s="778">
        <v>6.20276365659083</v>
      </c>
      <c r="BQ36" s="848">
        <v>8.96724015554344</v>
      </c>
      <c r="BR36" s="847">
        <f ca="1">AR36</f>
        <v>15.7677</v>
      </c>
      <c r="BS36" s="778">
        <v>13.1576470588235</v>
      </c>
      <c r="BT36" s="778">
        <v>10.2303143479614</v>
      </c>
      <c r="BU36" s="778">
        <v>10.0395161714876</v>
      </c>
      <c r="BV36" s="778">
        <v>8.64779520486701</v>
      </c>
      <c r="BW36" s="848">
        <v>10.3069544364508</v>
      </c>
      <c r="BX36" s="847">
        <f ca="1">AX36</f>
        <v>6.181</v>
      </c>
      <c r="BY36" s="778">
        <v>3.7364763015806</v>
      </c>
      <c r="BZ36" s="778">
        <v>3.66001445821772</v>
      </c>
      <c r="CA36" s="778">
        <v>4.34125575482718</v>
      </c>
      <c r="CB36" s="778">
        <v>6.51077564649239</v>
      </c>
      <c r="CC36" s="848">
        <v>5.76187677861997</v>
      </c>
      <c r="CD36" s="847">
        <f ca="1">BD36</f>
        <v>6.7382</v>
      </c>
      <c r="CE36" s="778">
        <v>6.63022308926675</v>
      </c>
      <c r="CF36" s="778">
        <v>5.85000314803948</v>
      </c>
      <c r="CG36" s="778">
        <v>4.72919234884656</v>
      </c>
      <c r="CH36" s="778">
        <v>5.90416055786468</v>
      </c>
      <c r="CI36" s="848">
        <v>6.27194697572948</v>
      </c>
    </row>
    <row r="37" ht="14.25" customHeight="1" spans="1:87" x14ac:dyDescent="0.25">
      <c r="A37" s="16"/>
      <c r="B37" s="16"/>
      <c r="C37" s="16" t="s">
        <v>920</v>
      </c>
      <c r="D37" s="16"/>
      <c r="E37" s="724">
        <f ca="1">AVERAGE(M8:Q75)</f>
        <v>19.21793823529415</v>
      </c>
      <c r="F37" s="724">
        <f ca="1">AVERAGE(S8:W75)</f>
        <v>18.137459117647047</v>
      </c>
      <c r="G37" s="724">
        <f ca="1">AVERAGE(Y8:AC75)</f>
        <v>10.293522941176485</v>
      </c>
      <c r="H37" s="724">
        <f ca="1">AVERAGE(AE8:AI75)</f>
        <v>10.249110670731723</v>
      </c>
      <c r="I37" s="84">
        <f ca="1">IF(I36=4,1,I36+1)</f>
        <v>2</v>
      </c>
      <c r="J37" s="5">
        <f ca="1">IF(I37=1,J36+1,J36)</f>
        <v>2011</v>
      </c>
      <c r="K37" s="345" t="str">
        <f ca="1">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 ca="1">$K37</f>
        <v>2Q11</v>
      </c>
      <c r="AL37" s="847">
        <f ca="1">L37</f>
        <v>16.0511</v>
      </c>
      <c r="AM37" s="778">
        <v>10.8400537634409</v>
      </c>
      <c r="AN37" s="778">
        <v>20.8031558594378</v>
      </c>
      <c r="AO37" s="778">
        <v>9.88465235857861</v>
      </c>
      <c r="AP37" s="778">
        <v>8.8482428115016</v>
      </c>
      <c r="AQ37" s="848">
        <v>10.9902597402597</v>
      </c>
      <c r="AR37" s="847">
        <f ca="1">R37</f>
        <v>17.45</v>
      </c>
      <c r="AS37" s="778">
        <v>10.8810037776579</v>
      </c>
      <c r="AT37" s="778">
        <v>8.3497655595406</v>
      </c>
      <c r="AU37" s="778">
        <v>9.41712590080543</v>
      </c>
      <c r="AV37" s="778">
        <v>9.01823510257245</v>
      </c>
      <c r="AW37" s="848">
        <v>8.05952380952381</v>
      </c>
      <c r="AX37" s="847">
        <f ca="1">X37</f>
        <v>6.8694</v>
      </c>
      <c r="AY37" s="778">
        <v>5.82167252554598</v>
      </c>
      <c r="AZ37" s="778">
        <v>5.04100180226023</v>
      </c>
      <c r="BA37" s="778">
        <v>5.51825909288744</v>
      </c>
      <c r="BB37" s="778">
        <v>5.75990533872074</v>
      </c>
      <c r="BC37" s="848">
        <v>4.63550797149717</v>
      </c>
      <c r="BD37" s="847">
        <f ca="1">AD37</f>
        <v>7.1572</v>
      </c>
      <c r="BE37" s="778">
        <v>5.95575380710775</v>
      </c>
      <c r="BF37" s="778">
        <v>5.05876329563125</v>
      </c>
      <c r="BG37" s="778">
        <v>5.28198572877306</v>
      </c>
      <c r="BH37" s="778">
        <v>5.86429997708341</v>
      </c>
      <c r="BI37" s="848">
        <v>4.71638627172521</v>
      </c>
      <c r="BJ37" s="16"/>
      <c r="BK37" s="345" t="str">
        <f ca="1">$K37</f>
        <v>2Q11</v>
      </c>
      <c r="BL37" s="847">
        <f ca="1">AL37</f>
        <v>16.0511</v>
      </c>
      <c r="BM37" s="778">
        <v>9.19853836784409</v>
      </c>
      <c r="BN37" s="778">
        <v>10.3133050412313</v>
      </c>
      <c r="BO37" s="778">
        <v>7.82122628507479</v>
      </c>
      <c r="BP37" s="778">
        <v>7.68649436762423</v>
      </c>
      <c r="BQ37" s="848">
        <v>11.2296705358169</v>
      </c>
      <c r="BR37" s="847">
        <f ca="1">AR37</f>
        <v>17.45</v>
      </c>
      <c r="BS37" s="778">
        <v>28.2634730538922</v>
      </c>
      <c r="BT37" s="778">
        <v>15.7036163522013</v>
      </c>
      <c r="BU37" s="778">
        <v>11.4957820489796</v>
      </c>
      <c r="BV37" s="778">
        <v>10.4776994462381</v>
      </c>
      <c r="BW37" s="848">
        <v>12.747791952895</v>
      </c>
      <c r="BX37" s="847">
        <f ca="1">AX37</f>
        <v>6.8694</v>
      </c>
      <c r="BY37" s="778">
        <v>4.9804834814134</v>
      </c>
      <c r="BZ37" s="778">
        <v>3.58839260043144</v>
      </c>
      <c r="CA37" s="778">
        <v>5.67519919824192</v>
      </c>
      <c r="CB37" s="778">
        <v>7.58509884744024</v>
      </c>
      <c r="CC37" s="848">
        <v>7.07566910748467</v>
      </c>
      <c r="CD37" s="847">
        <f ca="1">BD37</f>
        <v>7.1572</v>
      </c>
      <c r="CE37" s="778">
        <v>9.89561708373266</v>
      </c>
      <c r="CF37" s="778">
        <v>6.09088945161138</v>
      </c>
      <c r="CG37" s="778">
        <v>6.66279642640942</v>
      </c>
      <c r="CH37" s="778">
        <v>6.76085839496737</v>
      </c>
      <c r="CI37" s="848">
        <v>7.46422950954564</v>
      </c>
    </row>
    <row r="38" ht="14.25" customHeight="1" spans="1:87" x14ac:dyDescent="0.25">
      <c r="A38" s="16"/>
      <c r="B38" s="16"/>
      <c r="C38" s="16" t="s">
        <v>921</v>
      </c>
      <c r="D38" s="16"/>
      <c r="E38" s="724">
        <f t="shared" ref="E38:H38" si="33" ca="1">AVERAGE(E42,E46)</f>
        <v>19.162175625</v>
      </c>
      <c r="F38" s="724">
        <f ca="1">AVERAGE(F42,F46)</f>
        <v>18.071488541666675</v>
      </c>
      <c r="G38" s="724">
        <f ca="1">AVERAGE(G42,G46)</f>
        <v>9.864566666666665</v>
      </c>
      <c r="H38" s="724">
        <f ca="1">AVERAGE(H42,H46)</f>
        <v>9.915280416666667</v>
      </c>
      <c r="I38" s="84">
        <f ca="1">IF(I37+1=5,1,I37+1)</f>
        <v>3</v>
      </c>
      <c r="J38" s="5">
        <f ca="1">IF(I38=1,J37+1,J37)</f>
        <v>2011</v>
      </c>
      <c r="K38" s="345" t="str">
        <f ca="1">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 ca="1">$K38</f>
        <v>3Q11</v>
      </c>
      <c r="AL38" s="847">
        <f ca="1">L38</f>
        <v>18.9198</v>
      </c>
      <c r="AM38" s="778">
        <v>10.5377576439906</v>
      </c>
      <c r="AN38" s="778">
        <v>27.4851857570911</v>
      </c>
      <c r="AO38" s="778">
        <v>10.2080314672093</v>
      </c>
      <c r="AP38" s="778">
        <v>10.1572327044025</v>
      </c>
      <c r="AQ38" s="848">
        <v>11.3376623376623</v>
      </c>
      <c r="AR38" s="847">
        <f ca="1">R38</f>
        <v>19.251</v>
      </c>
      <c r="AS38" s="778">
        <v>10.5899905058999</v>
      </c>
      <c r="AT38" s="778">
        <v>9.63399473117176</v>
      </c>
      <c r="AU38" s="778">
        <v>10.025078369906</v>
      </c>
      <c r="AV38" s="778">
        <v>10.4683195592286</v>
      </c>
      <c r="AW38" s="848">
        <v>8.64356435643564</v>
      </c>
      <c r="AX38" s="847">
        <f ca="1">X38</f>
        <v>7.8838</v>
      </c>
      <c r="AY38" s="778">
        <v>5.75086825776484</v>
      </c>
      <c r="AZ38" s="778">
        <v>5.76379770975627</v>
      </c>
      <c r="BA38" s="778">
        <v>5.67244769955988</v>
      </c>
      <c r="BB38" s="778">
        <v>6.41895446200724</v>
      </c>
      <c r="BC38" s="848">
        <v>4.78298077282033</v>
      </c>
      <c r="BD38" s="847">
        <f ca="1">AD38</f>
        <v>7.845</v>
      </c>
      <c r="BE38" s="778">
        <v>5.82626829111257</v>
      </c>
      <c r="BF38" s="778">
        <v>5.64016330373248</v>
      </c>
      <c r="BG38" s="778">
        <v>5.50800076174861</v>
      </c>
      <c r="BH38" s="778">
        <v>6.54640211913482</v>
      </c>
      <c r="BI38" s="848">
        <v>4.90525100638369</v>
      </c>
      <c r="BJ38" s="16"/>
      <c r="BK38" s="345" t="str">
        <f ca="1">$K38</f>
        <v>3Q11</v>
      </c>
      <c r="BL38" s="847">
        <f ca="1">AL38</f>
        <v>18.9198</v>
      </c>
      <c r="BM38" s="778">
        <v>19.4664826079701</v>
      </c>
      <c r="BN38" s="778">
        <v>12.1118500568766</v>
      </c>
      <c r="BO38" s="778">
        <v>12.9341481944021</v>
      </c>
      <c r="BP38" s="778">
        <v>10.6991838719928</v>
      </c>
      <c r="BQ38" s="848">
        <v>13.6541211445259</v>
      </c>
      <c r="BR38" s="847">
        <f ca="1">AR38</f>
        <v>19.251</v>
      </c>
      <c r="BS38" s="778">
        <v>35.2783505154639</v>
      </c>
      <c r="BT38" s="778">
        <v>16.3007975693126</v>
      </c>
      <c r="BU38" s="778">
        <v>16.1718729385246</v>
      </c>
      <c r="BV38" s="778">
        <v>12.6626890556961</v>
      </c>
      <c r="BW38" s="848">
        <v>14.9191968658178</v>
      </c>
      <c r="BX38" s="847">
        <f ca="1">AX38</f>
        <v>7.8838</v>
      </c>
      <c r="BY38" s="778">
        <v>8.42885511890875</v>
      </c>
      <c r="BZ38" s="778">
        <v>4.11881142036482</v>
      </c>
      <c r="CA38" s="778">
        <v>8.4896052720449</v>
      </c>
      <c r="CB38" s="778">
        <v>7.89812505069555</v>
      </c>
      <c r="CC38" s="848">
        <v>8.31292487435405</v>
      </c>
      <c r="CD38" s="847">
        <f ca="1">BD38</f>
        <v>7.845</v>
      </c>
      <c r="CE38" s="778">
        <v>13.4717395070908</v>
      </c>
      <c r="CF38" s="778">
        <v>8.52424333939433</v>
      </c>
      <c r="CG38" s="778">
        <v>6.84037574361095</v>
      </c>
      <c r="CH38" s="778">
        <v>7.62192591280778</v>
      </c>
      <c r="CI38" s="848">
        <v>8.47323729728315</v>
      </c>
    </row>
    <row r="39" ht="14.25" customHeight="1" spans="1:87" x14ac:dyDescent="0.25">
      <c r="A39" s="16"/>
      <c r="B39" s="16"/>
      <c r="C39" s="16" t="s">
        <v>922</v>
      </c>
      <c r="D39" s="16"/>
      <c r="E39" s="724">
        <f t="shared" ref="E39:H39" si="34" ca="1">AVERAGE(E43,E47)</f>
        <v>19.35671791666666</v>
      </c>
      <c r="F39" s="724">
        <f ca="1">AVERAGE(F43,F47)</f>
        <v>18.00337229166665</v>
      </c>
      <c r="G39" s="724">
        <f ca="1">AVERAGE(G43,G47)</f>
        <v>10.236756666666668</v>
      </c>
      <c r="H39" s="724">
        <f ca="1">AVERAGE(H43,H47)</f>
        <v>10.106916607142859</v>
      </c>
      <c r="I39" s="84">
        <f ca="1">IF(I38=4,1,I38+1)</f>
        <v>4</v>
      </c>
      <c r="J39" s="5">
        <f ca="1">IF(I39=1,J38+1,J38)</f>
        <v>2011</v>
      </c>
      <c r="K39" s="345" t="str">
        <f ca="1">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 ca="1">$K39</f>
        <v>4Q11</v>
      </c>
      <c r="AL39" s="847">
        <f ca="1">L39</f>
        <v>18.9098</v>
      </c>
      <c r="AM39" s="778">
        <v>10.1197188934144</v>
      </c>
      <c r="AN39" s="778">
        <v>11.7970385363965</v>
      </c>
      <c r="AO39" s="778">
        <v>10.5807044670822</v>
      </c>
      <c r="AP39" s="778">
        <v>10.9774557165862</v>
      </c>
      <c r="AQ39" s="848">
        <v>11.6558441558442</v>
      </c>
      <c r="AR39" s="847">
        <f ca="1">R39</f>
        <v>17.2037</v>
      </c>
      <c r="AS39" s="778">
        <v>9.93277089375165</v>
      </c>
      <c r="AT39" s="778">
        <v>9.80566783723631</v>
      </c>
      <c r="AU39" s="778">
        <v>10.6732960430909</v>
      </c>
      <c r="AV39" s="778">
        <v>11.0147035062207</v>
      </c>
      <c r="AW39" s="848">
        <v>8.89851485148515</v>
      </c>
      <c r="AX39" s="847">
        <f ca="1">X39</f>
        <v>8.0501</v>
      </c>
      <c r="AY39" s="778">
        <v>5.91454019307236</v>
      </c>
      <c r="AZ39" s="778">
        <v>6.57052903854619</v>
      </c>
      <c r="BA39" s="778">
        <v>5.67431486087671</v>
      </c>
      <c r="BB39" s="778">
        <v>6.58510139823663</v>
      </c>
      <c r="BC39" s="848">
        <v>5.03048952812205</v>
      </c>
      <c r="BD39" s="847">
        <f ca="1">AD39</f>
        <v>7.4794</v>
      </c>
      <c r="BE39" s="778">
        <v>6.0064613737832</v>
      </c>
      <c r="BF39" s="778">
        <v>5.03010214457906</v>
      </c>
      <c r="BG39" s="778">
        <v>5.86572589595718</v>
      </c>
      <c r="BH39" s="778">
        <v>6.45559338832222</v>
      </c>
      <c r="BI39" s="848">
        <v>4.62066972486577</v>
      </c>
      <c r="BJ39" s="16"/>
      <c r="BK39" s="345" t="str">
        <f ca="1">$K39</f>
        <v>4Q11</v>
      </c>
      <c r="BL39" s="847">
        <f ca="1">AL39</f>
        <v>18.9098</v>
      </c>
      <c r="BM39" s="778">
        <v>28.6224270452053</v>
      </c>
      <c r="BN39" s="778">
        <v>25.6560579886675</v>
      </c>
      <c r="BO39" s="778">
        <v>14.7276675216782</v>
      </c>
      <c r="BP39" s="778">
        <v>13.5143829788318</v>
      </c>
      <c r="BQ39" s="848">
        <v>15.4123269305155</v>
      </c>
      <c r="BR39" s="847">
        <f ca="1">AR39</f>
        <v>17.2037</v>
      </c>
      <c r="BS39" s="778">
        <v>28.2128712871287</v>
      </c>
      <c r="BT39" s="778">
        <v>21.5326433121019</v>
      </c>
      <c r="BU39" s="778">
        <v>14.5874961705115</v>
      </c>
      <c r="BV39" s="778">
        <v>13.126449359233</v>
      </c>
      <c r="BW39" s="848">
        <v>16.8634596695821</v>
      </c>
      <c r="BX39" s="847">
        <f ca="1">AX39</f>
        <v>8.0501</v>
      </c>
      <c r="BY39" s="778">
        <v>14.1545619542665</v>
      </c>
      <c r="BZ39" s="778">
        <v>6.03047033443133</v>
      </c>
      <c r="CA39" s="778">
        <v>7.96553378664613</v>
      </c>
      <c r="CB39" s="778">
        <v>9.80775472028126</v>
      </c>
      <c r="CC39" s="848">
        <v>9.2828708723069</v>
      </c>
      <c r="CD39" s="847">
        <f ca="1">BD39</f>
        <v>7.4794</v>
      </c>
      <c r="CE39" s="778">
        <v>9.83100998373389</v>
      </c>
      <c r="CF39" s="778">
        <v>8.1240381305083</v>
      </c>
      <c r="CG39" s="778">
        <v>7.31440259308921</v>
      </c>
      <c r="CH39" s="778">
        <v>8.17767144467011</v>
      </c>
      <c r="CI39" s="848">
        <v>8.48806467440511</v>
      </c>
    </row>
    <row r="40" ht="14.25" customHeight="1" spans="1:87" x14ac:dyDescent="0.25">
      <c r="A40" s="16"/>
      <c r="B40" s="16"/>
      <c r="C40" s="16" t="s">
        <v>923</v>
      </c>
      <c r="D40" s="16"/>
      <c r="E40" s="724">
        <f t="shared" ref="E40:H40" si="35" ca="1">AVERAGE(E44,E48)</f>
        <v>18.215712083333333</v>
      </c>
      <c r="F40" s="724">
        <f ca="1">AVERAGE(F44,F48)</f>
        <v>17.444910625</v>
      </c>
      <c r="G40" s="724">
        <f ca="1">AVERAGE(G44,G48)</f>
        <v>10.194504583333329</v>
      </c>
      <c r="H40" s="724">
        <f ca="1">AVERAGE(H44,H48)</f>
        <v>10.159341458333332</v>
      </c>
      <c r="I40" s="84">
        <f ca="1">I36</f>
        <v>1</v>
      </c>
      <c r="J40" s="5">
        <f ca="1">IF(I40=1,J39+1,J39)</f>
        <v>2012</v>
      </c>
      <c r="K40" s="345" t="str">
        <f ca="1">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 ca="1">$K40</f>
        <v>1Q12</v>
      </c>
      <c r="AL40" s="847">
        <f ca="1">L40</f>
        <v>15.7119</v>
      </c>
      <c r="AM40" s="778">
        <v>11.2459018741683</v>
      </c>
      <c r="AN40" s="778">
        <v>13.1752667734563</v>
      </c>
      <c r="AO40" s="778">
        <v>11.5195012733566</v>
      </c>
      <c r="AP40" s="778">
        <v>12.4315619967794</v>
      </c>
      <c r="AQ40" s="848"/>
      <c r="AR40" s="847">
        <f ca="1">R40</f>
        <v>14.0344</v>
      </c>
      <c r="AS40" s="778">
        <v>11.1375802997859</v>
      </c>
      <c r="AT40" s="778">
        <v>10.206529667639</v>
      </c>
      <c r="AU40" s="778">
        <v>11.4790996784566</v>
      </c>
      <c r="AV40" s="778">
        <v>11.7952635599694</v>
      </c>
      <c r="AW40" s="848">
        <v>8.63488372093023</v>
      </c>
      <c r="AX40" s="847">
        <f ca="1">X40</f>
        <v>6.5555</v>
      </c>
      <c r="AY40" s="778">
        <v>6.37346540340196</v>
      </c>
      <c r="AZ40" s="778">
        <v>7.79228770791539</v>
      </c>
      <c r="BA40" s="778">
        <v>6.23389074738903</v>
      </c>
      <c r="BB40" s="778">
        <v>7.38346757418372</v>
      </c>
      <c r="BC40" s="848">
        <v>5.16271847804848</v>
      </c>
      <c r="BD40" s="847">
        <f ca="1">AD40</f>
        <v>5.9953</v>
      </c>
      <c r="BE40" s="778">
        <v>6.26735005457296</v>
      </c>
      <c r="BF40" s="778">
        <v>6.12120177969153</v>
      </c>
      <c r="BG40" s="778">
        <v>6.40531229040912</v>
      </c>
      <c r="BH40" s="778">
        <v>7.19464424631259</v>
      </c>
      <c r="BI40" s="848">
        <v>4.60460511198831</v>
      </c>
      <c r="BJ40" s="16"/>
      <c r="BK40" s="345" t="str">
        <f ca="1">$K40</f>
        <v>1Q12</v>
      </c>
      <c r="BL40" s="847">
        <f ca="1">AL40</f>
        <v>15.7119</v>
      </c>
      <c r="BM40" s="778">
        <v>30.6330289851329</v>
      </c>
      <c r="BN40" s="778">
        <v>27.9859571305592</v>
      </c>
      <c r="BO40" s="778">
        <v>18.4238341654617</v>
      </c>
      <c r="BP40" s="778">
        <v>14.9901358803284</v>
      </c>
      <c r="BQ40" s="848">
        <v>16.0648337493764</v>
      </c>
      <c r="BR40" s="847">
        <f ca="1">AR40</f>
        <v>14.0344</v>
      </c>
      <c r="BS40" s="778">
        <v>23.8068181818182</v>
      </c>
      <c r="BT40" s="778">
        <v>18.6103286384977</v>
      </c>
      <c r="BU40" s="778">
        <v>17.1854376031434</v>
      </c>
      <c r="BV40" s="778">
        <v>17.8308441541432</v>
      </c>
      <c r="BW40" s="848">
        <v>15.8335125833513</v>
      </c>
      <c r="BX40" s="847">
        <f ca="1">AX40</f>
        <v>6.5555</v>
      </c>
      <c r="BY40" s="778">
        <v>12.476167804583</v>
      </c>
      <c r="BZ40" s="778">
        <v>7.63827368985477</v>
      </c>
      <c r="CA40" s="778">
        <v>9.43856452292771</v>
      </c>
      <c r="CB40" s="778">
        <v>10.6734174337219</v>
      </c>
      <c r="CC40" s="848">
        <v>9.66733389012338</v>
      </c>
      <c r="CD40" s="847">
        <f ca="1">BD40</f>
        <v>5.9953</v>
      </c>
      <c r="CE40" s="778">
        <v>10.4278073137258</v>
      </c>
      <c r="CF40" s="778">
        <v>8.88010584888657</v>
      </c>
      <c r="CG40" s="778">
        <v>8.9840782933758</v>
      </c>
      <c r="CH40" s="778">
        <v>9.31664203954609</v>
      </c>
      <c r="CI40" s="848">
        <v>8.85374365092694</v>
      </c>
    </row>
    <row r="41" ht="14.25" customHeight="1" spans="1:87" x14ac:dyDescent="0.25">
      <c r="A41" s="16"/>
      <c r="B41" s="16"/>
      <c r="C41" s="16" t="s">
        <v>924</v>
      </c>
      <c r="D41" s="16"/>
      <c r="E41" s="724">
        <f ca="1">AVERAGE(M8:Q35)</f>
        <v>16.658422857142874</v>
      </c>
      <c r="F41" s="724">
        <f ca="1">AVERAGE(S8:W35)</f>
        <v>16.129296428571422</v>
      </c>
      <c r="G41" s="724">
        <f ca="1">AVERAGE(Y8:AC35)</f>
        <v>8.788684285714279</v>
      </c>
      <c r="H41" s="724">
        <f ca="1">AVERAGE(AE8:AI35)</f>
        <v>8.689914062499994</v>
      </c>
      <c r="I41" s="84">
        <f ca="1">IF(I40=4,1,I40+1)</f>
        <v>2</v>
      </c>
      <c r="J41" s="5">
        <f ca="1">IF(I41=1,J40+1,J40)</f>
        <v>2012</v>
      </c>
      <c r="K41" s="345" t="str">
        <f ca="1">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 ca="1">$K41</f>
        <v>2Q12</v>
      </c>
      <c r="AL41" s="847">
        <f ca="1">L41</f>
        <v>16.6112</v>
      </c>
      <c r="AM41" s="778">
        <v>9.99996107397703</v>
      </c>
      <c r="AN41" s="778">
        <v>9.85670908369511</v>
      </c>
      <c r="AO41" s="778">
        <v>9.66791056853068</v>
      </c>
      <c r="AP41" s="778">
        <v>9.42995169082126</v>
      </c>
      <c r="AQ41" s="848">
        <v>20.3891830018601</v>
      </c>
      <c r="AR41" s="847">
        <f ca="1">R41</f>
        <v>15.8535</v>
      </c>
      <c r="AS41" s="778">
        <v>10.1734261914516</v>
      </c>
      <c r="AT41" s="778">
        <v>8.23661855837225</v>
      </c>
      <c r="AU41" s="778">
        <v>9.65868263473054</v>
      </c>
      <c r="AV41" s="778">
        <v>8.90375551163144</v>
      </c>
      <c r="AW41" s="848">
        <v>7.27378190255221</v>
      </c>
      <c r="AX41" s="847">
        <f ca="1">X41</f>
        <v>6.995</v>
      </c>
      <c r="AY41" s="778">
        <v>5.57867980886728</v>
      </c>
      <c r="AZ41" s="778">
        <v>6.34889563397409</v>
      </c>
      <c r="BA41" s="778">
        <v>6.10014357670282</v>
      </c>
      <c r="BB41" s="778">
        <v>5.74195406620974</v>
      </c>
      <c r="BC41" s="848">
        <v>4.55449762754802</v>
      </c>
      <c r="BD41" s="847">
        <f ca="1">AD41</f>
        <v>6.7063</v>
      </c>
      <c r="BE41" s="778">
        <v>5.48624360801162</v>
      </c>
      <c r="BF41" s="778">
        <v>5.01723905576566</v>
      </c>
      <c r="BG41" s="778">
        <v>5.49481693377574</v>
      </c>
      <c r="BH41" s="778">
        <v>5.51320902779737</v>
      </c>
      <c r="BI41" s="848">
        <v>4.30941821783298</v>
      </c>
      <c r="BJ41" s="16"/>
      <c r="BK41" s="345" t="str">
        <f ca="1">$K41</f>
        <v>2Q12</v>
      </c>
      <c r="BL41" s="847">
        <f ca="1">AL41</f>
        <v>16.6112</v>
      </c>
      <c r="BM41" s="778">
        <v>24.3601654723143</v>
      </c>
      <c r="BN41" s="778">
        <v>24.2652759456071</v>
      </c>
      <c r="BO41" s="778">
        <v>13.810354033387</v>
      </c>
      <c r="BP41" s="778">
        <v>12.5183083648824</v>
      </c>
      <c r="BQ41" s="848">
        <v>13.9457009277726</v>
      </c>
      <c r="BR41" s="847">
        <f ca="1">AR41</f>
        <v>15.8535</v>
      </c>
      <c r="BS41" s="778">
        <v>18.8721332076657</v>
      </c>
      <c r="BT41" s="778">
        <v>13.2539871459176</v>
      </c>
      <c r="BU41" s="778">
        <v>12.7284161505969</v>
      </c>
      <c r="BV41" s="778">
        <v>14.9644201023031</v>
      </c>
      <c r="BW41" s="848">
        <v>13.9172384219554</v>
      </c>
      <c r="BX41" s="847">
        <f ca="1">AX41</f>
        <v>6.995</v>
      </c>
      <c r="BY41" s="778">
        <v>10.085262951603</v>
      </c>
      <c r="BZ41" s="778">
        <v>5.69241256770504</v>
      </c>
      <c r="CA41" s="778">
        <v>6.97192353485524</v>
      </c>
      <c r="CB41" s="778">
        <v>9.34802359765625</v>
      </c>
      <c r="CC41" s="848">
        <v>8.30648684877004</v>
      </c>
      <c r="CD41" s="847">
        <f ca="1">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925</v>
      </c>
      <c r="D42" s="16"/>
      <c r="E42" s="724">
        <f ca="1">AVERAGE(M8:Q19)</f>
        <v>20.404395000000005</v>
      </c>
      <c r="F42" s="724">
        <f ca="1">AVERAGE(S8:W19)</f>
        <v>18.80734333333334</v>
      </c>
      <c r="G42" s="724">
        <f ca="1">AVERAGE(Y8:AC19)</f>
        <v>10.569033333333326</v>
      </c>
      <c r="H42" s="724">
        <f ca="1">AVERAGE(AE8:AI19)</f>
        <v>10.747183333333332</v>
      </c>
      <c r="I42" s="84">
        <f ca="1">IF(I41+1=5,1,I41+1)</f>
        <v>3</v>
      </c>
      <c r="J42" s="5">
        <f ca="1">IF(I42=1,J41+1,J41)</f>
        <v>2012</v>
      </c>
      <c r="K42" s="345" t="str">
        <f ca="1">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 ca="1">$K42</f>
        <v>3Q12</v>
      </c>
      <c r="AL42" s="847">
        <f ca="1">L42</f>
        <v>18.064</v>
      </c>
      <c r="AM42" s="778">
        <v>9.62040432691451</v>
      </c>
      <c r="AN42" s="778">
        <v>10.3691488431885</v>
      </c>
      <c r="AO42" s="778">
        <v>9.12142389198446</v>
      </c>
      <c r="AP42" s="778">
        <v>10.0015923566879</v>
      </c>
      <c r="AQ42" s="848">
        <v>22.2622562728443</v>
      </c>
      <c r="AR42" s="847">
        <f ca="1">R42</f>
        <v>17.7872</v>
      </c>
      <c r="AS42" s="778">
        <v>9.74169741697417</v>
      </c>
      <c r="AT42" s="778">
        <v>8.02132070541053</v>
      </c>
      <c r="AU42" s="778">
        <v>10.8368895211</v>
      </c>
      <c r="AV42" s="778">
        <v>9.42244224422442</v>
      </c>
      <c r="AW42" s="848">
        <v>7.97902097902098</v>
      </c>
      <c r="AX42" s="847">
        <f ca="1">X42</f>
        <v>7.5419</v>
      </c>
      <c r="AY42" s="778">
        <v>5.46947202107553</v>
      </c>
      <c r="AZ42" s="778">
        <v>6.54580673361049</v>
      </c>
      <c r="BA42" s="778">
        <v>5.76122459373739</v>
      </c>
      <c r="BB42" s="778">
        <v>6.03174555515099</v>
      </c>
      <c r="BC42" s="848">
        <v>4.92733810453777</v>
      </c>
      <c r="BD42" s="847">
        <f ca="1">AD42</f>
        <v>7.4564</v>
      </c>
      <c r="BE42" s="778">
        <v>5.24216521595774</v>
      </c>
      <c r="BF42" s="778">
        <v>5.25786728179236</v>
      </c>
      <c r="BG42" s="778">
        <v>5.75195786783777</v>
      </c>
      <c r="BH42" s="778">
        <v>5.80837472527022</v>
      </c>
      <c r="BI42" s="848">
        <v>4.63549621133982</v>
      </c>
      <c r="BJ42" s="16"/>
      <c r="BK42" s="345" t="str">
        <f ca="1">$K42</f>
        <v>3Q12</v>
      </c>
      <c r="BL42" s="847">
        <f ca="1">AL42</f>
        <v>18.064</v>
      </c>
      <c r="BM42" s="778">
        <v>24.1651089979097</v>
      </c>
      <c r="BN42" s="778">
        <v>25.4241271250078</v>
      </c>
      <c r="BO42" s="778">
        <v>14.8512626154585</v>
      </c>
      <c r="BP42" s="778">
        <v>14.0012354399375</v>
      </c>
      <c r="BQ42" s="848">
        <v>14.8656322568568</v>
      </c>
      <c r="BR42" s="847">
        <f ca="1">AR42</f>
        <v>17.7872</v>
      </c>
      <c r="BS42" s="778">
        <v>20.9981318388044</v>
      </c>
      <c r="BT42" s="778">
        <v>15.5793703951775</v>
      </c>
      <c r="BU42" s="778">
        <v>14.0344431716083</v>
      </c>
      <c r="BV42" s="778">
        <v>16.625988505336</v>
      </c>
      <c r="BW42" s="848">
        <v>15.0974989402289</v>
      </c>
      <c r="BX42" s="847">
        <f ca="1">AX42</f>
        <v>7.5419</v>
      </c>
      <c r="BY42" s="778">
        <v>10.6384200202094</v>
      </c>
      <c r="BZ42" s="778">
        <v>6.7226025644169</v>
      </c>
      <c r="CA42" s="778">
        <v>7.2666825847505</v>
      </c>
      <c r="CB42" s="778">
        <v>10.3942191863169</v>
      </c>
      <c r="CC42" s="848">
        <v>8.7331252074087</v>
      </c>
      <c r="CD42" s="847">
        <f ca="1">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926</v>
      </c>
      <c r="D43" s="16"/>
      <c r="E43" s="724">
        <f ca="1">AVERAGE(M16:Q27)</f>
        <v>16.169383333333332</v>
      </c>
      <c r="F43" s="724">
        <f ca="1">AVERAGE(S16:W27)</f>
        <v>15.366213333333322</v>
      </c>
      <c r="G43" s="724">
        <f ca="1">AVERAGE(Y16:AC27)</f>
        <v>8.57115833333334</v>
      </c>
      <c r="H43" s="724">
        <f ca="1">AVERAGE(AE16:AI27)</f>
        <v>8.440898214285719</v>
      </c>
      <c r="I43" s="84">
        <f ca="1">IF(I42=4,1,I42+1)</f>
        <v>4</v>
      </c>
      <c r="J43" s="5">
        <f ca="1">IF(I43=1,J42+1,J42)</f>
        <v>2012</v>
      </c>
      <c r="K43" s="345" t="str">
        <f ca="1">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 ca="1">$K43</f>
        <v>4Q12</v>
      </c>
      <c r="AL43" s="847">
        <f ca="1">L43</f>
        <v>18.1996</v>
      </c>
      <c r="AM43" s="778">
        <v>9.06200062426827</v>
      </c>
      <c r="AN43" s="778">
        <v>9.63178918427491</v>
      </c>
      <c r="AO43" s="778">
        <v>8.89285662197338</v>
      </c>
      <c r="AP43" s="778">
        <v>10.389458272328</v>
      </c>
      <c r="AQ43" s="848">
        <v>11.8536611648916</v>
      </c>
      <c r="AR43" s="847">
        <f ca="1">R43</f>
        <v>15.5197</v>
      </c>
      <c r="AS43" s="778">
        <v>9.99142489638416</v>
      </c>
      <c r="AT43" s="778">
        <v>8.83315562332782</v>
      </c>
      <c r="AU43" s="778">
        <v>10.0892662747659</v>
      </c>
      <c r="AV43" s="778">
        <v>10.5048112509252</v>
      </c>
      <c r="AW43" s="848">
        <v>7.80141843971631</v>
      </c>
      <c r="AX43" s="847">
        <f ca="1">X43</f>
        <v>7.6837</v>
      </c>
      <c r="AY43" s="778">
        <v>5.37935561442249</v>
      </c>
      <c r="AZ43" s="778">
        <v>5.89533430770612</v>
      </c>
      <c r="BA43" s="778">
        <v>5.61642635813002</v>
      </c>
      <c r="BB43" s="778">
        <v>6.0688318330818</v>
      </c>
      <c r="BC43" s="848">
        <v>4.64361067804519</v>
      </c>
      <c r="BD43" s="847">
        <f ca="1">AD43</f>
        <v>7.3362</v>
      </c>
      <c r="BE43" s="778">
        <v>5.48536072155875</v>
      </c>
      <c r="BF43" s="778">
        <v>5.31834143798385</v>
      </c>
      <c r="BG43" s="778">
        <v>5.78754811440326</v>
      </c>
      <c r="BH43" s="778">
        <v>6.12172221106844</v>
      </c>
      <c r="BI43" s="848">
        <v>4.12038909541942</v>
      </c>
      <c r="BJ43" s="16"/>
      <c r="BK43" s="345" t="str">
        <f ca="1">$K43</f>
        <v>4Q12</v>
      </c>
      <c r="BL43" s="847">
        <f ca="1">AL43</f>
        <v>18.1996</v>
      </c>
      <c r="BM43" s="778">
        <v>21.6053469427488</v>
      </c>
      <c r="BN43" s="778">
        <v>18.758399494054</v>
      </c>
      <c r="BO43" s="778">
        <v>15.2439619136967</v>
      </c>
      <c r="BP43" s="778">
        <v>16.7696200950246</v>
      </c>
      <c r="BQ43" s="848">
        <v>15.9786464227176</v>
      </c>
      <c r="BR43" s="847">
        <f ca="1">AR43</f>
        <v>15.5197</v>
      </c>
      <c r="BS43" s="778">
        <v>23.4384384384384</v>
      </c>
      <c r="BT43" s="778">
        <v>15.297476515012</v>
      </c>
      <c r="BU43" s="778">
        <v>15.6835754736842</v>
      </c>
      <c r="BV43" s="778">
        <v>16.8976459259003</v>
      </c>
      <c r="BW43" s="848">
        <v>16.6744333827579</v>
      </c>
      <c r="BX43" s="847">
        <f ca="1">AX43</f>
        <v>7.6837</v>
      </c>
      <c r="BY43" s="778">
        <v>10.1400009753533</v>
      </c>
      <c r="BZ43" s="778">
        <v>11.1988774428578</v>
      </c>
      <c r="CA43" s="778">
        <v>7.68797062316564</v>
      </c>
      <c r="CB43" s="778">
        <v>11.3236402907469</v>
      </c>
      <c r="CC43" s="848">
        <v>9.44621815527045</v>
      </c>
      <c r="CD43" s="847">
        <f ca="1">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927</v>
      </c>
      <c r="D44" s="16"/>
      <c r="E44" s="724">
        <f ca="1">AVERAGE(M24:Q35)</f>
        <v>13.14323166666666</v>
      </c>
      <c r="F44" s="724">
        <f ca="1">AVERAGE(S24:W35)</f>
        <v>13.625734999999999</v>
      </c>
      <c r="G44" s="724">
        <f ca="1">AVERAGE(Y24:AC35)</f>
        <v>7.089616666666662</v>
      </c>
      <c r="H44" s="724">
        <f ca="1">AVERAGE(AE24:AI35)</f>
        <v>7.129936666666663</v>
      </c>
      <c r="I44" s="84">
        <f ca="1">I40</f>
        <v>1</v>
      </c>
      <c r="J44" s="5">
        <f ca="1">IF(I44=1,J43+1,J43)</f>
        <v>2013</v>
      </c>
      <c r="K44" s="345" t="str">
        <f ca="1">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 ca="1">$K44</f>
        <v>1Q13</v>
      </c>
      <c r="AL44" s="847">
        <f ca="1">L44</f>
        <v>16.0512</v>
      </c>
      <c r="AM44" s="778">
        <v>10.5091692501708</v>
      </c>
      <c r="AN44" s="778">
        <v>9.75066381791588</v>
      </c>
      <c r="AO44" s="778">
        <v>9.76218421147574</v>
      </c>
      <c r="AP44" s="778">
        <v>11.2093704245974</v>
      </c>
      <c r="AQ44" s="848">
        <v>11.670468219616</v>
      </c>
      <c r="AR44" s="847">
        <f ca="1">R44</f>
        <v>14.2569</v>
      </c>
      <c r="AS44" s="778">
        <v>11.5301878674889</v>
      </c>
      <c r="AT44" s="778">
        <v>9.29450125981918</v>
      </c>
      <c r="AU44" s="778">
        <v>10.174</v>
      </c>
      <c r="AV44" s="778">
        <v>10.7061949377709</v>
      </c>
      <c r="AW44" s="848">
        <v>7.75417661097852</v>
      </c>
      <c r="AX44" s="847">
        <f ca="1">X44</f>
        <v>6.7773</v>
      </c>
      <c r="AY44" s="778">
        <v>5.7719211459489</v>
      </c>
      <c r="AZ44" s="778">
        <v>5.19886979324506</v>
      </c>
      <c r="BA44" s="778">
        <v>6.08048688220001</v>
      </c>
      <c r="BB44" s="778">
        <v>6.46307310037609</v>
      </c>
      <c r="BC44" s="848">
        <v>4.57502620920203</v>
      </c>
      <c r="BD44" s="847">
        <f ca="1">AD44</f>
        <v>6.5787</v>
      </c>
      <c r="BE44" s="778">
        <v>6.27598014282426</v>
      </c>
      <c r="BF44" s="778">
        <v>4.62767057952832</v>
      </c>
      <c r="BG44" s="778">
        <v>5.70927463609689</v>
      </c>
      <c r="BH44" s="778">
        <v>6.36502714720231</v>
      </c>
      <c r="BI44" s="848">
        <v>4.16147661595403</v>
      </c>
      <c r="BJ44" s="16"/>
      <c r="BK44" s="345" t="str">
        <f ca="1">$K44</f>
        <v>1Q13</v>
      </c>
      <c r="BL44" s="847">
        <f ca="1">AL44</f>
        <v>16.0512</v>
      </c>
      <c r="BM44" s="778">
        <v>19.5893812359237</v>
      </c>
      <c r="BN44" s="778">
        <v>19.1582548172462</v>
      </c>
      <c r="BO44" s="778">
        <v>15.8492421790324</v>
      </c>
      <c r="BP44" s="778">
        <v>17.5627157944909</v>
      </c>
      <c r="BQ44" s="848">
        <v>16.7394614065933</v>
      </c>
      <c r="BR44" s="847">
        <f ca="1">AR44</f>
        <v>14.2569</v>
      </c>
      <c r="BS44" s="778">
        <v>17.939423231835</v>
      </c>
      <c r="BT44" s="778">
        <v>15.6957719099303</v>
      </c>
      <c r="BU44" s="778">
        <v>14.3829034104478</v>
      </c>
      <c r="BV44" s="778">
        <v>14.8263081664242</v>
      </c>
      <c r="BW44" s="848">
        <v>15.7693740685544</v>
      </c>
      <c r="BX44" s="847">
        <f ca="1">AX44</f>
        <v>6.7773</v>
      </c>
      <c r="BY44" s="778">
        <v>9.60840326774442</v>
      </c>
      <c r="BZ44" s="778">
        <v>8.16922604900108</v>
      </c>
      <c r="CA44" s="778">
        <v>8.18729190293281</v>
      </c>
      <c r="CB44" s="778">
        <v>12.1352364269548</v>
      </c>
      <c r="CC44" s="848">
        <v>9.8779039587798</v>
      </c>
      <c r="CD44" s="847">
        <f ca="1">BD44</f>
        <v>6.5787</v>
      </c>
      <c r="CE44" s="778">
        <v>8.92820985953084</v>
      </c>
      <c r="CF44" s="778">
        <v>9.19884162373248</v>
      </c>
      <c r="CG44" s="778">
        <v>6.32416201011649</v>
      </c>
      <c r="CH44" s="778">
        <v>8.8863638105699</v>
      </c>
      <c r="CI44" s="848">
        <v>8.84993577634552</v>
      </c>
    </row>
    <row r="45" ht="14.25" customHeight="1" spans="1:87" x14ac:dyDescent="0.25">
      <c r="A45" s="16"/>
      <c r="B45" s="16"/>
      <c r="C45" s="16" t="s">
        <v>928</v>
      </c>
      <c r="D45" s="16"/>
      <c r="E45" s="724">
        <f ca="1">AVERAGE(M36:Q75)</f>
        <v>21.009599000000016</v>
      </c>
      <c r="F45" s="724">
        <f ca="1">AVERAGE(S36:W75)</f>
        <v>19.543173000000007</v>
      </c>
      <c r="G45" s="724">
        <f ca="1">AVERAGE(Y36:AC75)</f>
        <v>11.346910000000005</v>
      </c>
      <c r="H45" s="724">
        <f ca="1">AVERAGE(AE36:AI75)</f>
        <v>11.246996500000002</v>
      </c>
      <c r="I45" s="84">
        <f ca="1">IF(I44=4,1,I44+1)</f>
        <v>2</v>
      </c>
      <c r="J45" s="5">
        <f ca="1">IF(I45=1,J44+1,J44)</f>
        <v>2013</v>
      </c>
      <c r="K45" s="345" t="str">
        <f ca="1">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 ca="1">$K45</f>
        <v>2Q13</v>
      </c>
      <c r="AL45" s="847">
        <f ca="1">L45</f>
        <v>12.4786</v>
      </c>
      <c r="AM45" s="778">
        <v>10.3602506215894</v>
      </c>
      <c r="AN45" s="778">
        <v>10.610981378837</v>
      </c>
      <c r="AO45" s="778">
        <v>9.78501046318922</v>
      </c>
      <c r="AP45" s="778">
        <v>10.7532467532468</v>
      </c>
      <c r="AQ45" s="848">
        <v>11.911217487238</v>
      </c>
      <c r="AR45" s="847">
        <f ca="1">R45</f>
        <v>12.1635</v>
      </c>
      <c r="AS45" s="778">
        <v>11.1498209859543</v>
      </c>
      <c r="AT45" s="778">
        <v>10.333780360602</v>
      </c>
      <c r="AU45" s="778">
        <v>10.1321138211382</v>
      </c>
      <c r="AV45" s="778">
        <v>10.4574796519787</v>
      </c>
      <c r="AW45" s="848">
        <v>7.73058252427184</v>
      </c>
      <c r="AX45" s="847">
        <f ca="1">X45</f>
        <v>5.8519</v>
      </c>
      <c r="AY45" s="778">
        <v>5.9342711326619</v>
      </c>
      <c r="AZ45" s="778">
        <v>5.66188219786021</v>
      </c>
      <c r="BA45" s="778">
        <v>6.48128357458311</v>
      </c>
      <c r="BB45" s="778">
        <v>6.28518664402408</v>
      </c>
      <c r="BC45" s="848">
        <v>5.05828311740116</v>
      </c>
      <c r="BD45" s="847">
        <f ca="1">AD45</f>
        <v>5.8119</v>
      </c>
      <c r="BE45" s="778">
        <v>6.38573615633208</v>
      </c>
      <c r="BF45" s="778">
        <v>5.46057925530489</v>
      </c>
      <c r="BG45" s="778">
        <v>6.03688149144837</v>
      </c>
      <c r="BH45" s="778">
        <v>6.25303430168215</v>
      </c>
      <c r="BI45" s="848">
        <v>4.43980479601535</v>
      </c>
      <c r="BJ45" s="16"/>
      <c r="BK45" s="345" t="str">
        <f ca="1">$K45</f>
        <v>2Q13</v>
      </c>
      <c r="BL45" s="847">
        <f ca="1">AL45</f>
        <v>12.4786</v>
      </c>
      <c r="BM45" s="778">
        <v>16.68959147028</v>
      </c>
      <c r="BN45" s="778">
        <v>13.9808558081172</v>
      </c>
      <c r="BO45" s="778">
        <v>14.46875186873</v>
      </c>
      <c r="BP45" s="778">
        <v>16.2050489802576</v>
      </c>
      <c r="BQ45" s="848">
        <v>17.1849095098311</v>
      </c>
      <c r="BR45" s="847">
        <f ca="1">AR45</f>
        <v>12.1635</v>
      </c>
      <c r="BS45" s="778">
        <v>15.2412312097351</v>
      </c>
      <c r="BT45" s="778">
        <v>12.9049929566442</v>
      </c>
      <c r="BU45" s="778">
        <v>13.1086054981923</v>
      </c>
      <c r="BV45" s="778">
        <v>14.3004348922704</v>
      </c>
      <c r="BW45" s="848">
        <v>16.252295262578</v>
      </c>
      <c r="BX45" s="847">
        <f ca="1">AX45</f>
        <v>5.8519</v>
      </c>
      <c r="BY45" s="778">
        <v>8.36946250489108</v>
      </c>
      <c r="BZ45" s="778">
        <v>5.88717727923427</v>
      </c>
      <c r="CA45" s="778">
        <v>7.73022880757182</v>
      </c>
      <c r="CB45" s="778">
        <v>11.2146878954447</v>
      </c>
      <c r="CC45" s="848">
        <v>9.93992146414024</v>
      </c>
      <c r="CD45" s="847">
        <f ca="1">BD45</f>
        <v>5.8119</v>
      </c>
      <c r="CE45" s="778">
        <v>7.78784011197483</v>
      </c>
      <c r="CF45" s="778">
        <v>7.09815111740564</v>
      </c>
      <c r="CG45" s="778">
        <v>6.0878290524665</v>
      </c>
      <c r="CH45" s="778">
        <v>8.44947361558363</v>
      </c>
      <c r="CI45" s="848">
        <v>9.14745418425886</v>
      </c>
    </row>
    <row r="46" ht="14.25" customHeight="1" spans="1:87" x14ac:dyDescent="0.25">
      <c r="A46" s="16"/>
      <c r="B46" s="16"/>
      <c r="C46" s="16" t="s">
        <v>929</v>
      </c>
      <c r="D46" s="16"/>
      <c r="E46" s="724">
        <f ca="1">AVERAGE(M36:Q51)</f>
        <v>17.919956249999995</v>
      </c>
      <c r="F46" s="724">
        <f ca="1">AVERAGE(S36:W51)</f>
        <v>17.335633750000007</v>
      </c>
      <c r="G46" s="724">
        <f ca="1">AVERAGE(Y36:AC51)</f>
        <v>9.160100000000002</v>
      </c>
      <c r="H46" s="724">
        <f ca="1">AVERAGE(AE36:AI51)</f>
        <v>9.083377500000001</v>
      </c>
      <c r="I46" s="84">
        <f ca="1">IF(I45+1=5,1,I45+1)</f>
        <v>3</v>
      </c>
      <c r="J46" s="5">
        <f ca="1">IF(I46=1,J45+1,J45)</f>
        <v>2013</v>
      </c>
      <c r="K46" s="345" t="str">
        <f ca="1">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 ca="1">$K46</f>
        <v>3Q13</v>
      </c>
      <c r="AL46" s="847">
        <f ca="1">L46</f>
        <v>16.299</v>
      </c>
      <c r="AM46" s="778">
        <v>9.04425371771246</v>
      </c>
      <c r="AN46" s="778">
        <v>7.57659154169478</v>
      </c>
      <c r="AO46" s="778">
        <v>7.88501727102388</v>
      </c>
      <c r="AP46" s="778">
        <v>7.99251241094299</v>
      </c>
      <c r="AQ46" s="848">
        <v>9.99644720357523</v>
      </c>
      <c r="AR46" s="847">
        <f ca="1">R46</f>
        <v>15.8131</v>
      </c>
      <c r="AS46" s="778">
        <v>9.68533333333333</v>
      </c>
      <c r="AT46" s="778">
        <v>7.58726003490401</v>
      </c>
      <c r="AU46" s="778">
        <v>8.15931323617489</v>
      </c>
      <c r="AV46" s="778">
        <v>7.91898663697105</v>
      </c>
      <c r="AW46" s="848">
        <v>6.6825</v>
      </c>
      <c r="AX46" s="847">
        <f ca="1">X46</f>
        <v>7.7749</v>
      </c>
      <c r="AY46" s="778">
        <v>5.17253288820194</v>
      </c>
      <c r="AZ46" s="778">
        <v>4.19984269413635</v>
      </c>
      <c r="BA46" s="778">
        <v>4.9072512661101</v>
      </c>
      <c r="BB46" s="778">
        <v>5.11248886371017</v>
      </c>
      <c r="BC46" s="848">
        <v>4.17560435412474</v>
      </c>
      <c r="BD46" s="847">
        <f ca="1">AD46</f>
        <v>7.228</v>
      </c>
      <c r="BE46" s="778">
        <v>5.73955958020657</v>
      </c>
      <c r="BF46" s="778">
        <v>4.13814087690871</v>
      </c>
      <c r="BG46" s="778">
        <v>5.1077271800271</v>
      </c>
      <c r="BH46" s="778">
        <v>5.11346710201057</v>
      </c>
      <c r="BI46" s="848">
        <v>3.80655337899628</v>
      </c>
      <c r="BJ46" s="16"/>
      <c r="BK46" s="345" t="str">
        <f ca="1">$K46</f>
        <v>3Q13</v>
      </c>
      <c r="BL46" s="847">
        <f ca="1">AL46</f>
        <v>16.299</v>
      </c>
      <c r="BM46" s="778">
        <v>10.518527508713</v>
      </c>
      <c r="BN46" s="778">
        <v>10.5037129820166</v>
      </c>
      <c r="BO46" s="778">
        <v>12.2308782324965</v>
      </c>
      <c r="BP46" s="778">
        <v>11.8037669920092</v>
      </c>
      <c r="BQ46" s="848">
        <v>13.3534736207215</v>
      </c>
      <c r="BR46" s="847">
        <f ca="1">AR46</f>
        <v>15.8131</v>
      </c>
      <c r="BS46" s="778">
        <v>11.1121143717081</v>
      </c>
      <c r="BT46" s="778">
        <v>10.02484086322</v>
      </c>
      <c r="BU46" s="778">
        <v>10.586285316932</v>
      </c>
      <c r="BV46" s="778">
        <v>10.5668420137303</v>
      </c>
      <c r="BW46" s="848">
        <v>12.8911689263466</v>
      </c>
      <c r="BX46" s="847">
        <f ca="1">AX46</f>
        <v>7.7749</v>
      </c>
      <c r="BY46" s="778">
        <v>6.2721458318025</v>
      </c>
      <c r="BZ46" s="778">
        <v>4.42812180634823</v>
      </c>
      <c r="CA46" s="778">
        <v>6.45564856024358</v>
      </c>
      <c r="CB46" s="778">
        <v>8.29363910369546</v>
      </c>
      <c r="CC46" s="848">
        <v>7.75376264505377</v>
      </c>
      <c r="CD46" s="847">
        <f ca="1">BD46</f>
        <v>7.228</v>
      </c>
      <c r="CE46" s="778">
        <v>6.19665638883915</v>
      </c>
      <c r="CF46" s="778">
        <v>5.63644248650866</v>
      </c>
      <c r="CG46" s="778">
        <v>5.04933041465077</v>
      </c>
      <c r="CH46" s="778">
        <v>6.59517977339049</v>
      </c>
      <c r="CI46" s="848">
        <v>7.20004497573731</v>
      </c>
    </row>
    <row r="47" ht="14.25" customHeight="1" spans="1:87" x14ac:dyDescent="0.25">
      <c r="A47" s="16"/>
      <c r="B47" s="16"/>
      <c r="C47" s="16" t="s">
        <v>930</v>
      </c>
      <c r="D47" s="16"/>
      <c r="E47" s="724">
        <f ca="1">AVERAGE(M48:Q63)</f>
        <v>22.544052499999985</v>
      </c>
      <c r="F47" s="724">
        <f ca="1">AVERAGE(S48:W63)</f>
        <v>20.64053124999998</v>
      </c>
      <c r="G47" s="724">
        <f ca="1">AVERAGE(Y48:AC63)</f>
        <v>11.902354999999996</v>
      </c>
      <c r="H47" s="724">
        <f ca="1">AVERAGE(AE48:AI63)</f>
        <v>11.772934999999999</v>
      </c>
      <c r="I47" s="84">
        <f ca="1">IF(I46=4,1,I46+1)</f>
        <v>4</v>
      </c>
      <c r="J47" s="5">
        <f ca="1">IF(I47=1,J46+1,J46)</f>
        <v>2013</v>
      </c>
      <c r="K47" s="345" t="str">
        <f ca="1">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 ca="1">$K47</f>
        <v>4Q13</v>
      </c>
      <c r="AL47" s="847">
        <f ca="1">L47</f>
        <v>19.3622</v>
      </c>
      <c r="AM47" s="778">
        <v>10.2927177685897</v>
      </c>
      <c r="AN47" s="778">
        <v>7.86693684375211</v>
      </c>
      <c r="AO47" s="778">
        <v>9.19345748111427</v>
      </c>
      <c r="AP47" s="778">
        <v>9.16962241204287</v>
      </c>
      <c r="AQ47" s="848">
        <v>7.68521613491045</v>
      </c>
      <c r="AR47" s="847">
        <f ca="1">R47</f>
        <v>17.0729</v>
      </c>
      <c r="AS47" s="778">
        <v>10.6363397317907</v>
      </c>
      <c r="AT47" s="778">
        <v>8.33998859098688</v>
      </c>
      <c r="AU47" s="778">
        <v>9.57830132647001</v>
      </c>
      <c r="AV47" s="778">
        <v>9.17265193370166</v>
      </c>
      <c r="AW47" s="848">
        <v>7.09203980099503</v>
      </c>
      <c r="AX47" s="847">
        <f ca="1">X47</f>
        <v>9.4056</v>
      </c>
      <c r="AY47" s="778">
        <v>5.07278733970358</v>
      </c>
      <c r="AZ47" s="778">
        <v>4.24756283297713</v>
      </c>
      <c r="BA47" s="778">
        <v>5.34768426856692</v>
      </c>
      <c r="BB47" s="778">
        <v>5.64292679516856</v>
      </c>
      <c r="BC47" s="848">
        <v>4.66421621992631</v>
      </c>
      <c r="BD47" s="847">
        <f ca="1">AD47</f>
        <v>8.4288</v>
      </c>
      <c r="BE47" s="778">
        <v>6.07540150394393</v>
      </c>
      <c r="BF47" s="778">
        <v>4.65268102660666</v>
      </c>
      <c r="BG47" s="778">
        <v>5.46753756842904</v>
      </c>
      <c r="BH47" s="778">
        <v>5.31948909525611</v>
      </c>
      <c r="BI47" s="848">
        <v>4.19598269631482</v>
      </c>
      <c r="BJ47" s="16"/>
      <c r="BK47" s="345" t="str">
        <f ca="1">$K47</f>
        <v>4Q13</v>
      </c>
      <c r="BL47" s="847">
        <f ca="1">AL47</f>
        <v>19.3622</v>
      </c>
      <c r="BM47" s="778">
        <v>11.136940235073</v>
      </c>
      <c r="BN47" s="778">
        <v>11.6666666666667</v>
      </c>
      <c r="BO47" s="778">
        <v>17.1928194605477</v>
      </c>
      <c r="BP47" s="778">
        <v>19.4974550891937</v>
      </c>
      <c r="BQ47" s="848">
        <v>13.7129944740891</v>
      </c>
      <c r="BR47" s="847">
        <f ca="1">AR47</f>
        <v>17.0729</v>
      </c>
      <c r="BS47" s="778">
        <v>13.3372589430296</v>
      </c>
      <c r="BT47" s="778">
        <v>9.89889941131303</v>
      </c>
      <c r="BU47" s="778">
        <v>12.5756118144631</v>
      </c>
      <c r="BV47" s="778">
        <v>12.8358552339463</v>
      </c>
      <c r="BW47" s="848">
        <v>13.3302936348714</v>
      </c>
      <c r="BX47" s="847">
        <f ca="1">AX47</f>
        <v>9.4056</v>
      </c>
      <c r="BY47" s="778">
        <v>6.85328618451584</v>
      </c>
      <c r="BZ47" s="778">
        <v>4.81163814208943</v>
      </c>
      <c r="CA47" s="778">
        <v>7.47677448960995</v>
      </c>
      <c r="CB47" s="778">
        <v>13.0253702514268</v>
      </c>
      <c r="CC47" s="848">
        <v>7.88061779049841</v>
      </c>
      <c r="CD47" s="847">
        <f ca="1">BD47</f>
        <v>8.4288</v>
      </c>
      <c r="CE47" s="778">
        <v>5.85992946565517</v>
      </c>
      <c r="CF47" s="778">
        <v>5.4586822092923</v>
      </c>
      <c r="CG47" s="778">
        <v>6.43430463007913</v>
      </c>
      <c r="CH47" s="778">
        <v>7.21769284670727</v>
      </c>
      <c r="CI47" s="848">
        <v>6.87365323404273</v>
      </c>
    </row>
    <row r="48" ht="14.25" customHeight="1" spans="1:87" x14ac:dyDescent="0.25">
      <c r="A48" s="16"/>
      <c r="B48" s="16"/>
      <c r="C48" s="16" t="s">
        <v>931</v>
      </c>
      <c r="D48" s="16"/>
      <c r="E48" s="724">
        <f ca="1">AVERAGE(M60:Q75)</f>
        <v>23.288192500000008</v>
      </c>
      <c r="F48" s="724">
        <f ca="1">AVERAGE(S60:W75)</f>
        <v>21.26408625</v>
      </c>
      <c r="G48" s="724">
        <f ca="1">AVERAGE(Y60:AC75)</f>
        <v>13.299392499999996</v>
      </c>
      <c r="H48" s="724">
        <f ca="1">AVERAGE(AE60:AI75)</f>
        <v>13.18874625</v>
      </c>
      <c r="I48" s="84">
        <f ca="1">I44</f>
        <v>1</v>
      </c>
      <c r="J48" s="5">
        <f ca="1">IF(I48=1,J47+1,J47)</f>
        <v>2014</v>
      </c>
      <c r="K48" s="345" t="str">
        <f ca="1">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 ca="1">$K48</f>
        <v>1Q14</v>
      </c>
      <c r="AL48" s="847">
        <f ca="1">L48</f>
        <v>16.5283</v>
      </c>
      <c r="AM48" s="778">
        <v>10.8005768320536</v>
      </c>
      <c r="AN48" s="778">
        <v>7.90818529546226</v>
      </c>
      <c r="AO48" s="778">
        <v>9.5463149108266</v>
      </c>
      <c r="AP48" s="778">
        <v>10.2308964708008</v>
      </c>
      <c r="AQ48" s="848">
        <v>8.08416807737511</v>
      </c>
      <c r="AR48" s="847">
        <f ca="1">R48</f>
        <v>15.575</v>
      </c>
      <c r="AS48" s="778">
        <v>11.4122428244856</v>
      </c>
      <c r="AT48" s="778">
        <v>9.2925604746691</v>
      </c>
      <c r="AU48" s="778">
        <v>10.414364640884</v>
      </c>
      <c r="AV48" s="778">
        <v>10.0027262813522</v>
      </c>
      <c r="AW48" s="848">
        <v>7.40493827160494</v>
      </c>
      <c r="AX48" s="847">
        <f ca="1">X48</f>
        <v>8.0008</v>
      </c>
      <c r="AY48" s="778">
        <v>5.45960287918951</v>
      </c>
      <c r="AZ48" s="778">
        <v>4.38531826368266</v>
      </c>
      <c r="BA48" s="778">
        <v>5.63891016583893</v>
      </c>
      <c r="BB48" s="778">
        <v>6.34456824794384</v>
      </c>
      <c r="BC48" s="848">
        <v>4.89789496193626</v>
      </c>
      <c r="BD48" s="847">
        <f ca="1">AD48</f>
        <v>7.3711</v>
      </c>
      <c r="BE48" s="778">
        <v>6.72381189121008</v>
      </c>
      <c r="BF48" s="778">
        <v>5.03245583564808</v>
      </c>
      <c r="BG48" s="778">
        <v>6.03177403608887</v>
      </c>
      <c r="BH48" s="778">
        <v>6.08587259966105</v>
      </c>
      <c r="BI48" s="848">
        <v>4.49590768173475</v>
      </c>
      <c r="BJ48" s="16"/>
      <c r="BK48" s="345" t="str">
        <f ca="1">$K48</f>
        <v>1Q14</v>
      </c>
      <c r="BL48" s="847">
        <f ca="1">AL48</f>
        <v>16.5283</v>
      </c>
      <c r="BM48" s="778">
        <v>12.2734575189388</v>
      </c>
      <c r="BN48" s="778">
        <v>12.0208023774146</v>
      </c>
      <c r="BO48" s="778">
        <v>18.8921422410501</v>
      </c>
      <c r="BP48" s="778">
        <v>20.5661114791311</v>
      </c>
      <c r="BQ48" s="848">
        <v>15.5022531910082</v>
      </c>
      <c r="BR48" s="847">
        <f ca="1">AR48</f>
        <v>15.575</v>
      </c>
      <c r="BS48" s="778">
        <v>11.1855507718156</v>
      </c>
      <c r="BT48" s="778">
        <v>10.1049213090182</v>
      </c>
      <c r="BU48" s="778">
        <v>12.5356176725146</v>
      </c>
      <c r="BV48" s="778">
        <v>13.0753090608726</v>
      </c>
      <c r="BW48" s="848">
        <v>15.0280847979706</v>
      </c>
      <c r="BX48" s="847">
        <f ca="1">AX48</f>
        <v>8.0008</v>
      </c>
      <c r="BY48" s="778">
        <v>7.56652201636161</v>
      </c>
      <c r="BZ48" s="778">
        <v>5.69160000786954</v>
      </c>
      <c r="CA48" s="778">
        <v>8.57187044792342</v>
      </c>
      <c r="CB48" s="778">
        <v>13.8815772921564</v>
      </c>
      <c r="CC48" s="848">
        <v>8.77225038791144</v>
      </c>
      <c r="CD48" s="847">
        <f ca="1">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 ca="1">IF(I48=4,1,I48+1)</f>
        <v>2</v>
      </c>
      <c r="J49" s="5">
        <f ca="1">IF(I49=1,J48+1,J48)</f>
        <v>2014</v>
      </c>
      <c r="K49" s="345" t="str">
        <f ca="1">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 ca="1">$K49</f>
        <v>2Q14</v>
      </c>
      <c r="AL49" s="847">
        <f ca="1">L49</f>
        <v>17.9097</v>
      </c>
      <c r="AM49" s="778">
        <v>10.1080216461171</v>
      </c>
      <c r="AN49" s="778">
        <v>8.18487580198375</v>
      </c>
      <c r="AO49" s="778">
        <v>9.8608863994173</v>
      </c>
      <c r="AP49" s="778">
        <v>9.13270838802435</v>
      </c>
      <c r="AQ49" s="848">
        <v>8.1531872577492</v>
      </c>
      <c r="AR49" s="847">
        <f ca="1">R49</f>
        <v>18.2719</v>
      </c>
      <c r="AS49" s="778">
        <v>11.0437539632213</v>
      </c>
      <c r="AT49" s="778">
        <v>9.24358788581365</v>
      </c>
      <c r="AU49" s="778">
        <v>10.886879569065</v>
      </c>
      <c r="AV49" s="778">
        <v>9.19559459082671</v>
      </c>
      <c r="AW49" s="848">
        <v>7.12592592592593</v>
      </c>
      <c r="AX49" s="847">
        <f ca="1">X49</f>
        <v>8.6037</v>
      </c>
      <c r="AY49" s="778">
        <v>5.09384229041825</v>
      </c>
      <c r="AZ49" s="778">
        <v>4.51621775796576</v>
      </c>
      <c r="BA49" s="778">
        <v>5.9616220191104</v>
      </c>
      <c r="BB49" s="778">
        <v>5.74067742761281</v>
      </c>
      <c r="BC49" s="848">
        <v>4.69190112304688</v>
      </c>
      <c r="BD49" s="847">
        <f ca="1">AD49</f>
        <v>8.2363</v>
      </c>
      <c r="BE49" s="778">
        <v>6.36674768430075</v>
      </c>
      <c r="BF49" s="778">
        <v>4.98548193136238</v>
      </c>
      <c r="BG49" s="778">
        <v>6.42986450834854</v>
      </c>
      <c r="BH49" s="778">
        <v>5.61897147902472</v>
      </c>
      <c r="BI49" s="848">
        <v>4.2346854791345</v>
      </c>
      <c r="BJ49" s="16"/>
      <c r="BK49" s="345" t="str">
        <f ca="1">$K49</f>
        <v>2Q14</v>
      </c>
      <c r="BL49" s="847">
        <f ca="1">AL49</f>
        <v>17.9097</v>
      </c>
      <c r="BM49" s="778">
        <v>9.0476464984031</v>
      </c>
      <c r="BN49" s="778">
        <v>11.2008310249307</v>
      </c>
      <c r="BO49" s="778">
        <v>19.0565186308401</v>
      </c>
      <c r="BP49" s="778">
        <v>17.7444200779301</v>
      </c>
      <c r="BQ49" s="848">
        <v>13.557266662622</v>
      </c>
      <c r="BR49" s="847">
        <f ca="1">AR49</f>
        <v>18.2719</v>
      </c>
      <c r="BS49" s="778">
        <v>8.73829371205104</v>
      </c>
      <c r="BT49" s="778">
        <v>9.80123621379227</v>
      </c>
      <c r="BU49" s="778">
        <v>12.9325236772111</v>
      </c>
      <c r="BV49" s="778">
        <v>11.7818741310035</v>
      </c>
      <c r="BW49" s="848">
        <v>13.7377228082939</v>
      </c>
      <c r="BX49" s="847">
        <f ca="1">AX49</f>
        <v>8.6037</v>
      </c>
      <c r="BY49" s="778">
        <v>5.60872942522665</v>
      </c>
      <c r="BZ49" s="778">
        <v>4.98025707935359</v>
      </c>
      <c r="CA49" s="778">
        <v>9.22266505630733</v>
      </c>
      <c r="CB49" s="778">
        <v>12.458154399644</v>
      </c>
      <c r="CC49" s="848">
        <v>9.2789607868955</v>
      </c>
      <c r="CD49" s="847">
        <f ca="1">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 ca="1">Comparables!S89</f>
        <v>Defense Peer Group</v>
      </c>
      <c r="D50" s="110"/>
      <c r="E50" s="110"/>
      <c r="F50" s="110"/>
      <c r="G50" s="110"/>
      <c r="H50" s="111"/>
      <c r="I50" s="84">
        <f ca="1">IF(I49+1=5,1,I49+1)</f>
        <v>3</v>
      </c>
      <c r="J50" s="5">
        <f ca="1">IF(I50=1,J49+1,J49)</f>
        <v>2014</v>
      </c>
      <c r="K50" s="345" t="str">
        <f ca="1">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 ca="1">$K50</f>
        <v>3Q14</v>
      </c>
      <c r="AL50" s="847">
        <f ca="1">L50</f>
        <v>20.0442</v>
      </c>
      <c r="AM50" s="778">
        <v>10.6045068586335</v>
      </c>
      <c r="AN50" s="778">
        <v>8.56758558525328</v>
      </c>
      <c r="AO50" s="778">
        <v>9.80641929304912</v>
      </c>
      <c r="AP50" s="778">
        <v>9.34626997319944</v>
      </c>
      <c r="AQ50" s="848">
        <v>9.18434226435989</v>
      </c>
      <c r="AR50" s="847">
        <f ca="1">R50</f>
        <v>20.5913</v>
      </c>
      <c r="AS50" s="778">
        <v>11.5326664196616</v>
      </c>
      <c r="AT50" s="778">
        <v>9.20465567410281</v>
      </c>
      <c r="AU50" s="778">
        <v>10.7262150497279</v>
      </c>
      <c r="AV50" s="778">
        <v>9.3113645965357</v>
      </c>
      <c r="AW50" s="848">
        <v>8.02716049382716</v>
      </c>
      <c r="AX50" s="847">
        <f ca="1">X50</f>
        <v>9.2169</v>
      </c>
      <c r="AY50" s="778">
        <v>5.20991143288719</v>
      </c>
      <c r="AZ50" s="778">
        <v>4.63203413299972</v>
      </c>
      <c r="BA50" s="778">
        <v>5.67915444963531</v>
      </c>
      <c r="BB50" s="778">
        <v>5.66900012121866</v>
      </c>
      <c r="BC50" s="848">
        <v>5.23832863134496</v>
      </c>
      <c r="BD50" s="847">
        <f ca="1">AD50</f>
        <v>9.2309</v>
      </c>
      <c r="BE50" s="778">
        <v>6.40014317784417</v>
      </c>
      <c r="BF50" s="778">
        <v>4.83632597350223</v>
      </c>
      <c r="BG50" s="778">
        <v>6.17153294639134</v>
      </c>
      <c r="BH50" s="778">
        <v>5.47483447978444</v>
      </c>
      <c r="BI50" s="848">
        <v>4.73882668145305</v>
      </c>
      <c r="BJ50" s="16"/>
      <c r="BK50" s="345" t="str">
        <f ca="1">$K50</f>
        <v>3Q14</v>
      </c>
      <c r="BL50" s="847">
        <f ca="1">AL50</f>
        <v>20.0442</v>
      </c>
      <c r="BM50" s="778">
        <v>8.7278773820466</v>
      </c>
      <c r="BN50" s="778">
        <v>10.9813581890812</v>
      </c>
      <c r="BO50" s="778">
        <v>18.6636395296049</v>
      </c>
      <c r="BP50" s="778">
        <v>17.1441961813853</v>
      </c>
      <c r="BQ50" s="848">
        <v>14.213143045327</v>
      </c>
      <c r="BR50" s="847">
        <f ca="1">AR50</f>
        <v>20.5913</v>
      </c>
      <c r="BS50" s="778">
        <v>9.06829679595278</v>
      </c>
      <c r="BT50" s="778">
        <v>10.6098031648012</v>
      </c>
      <c r="BU50" s="778">
        <v>14.1845479493177</v>
      </c>
      <c r="BV50" s="778">
        <v>12.6292508009654</v>
      </c>
      <c r="BW50" s="848">
        <v>14.7355543007717</v>
      </c>
      <c r="BX50" s="847">
        <f ca="1">AX50</f>
        <v>9.2169</v>
      </c>
      <c r="BY50" s="778">
        <v>5.20222161078648</v>
      </c>
      <c r="BZ50" s="778">
        <v>4.88940153984057</v>
      </c>
      <c r="CA50" s="778">
        <v>10.3988669282679</v>
      </c>
      <c r="CB50" s="778">
        <v>12.060953090903</v>
      </c>
      <c r="CC50" s="848">
        <v>10.4329188660323</v>
      </c>
      <c r="CD50" s="847">
        <f ca="1">BD50</f>
        <v>9.2309</v>
      </c>
      <c r="CE50" s="778">
        <v>5.40052665911043</v>
      </c>
      <c r="CF50" s="778">
        <v>6.01212995806737</v>
      </c>
      <c r="CG50" s="778">
        <v>9.28148033731055</v>
      </c>
      <c r="CH50" s="778">
        <v>7.9211118503344</v>
      </c>
      <c r="CI50" s="848">
        <v>10.09882653422</v>
      </c>
    </row>
    <row r="51" ht="14.25" customHeight="1" spans="1:87" x14ac:dyDescent="0.25">
      <c r="A51" s="16"/>
      <c r="B51" s="16"/>
      <c r="C51" s="846" t="s">
        <v>918</v>
      </c>
      <c r="D51" s="846"/>
      <c r="E51" s="846"/>
      <c r="F51" s="846"/>
      <c r="G51" s="846"/>
      <c r="H51" s="846"/>
      <c r="I51" s="84">
        <f ca="1">IF(I50=4,1,I50+1)</f>
        <v>4</v>
      </c>
      <c r="J51" s="5">
        <f ca="1">IF(I51=1,J50+1,J50)</f>
        <v>2014</v>
      </c>
      <c r="K51" s="345" t="str">
        <f ca="1">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 ca="1">$K51</f>
        <v>4Q14</v>
      </c>
      <c r="AL51" s="847">
        <f ca="1">L51</f>
        <v>21.6796</v>
      </c>
      <c r="AM51" s="778">
        <v>10.939313538814</v>
      </c>
      <c r="AN51" s="778">
        <v>8.65965505408376</v>
      </c>
      <c r="AO51" s="778">
        <v>10.0778388743355</v>
      </c>
      <c r="AP51" s="778">
        <v>10.9430778279215</v>
      </c>
      <c r="AQ51" s="848">
        <v>11.5336818429242</v>
      </c>
      <c r="AR51" s="847">
        <f ca="1">R51</f>
        <v>18.1696</v>
      </c>
      <c r="AS51" s="778">
        <v>10.9842894548917</v>
      </c>
      <c r="AT51" s="778">
        <v>9.13737155219037</v>
      </c>
      <c r="AU51" s="778">
        <v>10.4030363274896</v>
      </c>
      <c r="AV51" s="778">
        <v>9.9056199056199</v>
      </c>
      <c r="AW51" s="848">
        <v>8.48614609571788</v>
      </c>
      <c r="AX51" s="847">
        <f ca="1">X51</f>
        <v>9.7542</v>
      </c>
      <c r="AY51" s="778">
        <v>6.32126177836678</v>
      </c>
      <c r="AZ51" s="778">
        <v>4.57695008741106</v>
      </c>
      <c r="BA51" s="778">
        <v>5.76020463790628</v>
      </c>
      <c r="BB51" s="778">
        <v>17.2533686233174</v>
      </c>
      <c r="BC51" s="848">
        <v>4.84202675761119</v>
      </c>
      <c r="BD51" s="847">
        <f ca="1">AD51</f>
        <v>8.9329</v>
      </c>
      <c r="BE51" s="778">
        <v>6.78215566248927</v>
      </c>
      <c r="BF51" s="778">
        <v>5.09924907976123</v>
      </c>
      <c r="BG51" s="778">
        <v>6.10279206481292</v>
      </c>
      <c r="BH51" s="778">
        <v>5.62315387593203</v>
      </c>
      <c r="BI51" s="848">
        <v>4.41711007599884</v>
      </c>
      <c r="BJ51" s="16"/>
      <c r="BK51" s="345" t="str">
        <f ca="1">$K51</f>
        <v>4Q14</v>
      </c>
      <c r="BL51" s="847">
        <f ca="1">AL51</f>
        <v>21.6796</v>
      </c>
      <c r="BM51" s="778">
        <v>10.410691881697</v>
      </c>
      <c r="BN51" s="778">
        <v>11.1961858862244</v>
      </c>
      <c r="BO51" s="778">
        <v>14.1480637413155</v>
      </c>
      <c r="BP51" s="778">
        <v>14.8818083973992</v>
      </c>
      <c r="BQ51" s="848">
        <v>15.0859111459884</v>
      </c>
      <c r="BR51" s="847">
        <f ca="1">AR51</f>
        <v>18.1696</v>
      </c>
      <c r="BS51" s="778">
        <v>9.84059960465627</v>
      </c>
      <c r="BT51" s="778">
        <v>10.3459834789896</v>
      </c>
      <c r="BU51" s="778">
        <v>13.4242627318696</v>
      </c>
      <c r="BV51" s="778">
        <v>13.4783838217687</v>
      </c>
      <c r="BW51" s="848">
        <v>15.4038317054846</v>
      </c>
      <c r="BX51" s="847">
        <f ca="1">AX51</f>
        <v>9.7542</v>
      </c>
      <c r="BY51" s="778">
        <v>5.78148773705291</v>
      </c>
      <c r="BZ51" s="778">
        <v>4.72035075619799</v>
      </c>
      <c r="CA51" s="778">
        <v>9.15838226846345</v>
      </c>
      <c r="CB51" s="778">
        <v>9.03030245541161</v>
      </c>
      <c r="CC51" s="848">
        <v>10.3128599049214</v>
      </c>
      <c r="CD51" s="847">
        <f ca="1">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913</v>
      </c>
      <c r="F52" s="84" t="s">
        <v>914</v>
      </c>
      <c r="G52" s="84" t="s">
        <v>915</v>
      </c>
      <c r="H52" s="84" t="s">
        <v>916</v>
      </c>
      <c r="I52" s="84">
        <f ca="1">I48</f>
        <v>1</v>
      </c>
      <c r="J52" s="5">
        <f ca="1">IF(I52=1,J51+1,J51)</f>
        <v>2015</v>
      </c>
      <c r="K52" s="345" t="str">
        <f ca="1">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 ca="1">$K52</f>
        <v>1Q15</v>
      </c>
      <c r="AL52" s="847">
        <f ca="1">L52</f>
        <v>22.7334</v>
      </c>
      <c r="AM52" s="778">
        <v>10.9747005408781</v>
      </c>
      <c r="AN52" s="778">
        <v>8.90906102941755</v>
      </c>
      <c r="AO52" s="778">
        <v>9.99584455790109</v>
      </c>
      <c r="AP52" s="778">
        <v>11.0516739030497</v>
      </c>
      <c r="AQ52" s="848">
        <v>13.4987555674236</v>
      </c>
      <c r="AR52" s="847">
        <f ca="1">R52</f>
        <v>19.6163</v>
      </c>
      <c r="AS52" s="778">
        <v>10.7964205816555</v>
      </c>
      <c r="AT52" s="778">
        <v>9.9545906059316</v>
      </c>
      <c r="AU52" s="778">
        <v>11.0217472815898</v>
      </c>
      <c r="AV52" s="778">
        <v>10.4104532703381</v>
      </c>
      <c r="AW52" s="848">
        <v>9.43301435406699</v>
      </c>
      <c r="AX52" s="847">
        <f ca="1">X52</f>
        <v>9.9684</v>
      </c>
      <c r="AY52" s="778">
        <v>6.25222651321006</v>
      </c>
      <c r="AZ52" s="778">
        <v>4.83952787353108</v>
      </c>
      <c r="BA52" s="778">
        <v>5.83587531857158</v>
      </c>
      <c r="BB52" s="778">
        <v>17.5958788491898</v>
      </c>
      <c r="BC52" s="848">
        <v>5.68527472329238</v>
      </c>
      <c r="BD52" s="847">
        <f ca="1">AD52</f>
        <v>9.254</v>
      </c>
      <c r="BE52" s="778">
        <v>6.40065941153131</v>
      </c>
      <c r="BF52" s="778">
        <v>5.38918917105491</v>
      </c>
      <c r="BG52" s="778">
        <v>6.37096811530985</v>
      </c>
      <c r="BH52" s="778">
        <v>6.06595367790709</v>
      </c>
      <c r="BI52" s="848">
        <v>5.2266664649216</v>
      </c>
      <c r="BJ52" s="16"/>
      <c r="BK52" s="345" t="str">
        <f ca="1">$K52</f>
        <v>1Q15</v>
      </c>
      <c r="BL52" s="847">
        <f ca="1">AL52</f>
        <v>22.7334</v>
      </c>
      <c r="BM52" s="778">
        <v>11.3979492341081</v>
      </c>
      <c r="BN52" s="778">
        <v>10.6559916715208</v>
      </c>
      <c r="BO52" s="778">
        <v>16.3110862969049</v>
      </c>
      <c r="BP52" s="778">
        <v>16.9422737201693</v>
      </c>
      <c r="BQ52" s="848">
        <v>16.5946552528309</v>
      </c>
      <c r="BR52" s="847">
        <f ca="1">AR52</f>
        <v>19.6163</v>
      </c>
      <c r="BS52" s="778">
        <v>10.8617459722743</v>
      </c>
      <c r="BT52" s="778">
        <v>10.0128100617212</v>
      </c>
      <c r="BU52" s="778">
        <v>13.2523150673822</v>
      </c>
      <c r="BV52" s="778">
        <v>14.4974502069346</v>
      </c>
      <c r="BW52" s="848">
        <v>15.2838213643056</v>
      </c>
      <c r="BX52" s="847">
        <f ca="1">AX52</f>
        <v>9.9684</v>
      </c>
      <c r="BY52" s="778">
        <v>6.17824326026236</v>
      </c>
      <c r="BZ52" s="778">
        <v>5.36871235891615</v>
      </c>
      <c r="CA52" s="778">
        <v>9.74395550475693</v>
      </c>
      <c r="CB52" s="778">
        <v>10.5591287033373</v>
      </c>
      <c r="CC52" s="848">
        <v>10.940341244788</v>
      </c>
      <c r="CD52" s="847">
        <f ca="1">BD52</f>
        <v>9.254</v>
      </c>
      <c r="CE52" s="778">
        <v>6.05796027145949</v>
      </c>
      <c r="CF52" s="778">
        <v>6.03868418220498</v>
      </c>
      <c r="CG52" s="778">
        <v>7.77903050962802</v>
      </c>
      <c r="CH52" s="778">
        <v>9.0216648635804</v>
      </c>
      <c r="CI52" s="848">
        <v>9.76738277151971</v>
      </c>
    </row>
    <row r="53" ht="14.25" customHeight="1" spans="1:87" x14ac:dyDescent="0.25">
      <c r="A53" s="16"/>
      <c r="B53" s="16"/>
      <c r="C53" s="16" t="s">
        <v>887</v>
      </c>
      <c r="D53" s="16"/>
      <c r="E53" s="724">
        <f ca="1">AVERAGE(AM81:AQ86)</f>
        <v>16.2811317957635</v>
      </c>
      <c r="F53" s="724">
        <f ca="1">AVERAGE(AS81:AW86)</f>
        <v>16.207046180263625</v>
      </c>
      <c r="G53" s="724">
        <f ca="1">AVERAGE(AY81:BC86)</f>
        <v>12.026952580590283</v>
      </c>
      <c r="H53" s="724">
        <f ca="1">AVERAGE(BE81:BI86)</f>
        <v>12.189450395723325</v>
      </c>
      <c r="I53" s="84">
        <f ca="1">IF(I52=4,1,I52+1)</f>
        <v>2</v>
      </c>
      <c r="J53" s="5">
        <f ca="1">IF(I53=1,J52+1,J52)</f>
        <v>2015</v>
      </c>
      <c r="K53" s="345" t="str">
        <f ca="1">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 ca="1">$K53</f>
        <v>2Q15</v>
      </c>
      <c r="AL53" s="847">
        <f ca="1">L53</f>
        <v>23.4712</v>
      </c>
      <c r="AM53" s="778">
        <v>11.9782130374776</v>
      </c>
      <c r="AN53" s="778">
        <v>10.1920161063397</v>
      </c>
      <c r="AO53" s="778">
        <v>11.0652994919033</v>
      </c>
      <c r="AP53" s="778">
        <v>12.1382016308239</v>
      </c>
      <c r="AQ53" s="848">
        <v>13.1569455274973</v>
      </c>
      <c r="AR53" s="847">
        <f ca="1">R53</f>
        <v>21.8094</v>
      </c>
      <c r="AS53" s="778">
        <v>12.041745309204</v>
      </c>
      <c r="AT53" s="778">
        <v>11.5031953320367</v>
      </c>
      <c r="AU53" s="778">
        <v>12.081125525306</v>
      </c>
      <c r="AV53" s="778">
        <v>11.6027255221449</v>
      </c>
      <c r="AW53" s="848">
        <v>9.05437352245863</v>
      </c>
      <c r="AX53" s="847">
        <f ca="1">X53</f>
        <v>10.4997</v>
      </c>
      <c r="AY53" s="778">
        <v>6.78063849169565</v>
      </c>
      <c r="AZ53" s="778">
        <v>5.66684750026189</v>
      </c>
      <c r="BA53" s="778">
        <v>6.6173009488542</v>
      </c>
      <c r="BB53" s="778">
        <v>19.9828410370048</v>
      </c>
      <c r="BC53" s="848">
        <v>6.51827173074468</v>
      </c>
      <c r="BD53" s="847">
        <f ca="1">AD53</f>
        <v>10.1421</v>
      </c>
      <c r="BE53" s="778">
        <v>7.09397312761365</v>
      </c>
      <c r="BF53" s="778">
        <v>6.33862033674069</v>
      </c>
      <c r="BG53" s="778">
        <v>7.28432496531872</v>
      </c>
      <c r="BH53" s="778">
        <v>6.68105898371528</v>
      </c>
      <c r="BI53" s="848">
        <v>5.73741529842785</v>
      </c>
      <c r="BJ53" s="16"/>
      <c r="BK53" s="345" t="str">
        <f ca="1">$K53</f>
        <v>2Q15</v>
      </c>
      <c r="BL53" s="847">
        <f ca="1">AL53</f>
        <v>23.4712</v>
      </c>
      <c r="BM53" s="778">
        <v>12.7998713961279</v>
      </c>
      <c r="BN53" s="778">
        <v>9.88599170185066</v>
      </c>
      <c r="BO53" s="778">
        <v>16.8796644924156</v>
      </c>
      <c r="BP53" s="778">
        <v>17.1543540948171</v>
      </c>
      <c r="BQ53" s="848">
        <v>16.2968345494295</v>
      </c>
      <c r="BR53" s="847">
        <f ca="1">AR53</f>
        <v>21.8094</v>
      </c>
      <c r="BS53" s="778">
        <v>12.0599415204678</v>
      </c>
      <c r="BT53" s="778">
        <v>9.54310547333803</v>
      </c>
      <c r="BU53" s="778">
        <v>13.4285662445783</v>
      </c>
      <c r="BV53" s="778">
        <v>15.2589643125916</v>
      </c>
      <c r="BW53" s="848">
        <v>15.2111292962357</v>
      </c>
      <c r="BX53" s="847">
        <f ca="1">AX53</f>
        <v>10.4997</v>
      </c>
      <c r="BY53" s="778">
        <v>8.31815669163724</v>
      </c>
      <c r="BZ53" s="778">
        <v>4.36124069424063</v>
      </c>
      <c r="CA53" s="778">
        <v>9.98979284446393</v>
      </c>
      <c r="CB53" s="778">
        <v>10.9047396522652</v>
      </c>
      <c r="CC53" s="848">
        <v>10.2848031066489</v>
      </c>
      <c r="CD53" s="847">
        <f ca="1">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889</v>
      </c>
      <c r="D54" s="16"/>
      <c r="E54" s="724">
        <f ca="1">AVERAGE(AM77:AQ86)</f>
        <v>16.167189775700525</v>
      </c>
      <c r="F54" s="724">
        <f ca="1">AVERAGE(AS77:AW86)</f>
        <v>16.123041845273583</v>
      </c>
      <c r="G54" s="724">
        <f ca="1">AVERAGE(AY77:BC86)</f>
        <v>11.95618302887918</v>
      </c>
      <c r="H54" s="724">
        <f ca="1">AVERAGE(BE77:BI86)</f>
        <v>12.1269722740679</v>
      </c>
      <c r="I54" s="84">
        <f ca="1">IF(I53+1=5,1,I53+1)</f>
        <v>3</v>
      </c>
      <c r="J54" s="5">
        <f ca="1">IF(I54=1,J53+1,J53)</f>
        <v>2015</v>
      </c>
      <c r="K54" s="345" t="str">
        <f ca="1">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 ca="1">$K54</f>
        <v>3Q15</v>
      </c>
      <c r="AL54" s="847">
        <f ca="1">L54</f>
        <v>23.5402</v>
      </c>
      <c r="AM54" s="778">
        <v>13.61392571717</v>
      </c>
      <c r="AN54" s="778">
        <v>11.2813752145605</v>
      </c>
      <c r="AO54" s="778">
        <v>12.8588618530776</v>
      </c>
      <c r="AP54" s="778">
        <v>13.2005714616677</v>
      </c>
      <c r="AQ54" s="848">
        <v>15.6097024743989</v>
      </c>
      <c r="AR54" s="847">
        <f ca="1">R54</f>
        <v>22.8236</v>
      </c>
      <c r="AS54" s="778">
        <v>13.3532244556114</v>
      </c>
      <c r="AT54" s="778">
        <v>12.3698221010258</v>
      </c>
      <c r="AU54" s="778">
        <v>13.5614992081647</v>
      </c>
      <c r="AV54" s="778">
        <v>12.5729061916391</v>
      </c>
      <c r="AW54" s="848">
        <v>10.6168224299065</v>
      </c>
      <c r="AX54" s="847">
        <f ca="1">X54</f>
        <v>10.6759</v>
      </c>
      <c r="AY54" s="778">
        <v>7.77708057929062</v>
      </c>
      <c r="AZ54" s="778">
        <v>6.25430883142553</v>
      </c>
      <c r="BA54" s="778">
        <v>7.53946972682942</v>
      </c>
      <c r="BB54" s="778">
        <v>21.4577285987806</v>
      </c>
      <c r="BC54" s="848">
        <v>7.61177518320519</v>
      </c>
      <c r="BD54" s="847">
        <f ca="1">AD54</f>
        <v>10.6153</v>
      </c>
      <c r="BE54" s="778">
        <v>7.84948878142277</v>
      </c>
      <c r="BF54" s="778">
        <v>6.6309938124452</v>
      </c>
      <c r="BG54" s="778">
        <v>7.96930082065482</v>
      </c>
      <c r="BH54" s="778">
        <v>7.18444358023124</v>
      </c>
      <c r="BI54" s="848">
        <v>6.62350163338909</v>
      </c>
      <c r="BJ54" s="16"/>
      <c r="BK54" s="345" t="str">
        <f ca="1">$K54</f>
        <v>3Q15</v>
      </c>
      <c r="BL54" s="847">
        <f ca="1">AL54</f>
        <v>23.5402</v>
      </c>
      <c r="BM54" s="778">
        <v>14.9862401518031</v>
      </c>
      <c r="BN54" s="778">
        <v>9.13300318819126</v>
      </c>
      <c r="BO54" s="778">
        <v>17.6015046977109</v>
      </c>
      <c r="BP54" s="778">
        <v>17.71647607207</v>
      </c>
      <c r="BQ54" s="848">
        <v>18.2145269890738</v>
      </c>
      <c r="BR54" s="847">
        <f ca="1">AR54</f>
        <v>22.8236</v>
      </c>
      <c r="BS54" s="778">
        <v>13.2654684269127</v>
      </c>
      <c r="BT54" s="778">
        <v>9.18415707515233</v>
      </c>
      <c r="BU54" s="778">
        <v>13.8673284698068</v>
      </c>
      <c r="BV54" s="778">
        <v>15.9802470919811</v>
      </c>
      <c r="BW54" s="848">
        <v>17.5203119922002</v>
      </c>
      <c r="BX54" s="847">
        <f ca="1">AX54</f>
        <v>10.6759</v>
      </c>
      <c r="BY54" s="778">
        <v>7.22081451044756</v>
      </c>
      <c r="BZ54" s="778">
        <v>4.05393973980648</v>
      </c>
      <c r="CA54" s="778">
        <v>10.6003988879441</v>
      </c>
      <c r="CB54" s="778">
        <v>11.0192322082175</v>
      </c>
      <c r="CC54" s="848">
        <v>11.2008098892945</v>
      </c>
      <c r="CD54" s="847">
        <f ca="1">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884</v>
      </c>
      <c r="D55" s="16"/>
      <c r="E55" s="724">
        <f ca="1">AVERAGE(AM73:AQ86)</f>
        <v>16.693825092020955</v>
      </c>
      <c r="F55" s="724">
        <f ca="1">AVERAGE(AS73:AW86)</f>
        <v>16.078511393647254</v>
      </c>
      <c r="G55" s="724">
        <f ca="1">AVERAGE(AY73:BC86)</f>
        <v>11.965668501832177</v>
      </c>
      <c r="H55" s="724">
        <f ca="1">AVERAGE(BE73:BI86)</f>
        <v>11.89400826050088</v>
      </c>
      <c r="I55" s="84">
        <f ca="1">IF(I54=4,1,I54+1)</f>
        <v>4</v>
      </c>
      <c r="J55" s="5">
        <f ca="1">IF(I55=1,J54+1,J54)</f>
        <v>2015</v>
      </c>
      <c r="K55" s="345" t="str">
        <f ca="1">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 ca="1">$K55</f>
        <v>4Q15</v>
      </c>
      <c r="AL55" s="847">
        <f ca="1">L55</f>
        <v>22.6923</v>
      </c>
      <c r="AM55" s="778">
        <v>14.899093867298</v>
      </c>
      <c r="AN55" s="778">
        <v>13.4652467749377</v>
      </c>
      <c r="AO55" s="778">
        <v>14.8842735424243</v>
      </c>
      <c r="AP55" s="778">
        <v>13.4577711198626</v>
      </c>
      <c r="AQ55" s="848">
        <v>83.6538461538461</v>
      </c>
      <c r="AR55" s="847">
        <f ca="1">R55</f>
        <v>18.5932</v>
      </c>
      <c r="AS55" s="778">
        <v>15.3669629935911</v>
      </c>
      <c r="AT55" s="778">
        <v>14.1145320197044</v>
      </c>
      <c r="AU55" s="778">
        <v>15.56547108289</v>
      </c>
      <c r="AV55" s="778">
        <v>13.5956175298805</v>
      </c>
      <c r="AW55" s="848">
        <v>10.0694444444444</v>
      </c>
      <c r="AX55" s="847">
        <f ca="1">X55</f>
        <v>10.6981</v>
      </c>
      <c r="AY55" s="778">
        <v>9.30880362696557</v>
      </c>
      <c r="AZ55" s="778">
        <v>7.2477448823506</v>
      </c>
      <c r="BA55" s="778">
        <v>8.74227284277257</v>
      </c>
      <c r="BB55" s="778">
        <v>7.69023648176773</v>
      </c>
      <c r="BC55" s="848">
        <v>6.98574669803306</v>
      </c>
      <c r="BD55" s="847">
        <f ca="1">AD55</f>
        <v>9.6794</v>
      </c>
      <c r="BE55" s="778">
        <v>8.47633778801312</v>
      </c>
      <c r="BF55" s="778">
        <v>7.47266848603473</v>
      </c>
      <c r="BG55" s="778">
        <v>8.54010978861887</v>
      </c>
      <c r="BH55" s="778">
        <v>7.44769376803239</v>
      </c>
      <c r="BI55" s="848">
        <v>6.37364243076596</v>
      </c>
      <c r="BJ55" s="16"/>
      <c r="BK55" s="345" t="str">
        <f ca="1">$K55</f>
        <v>4Q15</v>
      </c>
      <c r="BL55" s="847">
        <f ca="1">AL55</f>
        <v>22.6923</v>
      </c>
      <c r="BM55" s="778">
        <v>16.2012154925796</v>
      </c>
      <c r="BN55" s="778">
        <v>9.78991294877581</v>
      </c>
      <c r="BO55" s="778">
        <v>20.0747118434189</v>
      </c>
      <c r="BP55" s="778">
        <v>16.4086024096269</v>
      </c>
      <c r="BQ55" s="848">
        <v>18.1950160365563</v>
      </c>
      <c r="BR55" s="847">
        <f ca="1">AR55</f>
        <v>18.5932</v>
      </c>
      <c r="BS55" s="778">
        <v>16.6014625228519</v>
      </c>
      <c r="BT55" s="778">
        <v>10.9508393285372</v>
      </c>
      <c r="BU55" s="778">
        <v>16.4593016139279</v>
      </c>
      <c r="BV55" s="778">
        <v>17.5868302999988</v>
      </c>
      <c r="BW55" s="848">
        <v>18.5040650406504</v>
      </c>
      <c r="BX55" s="847">
        <f ca="1">AX55</f>
        <v>10.6981</v>
      </c>
      <c r="BY55" s="778">
        <v>7.11789902474014</v>
      </c>
      <c r="BZ55" s="778">
        <v>4.28902815945814</v>
      </c>
      <c r="CA55" s="778">
        <v>15.144914733762</v>
      </c>
      <c r="CB55" s="778">
        <v>11.4352152994917</v>
      </c>
      <c r="CC55" s="848">
        <v>11.1025976069489</v>
      </c>
      <c r="CD55" s="847">
        <f ca="1">BD55</f>
        <v>9.6794</v>
      </c>
      <c r="CE55" s="778">
        <v>7.513322197713</v>
      </c>
      <c r="CF55" s="778">
        <v>5.63279108316854</v>
      </c>
      <c r="CG55" s="778">
        <v>9.16310246193321</v>
      </c>
      <c r="CH55" s="778">
        <v>9.45976313593936</v>
      </c>
      <c r="CI55" s="848">
        <v>10.199800616474</v>
      </c>
    </row>
    <row r="56" ht="14.25" customHeight="1" spans="1:87" x14ac:dyDescent="0.25">
      <c r="A56" s="16"/>
      <c r="B56" s="16"/>
      <c r="C56" s="16" t="s">
        <v>890</v>
      </c>
      <c r="D56" s="16"/>
      <c r="E56" s="724">
        <f ca="1">AVERAGE(AM65:AQ86)</f>
        <v>18.270614828253066</v>
      </c>
      <c r="F56" s="724">
        <f ca="1">AVERAGE(AS65:AW86)</f>
        <v>17.344062816540788</v>
      </c>
      <c r="G56" s="724">
        <f ca="1">AVERAGE(AY65:BC86)</f>
        <v>12.110641773518143</v>
      </c>
      <c r="H56" s="724">
        <f ca="1">AVERAGE(BE65:BI86)</f>
        <v>11.961096449914985</v>
      </c>
      <c r="I56" s="84">
        <f ca="1">I52</f>
        <v>1</v>
      </c>
      <c r="J56" s="5">
        <f ca="1">IF(I56=1,J55+1,J55)</f>
        <v>2016</v>
      </c>
      <c r="K56" s="345" t="str">
        <f ca="1">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 ca="1">$K56</f>
        <v>1Q16</v>
      </c>
      <c r="AL56" s="847">
        <f ca="1">L56</f>
        <v>20.9599</v>
      </c>
      <c r="AM56" s="778">
        <v>15.6067765380931</v>
      </c>
      <c r="AN56" s="778">
        <v>13.8939188373522</v>
      </c>
      <c r="AO56" s="778">
        <v>15.8564149382548</v>
      </c>
      <c r="AP56" s="778">
        <v>15.0353292967643</v>
      </c>
      <c r="AQ56" s="848">
        <v>79.6538461538461</v>
      </c>
      <c r="AR56" s="847">
        <f ca="1">R56</f>
        <v>18.3448</v>
      </c>
      <c r="AS56" s="778">
        <v>15.3854853911404</v>
      </c>
      <c r="AT56" s="778">
        <v>13.9113767053783</v>
      </c>
      <c r="AU56" s="778">
        <v>14.2184801381693</v>
      </c>
      <c r="AV56" s="778">
        <v>15.1026067665003</v>
      </c>
      <c r="AW56" s="848">
        <v>10.5394402035623</v>
      </c>
      <c r="AX56" s="847">
        <f ca="1">X56</f>
        <v>9.8367</v>
      </c>
      <c r="AY56" s="778">
        <v>9.52318541881982</v>
      </c>
      <c r="AZ56" s="778">
        <v>7.77289795350423</v>
      </c>
      <c r="BA56" s="778">
        <v>9.07602320303267</v>
      </c>
      <c r="BB56" s="778">
        <v>8.82115813258258</v>
      </c>
      <c r="BC56" s="848">
        <v>6.58313719115977</v>
      </c>
      <c r="BD56" s="847">
        <f ca="1">AD56</f>
        <v>9.1363</v>
      </c>
      <c r="BE56" s="778">
        <v>8.75561902375599</v>
      </c>
      <c r="BF56" s="778">
        <v>7.91193042025454</v>
      </c>
      <c r="BG56" s="778">
        <v>8.47813366479963</v>
      </c>
      <c r="BH56" s="778">
        <v>8.76916252515342</v>
      </c>
      <c r="BI56" s="848">
        <v>6.39860235563282</v>
      </c>
      <c r="BJ56" s="16"/>
      <c r="BK56" s="345" t="str">
        <f ca="1">$K56</f>
        <v>1Q16</v>
      </c>
      <c r="BL56" s="847">
        <f ca="1">AL56</f>
        <v>20.9599</v>
      </c>
      <c r="BM56" s="778">
        <v>17.0516310759413</v>
      </c>
      <c r="BN56" s="778">
        <v>9.49964789575999</v>
      </c>
      <c r="BO56" s="778">
        <v>18.027276007093</v>
      </c>
      <c r="BP56" s="778">
        <v>16.5223404454521</v>
      </c>
      <c r="BQ56" s="848">
        <v>18.3451782515745</v>
      </c>
      <c r="BR56" s="847">
        <f ca="1">AR56</f>
        <v>18.3448</v>
      </c>
      <c r="BS56" s="778">
        <v>17.1121060788703</v>
      </c>
      <c r="BT56" s="778">
        <v>10.8172504169645</v>
      </c>
      <c r="BU56" s="778">
        <v>14.6651730972304</v>
      </c>
      <c r="BV56" s="778">
        <v>15.9141730133627</v>
      </c>
      <c r="BW56" s="848">
        <v>17.0868675051185</v>
      </c>
      <c r="BX56" s="847">
        <f ca="1">AX56</f>
        <v>9.8367</v>
      </c>
      <c r="BY56" s="778">
        <v>7.61704507988604</v>
      </c>
      <c r="BZ56" s="778">
        <v>4.9037833624296</v>
      </c>
      <c r="CA56" s="778">
        <v>13.7003339232748</v>
      </c>
      <c r="CB56" s="778">
        <v>11.524812180156</v>
      </c>
      <c r="CC56" s="848">
        <v>11.2269030250655</v>
      </c>
      <c r="CD56" s="847">
        <f ca="1">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919</v>
      </c>
      <c r="D57" s="846"/>
      <c r="E57" s="846"/>
      <c r="F57" s="846"/>
      <c r="G57" s="846"/>
      <c r="H57" s="846"/>
      <c r="I57" s="84">
        <f ca="1">IF(I56=4,1,I56+1)</f>
        <v>2</v>
      </c>
      <c r="J57" s="5">
        <f ca="1">IF(I57=1,J56+1,J56)</f>
        <v>2016</v>
      </c>
      <c r="K57" s="345" t="str">
        <f ca="1">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 ca="1">$K57</f>
        <v>2Q16</v>
      </c>
      <c r="AL57" s="847">
        <f ca="1">L57</f>
        <v>21.5976</v>
      </c>
      <c r="AM57" s="778">
        <v>15.1925047159338</v>
      </c>
      <c r="AN57" s="778">
        <v>13.1171174490227</v>
      </c>
      <c r="AO57" s="778">
        <v>14.5572995033791</v>
      </c>
      <c r="AP57" s="778">
        <v>16.0071527457314</v>
      </c>
      <c r="AQ57" s="848">
        <v>72.15</v>
      </c>
      <c r="AR57" s="847">
        <f ca="1">R57</f>
        <v>20.16</v>
      </c>
      <c r="AS57" s="778">
        <v>14.6771984293672</v>
      </c>
      <c r="AT57" s="778">
        <v>13.0886214442013</v>
      </c>
      <c r="AU57" s="778">
        <v>13.2886776145203</v>
      </c>
      <c r="AV57" s="778">
        <v>15.9069196123925</v>
      </c>
      <c r="AW57" s="848">
        <v>11.1285347043702</v>
      </c>
      <c r="AX57" s="847">
        <f ca="1">X57</f>
        <v>10.1552</v>
      </c>
      <c r="AY57" s="778">
        <v>9.04341450295343</v>
      </c>
      <c r="AZ57" s="778">
        <v>7.56549925881769</v>
      </c>
      <c r="BA57" s="778">
        <v>8.56850789299641</v>
      </c>
      <c r="BB57" s="778">
        <v>9.53762607969839</v>
      </c>
      <c r="BC57" s="848">
        <v>7.3059059511382</v>
      </c>
      <c r="BD57" s="847">
        <f ca="1">AD57</f>
        <v>9.7479</v>
      </c>
      <c r="BE57" s="778">
        <v>8.34191205536816</v>
      </c>
      <c r="BF57" s="778">
        <v>7.68678470437694</v>
      </c>
      <c r="BG57" s="778">
        <v>8.01440888453109</v>
      </c>
      <c r="BH57" s="778">
        <v>9.3871322553164</v>
      </c>
      <c r="BI57" s="848">
        <v>6.98257489680346</v>
      </c>
      <c r="BJ57" s="16"/>
      <c r="BK57" s="345" t="str">
        <f ca="1">$K57</f>
        <v>2Q16</v>
      </c>
      <c r="BL57" s="847">
        <f ca="1">AL57</f>
        <v>21.5976</v>
      </c>
      <c r="BM57" s="778">
        <v>17.5122655959803</v>
      </c>
      <c r="BN57" s="778">
        <v>9.57282674631935</v>
      </c>
      <c r="BO57" s="778">
        <v>18.8148107152353</v>
      </c>
      <c r="BP57" s="778">
        <v>16.3834695861817</v>
      </c>
      <c r="BQ57" s="848">
        <v>18.81446848108</v>
      </c>
      <c r="BR57" s="847">
        <f ca="1">AR57</f>
        <v>20.16</v>
      </c>
      <c r="BS57" s="778">
        <v>17.5330751855437</v>
      </c>
      <c r="BT57" s="778">
        <v>10.6919352934231</v>
      </c>
      <c r="BU57" s="778">
        <v>14.9212562268163</v>
      </c>
      <c r="BV57" s="778">
        <v>15.9611519686452</v>
      </c>
      <c r="BW57" s="848">
        <v>16.8392648774796</v>
      </c>
      <c r="BX57" s="847">
        <f ca="1">AX57</f>
        <v>10.1552</v>
      </c>
      <c r="BY57" s="778">
        <v>8.01713636023447</v>
      </c>
      <c r="BZ57" s="778">
        <v>4.40170908891738</v>
      </c>
      <c r="CA57" s="778">
        <v>16.4908873645734</v>
      </c>
      <c r="CB57" s="778">
        <v>11.2461348569961</v>
      </c>
      <c r="CC57" s="848">
        <v>11.2015939345566</v>
      </c>
      <c r="CD57" s="847">
        <f ca="1">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913</v>
      </c>
      <c r="F58" s="84" t="s">
        <v>914</v>
      </c>
      <c r="G58" s="84" t="s">
        <v>915</v>
      </c>
      <c r="H58" s="84" t="s">
        <v>916</v>
      </c>
      <c r="I58" s="84">
        <f ca="1">IF(I57+1=5,1,I57+1)</f>
        <v>3</v>
      </c>
      <c r="J58" s="5">
        <f ca="1">IF(I58=1,J57+1,J57)</f>
        <v>2016</v>
      </c>
      <c r="K58" s="345" t="str">
        <f ca="1">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 ca="1">$K58</f>
        <v>3Q16</v>
      </c>
      <c r="AL58" s="847">
        <f ca="1">L58</f>
        <v>26.8605</v>
      </c>
      <c r="AM58" s="778">
        <v>16.971911291818</v>
      </c>
      <c r="AN58" s="778">
        <v>14.2595180334852</v>
      </c>
      <c r="AO58" s="778">
        <v>15.677518897643</v>
      </c>
      <c r="AP58" s="778">
        <v>17.0492565080697</v>
      </c>
      <c r="AQ58" s="848">
        <v>78.5833333333333</v>
      </c>
      <c r="AR58" s="847">
        <f ca="1">R58</f>
        <v>25.7389</v>
      </c>
      <c r="AS58" s="778">
        <v>16.2847469707769</v>
      </c>
      <c r="AT58" s="778">
        <v>14.1723136495644</v>
      </c>
      <c r="AU58" s="778">
        <v>14.7510524023806</v>
      </c>
      <c r="AV58" s="778">
        <v>16.8219722038385</v>
      </c>
      <c r="AW58" s="848">
        <v>12.3429319371728</v>
      </c>
      <c r="AX58" s="847">
        <f ca="1">X58</f>
        <v>12.3539</v>
      </c>
      <c r="AY58" s="778">
        <v>10.0416969007958</v>
      </c>
      <c r="AZ58" s="778">
        <v>8.14425798294657</v>
      </c>
      <c r="BA58" s="778">
        <v>9.35769418461125</v>
      </c>
      <c r="BB58" s="778">
        <v>9.75761197852728</v>
      </c>
      <c r="BC58" s="848">
        <v>7.89638044866552</v>
      </c>
      <c r="BD58" s="847">
        <f ca="1">AD58</f>
        <v>12.1286</v>
      </c>
      <c r="BE58" s="778">
        <v>9.2948278991057</v>
      </c>
      <c r="BF58" s="778">
        <v>8.12215087658678</v>
      </c>
      <c r="BG58" s="778">
        <v>8.88488425961786</v>
      </c>
      <c r="BH58" s="778">
        <v>9.53304479938265</v>
      </c>
      <c r="BI58" s="848">
        <v>7.74058870834201</v>
      </c>
      <c r="BJ58" s="16"/>
      <c r="BK58" s="345" t="str">
        <f ca="1">$K58</f>
        <v>3Q16</v>
      </c>
      <c r="BL58" s="847">
        <f ca="1">AL58</f>
        <v>26.8605</v>
      </c>
      <c r="BM58" s="778">
        <v>15.332360616874</v>
      </c>
      <c r="BN58" s="778">
        <v>8.99394808981443</v>
      </c>
      <c r="BO58" s="778">
        <v>18.9573315361765</v>
      </c>
      <c r="BP58" s="778">
        <v>15.7377424098325</v>
      </c>
      <c r="BQ58" s="848">
        <v>16.4562418244736</v>
      </c>
      <c r="BR58" s="847">
        <f ca="1">AR58</f>
        <v>25.7389</v>
      </c>
      <c r="BS58" s="778">
        <v>15.7565632458234</v>
      </c>
      <c r="BT58" s="778">
        <v>9.79218917950555</v>
      </c>
      <c r="BU58" s="778">
        <v>14.7116253691756</v>
      </c>
      <c r="BV58" s="778">
        <v>16.0047782864145</v>
      </c>
      <c r="BW58" s="848">
        <v>15.4003208400175</v>
      </c>
      <c r="BX58" s="847">
        <f ca="1">AX58</f>
        <v>12.3539</v>
      </c>
      <c r="BY58" s="778">
        <v>7.57544625043682</v>
      </c>
      <c r="BZ58" s="778">
        <v>4.05603816119173</v>
      </c>
      <c r="CA58" s="778">
        <v>17.7328149474707</v>
      </c>
      <c r="CB58" s="778">
        <v>10.9756319204545</v>
      </c>
      <c r="CC58" s="848">
        <v>10.1415569877265</v>
      </c>
      <c r="CD58" s="847">
        <f ca="1">BD58</f>
        <v>12.1286</v>
      </c>
      <c r="CE58" s="778">
        <v>7.96799593359051</v>
      </c>
      <c r="CF58" s="778">
        <v>5.3607663011855</v>
      </c>
      <c r="CG58" s="778">
        <v>9.67451431715901</v>
      </c>
      <c r="CH58" s="778">
        <v>9.9254800396092</v>
      </c>
      <c r="CI58" s="848">
        <v>9.51600454033976</v>
      </c>
    </row>
    <row r="59" ht="14.25" customHeight="1" spans="1:87" x14ac:dyDescent="0.25">
      <c r="A59" s="16"/>
      <c r="B59" s="16"/>
      <c r="C59" s="16" t="s">
        <v>920</v>
      </c>
      <c r="D59" s="16"/>
      <c r="E59" s="724">
        <f ca="1">AVERAGE(AM8:AQ75)</f>
        <v>17.45184436944251</v>
      </c>
      <c r="F59" s="724">
        <f ca="1">AVERAGE(AS8:AW75)</f>
        <v>14.789390590177238</v>
      </c>
      <c r="G59" s="724">
        <f ca="1">AVERAGE(AY8:BC75)</f>
        <v>9.073633064438093</v>
      </c>
      <c r="H59" s="724">
        <f ca="1">AVERAGE(BE8:BI75)</f>
        <v>8.246703176081793</v>
      </c>
      <c r="I59" s="84">
        <f ca="1">IF(I58=4,1,I58+1)</f>
        <v>4</v>
      </c>
      <c r="J59" s="5">
        <f ca="1">IF(I59=1,J58+1,J58)</f>
        <v>2016</v>
      </c>
      <c r="K59" s="345" t="str">
        <f ca="1">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 ca="1">$K59</f>
        <v>4Q16</v>
      </c>
      <c r="AL59" s="847">
        <f ca="1">L59</f>
        <v>27.2129</v>
      </c>
      <c r="AM59" s="778">
        <v>16.6817556410833</v>
      </c>
      <c r="AN59" s="778">
        <v>15.918574316111</v>
      </c>
      <c r="AO59" s="778">
        <v>15.8996603114082</v>
      </c>
      <c r="AP59" s="778">
        <v>17.4549775223724</v>
      </c>
      <c r="AQ59" s="848">
        <v>20.1709401709402</v>
      </c>
      <c r="AR59" s="847">
        <f ca="1">R59</f>
        <v>22.4675</v>
      </c>
      <c r="AS59" s="778">
        <v>17.1983567026882</v>
      </c>
      <c r="AT59" s="778">
        <v>15.7434308908353</v>
      </c>
      <c r="AU59" s="778">
        <v>15.7041231126597</v>
      </c>
      <c r="AV59" s="778">
        <v>17.745970341715</v>
      </c>
      <c r="AW59" s="848">
        <v>12.4867724867725</v>
      </c>
      <c r="AX59" s="847">
        <f ca="1">X59</f>
        <v>12.7884</v>
      </c>
      <c r="AY59" s="778">
        <v>9.95045705434438</v>
      </c>
      <c r="AZ59" s="778">
        <v>8.70357416548189</v>
      </c>
      <c r="BA59" s="778">
        <v>9.4411740744081</v>
      </c>
      <c r="BB59" s="778">
        <v>10.2711420804772</v>
      </c>
      <c r="BC59" s="848">
        <v>8.48781093666622</v>
      </c>
      <c r="BD59" s="847">
        <f ca="1">AD59</f>
        <v>11.5241</v>
      </c>
      <c r="BE59" s="778">
        <v>9.93486989815585</v>
      </c>
      <c r="BF59" s="778">
        <v>9.36741340683429</v>
      </c>
      <c r="BG59" s="778">
        <v>9.33322544205644</v>
      </c>
      <c r="BH59" s="778">
        <v>9.84506720804911</v>
      </c>
      <c r="BI59" s="848">
        <v>7.50290457326061</v>
      </c>
      <c r="BJ59" s="16"/>
      <c r="BK59" s="345" t="str">
        <f ca="1">$K59</f>
        <v>4Q16</v>
      </c>
      <c r="BL59" s="847">
        <f ca="1">AL59</f>
        <v>27.2129</v>
      </c>
      <c r="BM59" s="778">
        <v>14.3522461116201</v>
      </c>
      <c r="BN59" s="778">
        <v>10.1688766856749</v>
      </c>
      <c r="BO59" s="778">
        <v>19.5619707538714</v>
      </c>
      <c r="BP59" s="778">
        <v>16.9047152213896</v>
      </c>
      <c r="BQ59" s="848">
        <v>18.0135446191584</v>
      </c>
      <c r="BR59" s="847">
        <f ca="1">AR59</f>
        <v>22.4675</v>
      </c>
      <c r="BS59" s="778">
        <v>14.0146991272393</v>
      </c>
      <c r="BT59" s="778">
        <v>16.0300779126653</v>
      </c>
      <c r="BU59" s="778">
        <v>14.7306384948454</v>
      </c>
      <c r="BV59" s="778">
        <v>17.1642157162912</v>
      </c>
      <c r="BW59" s="848">
        <v>16.8473483738646</v>
      </c>
      <c r="BX59" s="847">
        <f ca="1">AX59</f>
        <v>12.7884</v>
      </c>
      <c r="BY59" s="778">
        <v>6.97434437524555</v>
      </c>
      <c r="BZ59" s="778">
        <v>4.08809822037653</v>
      </c>
      <c r="CA59" s="778">
        <v>14.0383531727903</v>
      </c>
      <c r="CB59" s="778">
        <v>11.5358113174269</v>
      </c>
      <c r="CC59" s="848">
        <v>10.8198573575872</v>
      </c>
      <c r="CD59" s="847">
        <f ca="1">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921</v>
      </c>
      <c r="D60" s="16"/>
      <c r="E60" s="724">
        <f t="shared" ref="E60:H60" si="36" ca="1">AVERAGE(E64,E68)</f>
        <v>16.511356338309774</v>
      </c>
      <c r="F60" s="724">
        <f ca="1">AVERAGE(F64,F68)</f>
        <v>14.249403727801335</v>
      </c>
      <c r="G60" s="724">
        <f ca="1">AVERAGE(G64,G68)</f>
        <v>8.008187979985276</v>
      </c>
      <c r="H60" s="724">
        <f ca="1">AVERAGE(H64,H68)</f>
        <v>2.7157301350125858</v>
      </c>
      <c r="I60" s="84">
        <f ca="1">I56</f>
        <v>1</v>
      </c>
      <c r="J60" s="5">
        <f ca="1">IF(I60=1,J59+1,J59)</f>
        <v>2017</v>
      </c>
      <c r="K60" s="345" t="str">
        <f ca="1">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 ca="1">$K60</f>
        <v>1Q17</v>
      </c>
      <c r="AL60" s="847">
        <f ca="1">L60</f>
        <v>23.7725</v>
      </c>
      <c r="AM60" s="778">
        <v>17.7316040068742</v>
      </c>
      <c r="AN60" s="778">
        <v>17.362804075599</v>
      </c>
      <c r="AO60" s="778">
        <v>16.7017237249017</v>
      </c>
      <c r="AP60" s="778">
        <v>17.2152601301526</v>
      </c>
      <c r="AQ60" s="848">
        <v>22.3717948717949</v>
      </c>
      <c r="AR60" s="847">
        <f ca="1">R60</f>
        <v>20.2878</v>
      </c>
      <c r="AS60" s="778">
        <v>18.1945316001793</v>
      </c>
      <c r="AT60" s="778">
        <v>16.9806941660513</v>
      </c>
      <c r="AU60" s="778">
        <v>17.0676456803624</v>
      </c>
      <c r="AV60" s="778">
        <v>16.2726291811533</v>
      </c>
      <c r="AW60" s="848">
        <v>13.2868020304569</v>
      </c>
      <c r="AX60" s="847">
        <f ca="1">X60</f>
        <v>11.059</v>
      </c>
      <c r="AY60" s="778">
        <v>10.6046500596097</v>
      </c>
      <c r="AZ60" s="778">
        <v>9.96578183599201</v>
      </c>
      <c r="BA60" s="778">
        <v>9.52725818436542</v>
      </c>
      <c r="BB60" s="778">
        <v>10.0912602544482</v>
      </c>
      <c r="BC60" s="848">
        <v>10.2362649676181</v>
      </c>
      <c r="BD60" s="847">
        <f ca="1">AD60</f>
        <v>10.2391</v>
      </c>
      <c r="BE60" s="778">
        <v>10.6614615642502</v>
      </c>
      <c r="BF60" s="778">
        <v>10.2604777628974</v>
      </c>
      <c r="BG60" s="778">
        <v>10.2780637391009</v>
      </c>
      <c r="BH60" s="778">
        <v>9.71505194619394</v>
      </c>
      <c r="BI60" s="848">
        <v>9.25020942552141</v>
      </c>
      <c r="BJ60" s="16"/>
      <c r="BK60" s="345" t="str">
        <f ca="1">$K60</f>
        <v>1Q17</v>
      </c>
      <c r="BL60" s="847">
        <f ca="1">AL60</f>
        <v>23.7725</v>
      </c>
      <c r="BM60" s="778">
        <v>11.9331635483082</v>
      </c>
      <c r="BN60" s="778">
        <v>11.0429443217241</v>
      </c>
      <c r="BO60" s="778">
        <v>20.8703264304204</v>
      </c>
      <c r="BP60" s="778">
        <v>17.1616901526493</v>
      </c>
      <c r="BQ60" s="848">
        <v>18.1428389425202</v>
      </c>
      <c r="BR60" s="847">
        <f ca="1">AR60</f>
        <v>20.2878</v>
      </c>
      <c r="BS60" s="778">
        <v>16.8236283371873</v>
      </c>
      <c r="BT60" s="778">
        <v>16.4090568862275</v>
      </c>
      <c r="BU60" s="778">
        <v>13.793318238288</v>
      </c>
      <c r="BV60" s="778">
        <v>16.2845808786291</v>
      </c>
      <c r="BW60" s="848">
        <v>16.7740088736224</v>
      </c>
      <c r="BX60" s="847">
        <f ca="1">AX60</f>
        <v>11.059</v>
      </c>
      <c r="BY60" s="778">
        <v>5.97884227127418</v>
      </c>
      <c r="BZ60" s="778">
        <v>5.09978843482164</v>
      </c>
      <c r="CA60" s="778">
        <v>16.3952157975105</v>
      </c>
      <c r="CB60" s="778">
        <v>12.1321311527739</v>
      </c>
      <c r="CC60" s="848">
        <v>11.1062594072335</v>
      </c>
      <c r="CD60" s="847">
        <f ca="1">BD60</f>
        <v>10.2391</v>
      </c>
      <c r="CE60" s="778">
        <v>7.18756391759842</v>
      </c>
      <c r="CF60" s="778">
        <v>10.405610801995</v>
      </c>
      <c r="CG60" s="778">
        <v>9.48909092212035</v>
      </c>
      <c r="CH60" s="778">
        <v>10.6121068424686</v>
      </c>
      <c r="CI60" s="848">
        <v>10.0928444397349</v>
      </c>
    </row>
    <row r="61" ht="14.25" customHeight="1" spans="1:87" x14ac:dyDescent="0.25">
      <c r="A61" s="16"/>
      <c r="B61" s="16"/>
      <c r="C61" s="16" t="s">
        <v>922</v>
      </c>
      <c r="D61" s="16"/>
      <c r="E61" s="724">
        <f t="shared" ref="E61:H61" si="37" ca="1">AVERAGE(E65,E69)</f>
        <v>18.174451528888053</v>
      </c>
      <c r="F61" s="724">
        <f ca="1">AVERAGE(F65,F69)</f>
        <v>15.177675768515218</v>
      </c>
      <c r="G61" s="724">
        <f ca="1">AVERAGE(G65,G69)</f>
        <v>9.103387224716275</v>
      </c>
      <c r="H61" s="724">
        <f ca="1">AVERAGE(H65,H69)</f>
        <v>8.16731017897481</v>
      </c>
      <c r="I61" s="84">
        <f ca="1">IF(I60=4,1,I60+1)</f>
        <v>2</v>
      </c>
      <c r="J61" s="5">
        <f ca="1">IF(I61=1,J60+1,J60)</f>
        <v>2017</v>
      </c>
      <c r="K61" s="345" t="str">
        <f ca="1">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 ca="1">$K61</f>
        <v>2Q17</v>
      </c>
      <c r="AL61" s="847">
        <f ca="1">L61</f>
        <v>23.0797</v>
      </c>
      <c r="AM61" s="778">
        <v>15.9558420569046</v>
      </c>
      <c r="AN61" s="778">
        <v>16.4547250775695</v>
      </c>
      <c r="AO61" s="778">
        <v>15.0718630779208</v>
      </c>
      <c r="AP61" s="778">
        <v>17.1537530266344</v>
      </c>
      <c r="AQ61" s="848">
        <v>20.3243243243243</v>
      </c>
      <c r="AR61" s="847">
        <f ca="1">R61</f>
        <v>20.9674</v>
      </c>
      <c r="AS61" s="778">
        <v>16.6621851752263</v>
      </c>
      <c r="AT61" s="778">
        <v>16.5153565851119</v>
      </c>
      <c r="AU61" s="778">
        <v>14.0478637498165</v>
      </c>
      <c r="AV61" s="778">
        <v>16.4813306967547</v>
      </c>
      <c r="AW61" s="848">
        <v>11.539641943734</v>
      </c>
      <c r="AX61" s="847">
        <f ca="1">X61</f>
        <v>11.0655</v>
      </c>
      <c r="AY61" s="778">
        <v>9.74219912234432</v>
      </c>
      <c r="AZ61" s="778">
        <v>9.83265391921465</v>
      </c>
      <c r="BA61" s="778">
        <v>9.13544206295131</v>
      </c>
      <c r="BB61" s="778">
        <v>10.0301823820195</v>
      </c>
      <c r="BC61" s="848">
        <v>8.55752264300847</v>
      </c>
      <c r="BD61" s="847">
        <f ca="1">AD61</f>
        <v>10.5108</v>
      </c>
      <c r="BE61" s="778">
        <v>9.69462873537993</v>
      </c>
      <c r="BF61" s="778">
        <v>10.0388522239177</v>
      </c>
      <c r="BG61" s="778">
        <v>9.46400162584521</v>
      </c>
      <c r="BH61" s="778">
        <v>9.87431638480709</v>
      </c>
      <c r="BI61" s="848">
        <v>7.56791347800371</v>
      </c>
      <c r="BJ61" s="16"/>
      <c r="BK61" s="345" t="str">
        <f ca="1">$K61</f>
        <v>2Q17</v>
      </c>
      <c r="BL61" s="847">
        <f ca="1">AL61</f>
        <v>23.0797</v>
      </c>
      <c r="BM61" s="778">
        <v>13.2951376349264</v>
      </c>
      <c r="BN61" s="778">
        <v>13.2763337893297</v>
      </c>
      <c r="BO61" s="778">
        <v>23.8012672954539</v>
      </c>
      <c r="BP61" s="778">
        <v>16.3799936683191</v>
      </c>
      <c r="BQ61" s="848">
        <v>16.5919433423949</v>
      </c>
      <c r="BR61" s="847">
        <f ca="1">AR61</f>
        <v>20.9674</v>
      </c>
      <c r="BS61" s="778">
        <v>17.0492462311558</v>
      </c>
      <c r="BT61" s="778">
        <v>17.0952968116963</v>
      </c>
      <c r="BU61" s="778">
        <v>19.7987982155039</v>
      </c>
      <c r="BV61" s="778">
        <v>15.924489582583</v>
      </c>
      <c r="BW61" s="848">
        <v>16.0419378163413</v>
      </c>
      <c r="BX61" s="847">
        <f ca="1">AX61</f>
        <v>11.0655</v>
      </c>
      <c r="BY61" s="778">
        <v>6.31985983894386</v>
      </c>
      <c r="BZ61" s="778">
        <v>4.93598776639412</v>
      </c>
      <c r="CA61" s="778">
        <v>17.3830038396827</v>
      </c>
      <c r="CB61" s="778">
        <v>11.7950653273586</v>
      </c>
      <c r="CC61" s="848">
        <v>10.3600924530421</v>
      </c>
      <c r="CD61" s="847">
        <f ca="1">BD61</f>
        <v>10.5108</v>
      </c>
      <c r="CE61" s="778">
        <v>7.72124573116795</v>
      </c>
      <c r="CF61" s="778">
        <v>9.00796693986612</v>
      </c>
      <c r="CG61" s="778">
        <v>12.531851583217</v>
      </c>
      <c r="CH61" s="778">
        <v>10.499869312052</v>
      </c>
      <c r="CI61" s="848">
        <v>9.63552154678311</v>
      </c>
    </row>
    <row r="62" ht="14.25" customHeight="1" spans="1:87" x14ac:dyDescent="0.25">
      <c r="A62" s="16"/>
      <c r="B62" s="16"/>
      <c r="C62" s="16" t="s">
        <v>923</v>
      </c>
      <c r="D62" s="16"/>
      <c r="E62" s="724">
        <f t="shared" ref="E62:H62" si="38" ca="1">AVERAGE(E66,E70)</f>
        <v>18.375615705208343</v>
      </c>
      <c r="F62" s="724">
        <f ca="1">AVERAGE(F66,F70)</f>
        <v>16.379830180926785</v>
      </c>
      <c r="G62" s="724">
        <f ca="1">AVERAGE(G66,G70)</f>
        <v>10.316037257276058</v>
      </c>
      <c r="H62" s="724">
        <f ca="1">AVERAGE(H66,H70)</f>
        <v>9.791613882469797</v>
      </c>
      <c r="I62" s="84">
        <f ca="1">IF(I61+1=5,1,I61+1)</f>
        <v>3</v>
      </c>
      <c r="J62" s="5">
        <f ca="1">IF(I62=1,J61+1,J61)</f>
        <v>2017</v>
      </c>
      <c r="K62" s="345" t="str">
        <f ca="1">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 ca="1">$K62</f>
        <v>3Q17</v>
      </c>
      <c r="AL62" s="847">
        <f ca="1">L62</f>
        <v>23.7671</v>
      </c>
      <c r="AM62" s="778">
        <v>18.277944487279</v>
      </c>
      <c r="AN62" s="778">
        <v>16.3813996536363</v>
      </c>
      <c r="AO62" s="778">
        <v>17.7732866493109</v>
      </c>
      <c r="AP62" s="778">
        <v>15.9479768786127</v>
      </c>
      <c r="AQ62" s="848">
        <v>20.1666666666667</v>
      </c>
      <c r="AR62" s="847">
        <f ca="1">R62</f>
        <v>23.0634</v>
      </c>
      <c r="AS62" s="778">
        <v>18.2426962337205</v>
      </c>
      <c r="AT62" s="778">
        <v>17.0502414466249</v>
      </c>
      <c r="AU62" s="778">
        <v>16.5320018157059</v>
      </c>
      <c r="AV62" s="778">
        <v>15.6193387681159</v>
      </c>
      <c r="AW62" s="848">
        <v>11.7815789473684</v>
      </c>
      <c r="AX62" s="847">
        <f ca="1">X62</f>
        <v>11.6577</v>
      </c>
      <c r="AY62" s="778">
        <v>10.9794454706282</v>
      </c>
      <c r="AZ62" s="778">
        <v>10.0118264817743</v>
      </c>
      <c r="BA62" s="778">
        <v>10.2252500521374</v>
      </c>
      <c r="BB62" s="778">
        <v>9.40471583009277</v>
      </c>
      <c r="BC62" s="848">
        <v>8.49838859338693</v>
      </c>
      <c r="BD62" s="847">
        <f ca="1">AD62</f>
        <v>11.4338</v>
      </c>
      <c r="BE62" s="778">
        <v>10.5132240979169</v>
      </c>
      <c r="BF62" s="778">
        <v>10.2990498453441</v>
      </c>
      <c r="BG62" s="778">
        <v>10.3206996601051</v>
      </c>
      <c r="BH62" s="778">
        <v>9.32664018346695</v>
      </c>
      <c r="BI62" s="848">
        <v>7.73541989514516</v>
      </c>
      <c r="BJ62" s="16"/>
      <c r="BK62" s="345" t="str">
        <f ca="1">$K62</f>
        <v>3Q17</v>
      </c>
      <c r="BL62" s="847">
        <f ca="1">AL62</f>
        <v>23.7671</v>
      </c>
      <c r="BM62" s="778">
        <v>11.434005530168</v>
      </c>
      <c r="BN62" s="778">
        <v>11.3671274961598</v>
      </c>
      <c r="BO62" s="778">
        <v>23.189227331859</v>
      </c>
      <c r="BP62" s="778">
        <v>14.8601513451196</v>
      </c>
      <c r="BQ62" s="848">
        <v>13.7774932517532</v>
      </c>
      <c r="BR62" s="847">
        <f ca="1">AR62</f>
        <v>23.0634</v>
      </c>
      <c r="BS62" s="778">
        <v>14.0498710232158</v>
      </c>
      <c r="BT62" s="778">
        <v>13.595443689142</v>
      </c>
      <c r="BU62" s="778">
        <v>18.6196315729647</v>
      </c>
      <c r="BV62" s="778">
        <v>14.7657839073638</v>
      </c>
      <c r="BW62" s="848">
        <v>14.3278055063597</v>
      </c>
      <c r="BX62" s="847">
        <f ca="1">AX62</f>
        <v>11.6577</v>
      </c>
      <c r="BY62" s="778">
        <v>5.46453209740034</v>
      </c>
      <c r="BZ62" s="778">
        <v>3.97258403706561</v>
      </c>
      <c r="CA62" s="778">
        <v>17.6965979263424</v>
      </c>
      <c r="CB62" s="778">
        <v>10.3345445475001</v>
      </c>
      <c r="CC62" s="848">
        <v>8.87964254717651</v>
      </c>
      <c r="CD62" s="847">
        <f ca="1">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924</v>
      </c>
      <c r="D63" s="16"/>
      <c r="E63" s="724">
        <f ca="1">AVERAGE(AM8:AQ35)</f>
        <v>19.37217418639285</v>
      </c>
      <c r="F63" s="724">
        <f ca="1">AVERAGE(AS8:AW35)</f>
        <v>16.69867055372992</v>
      </c>
      <c r="G63" s="724">
        <f ca="1">AVERAGE(AY8:BC35)</f>
        <v>9.62343980262861</v>
      </c>
      <c r="H63" s="724">
        <f ca="1">AVERAGE(BE8:BI35)</f>
        <v>8.299118515323439</v>
      </c>
      <c r="I63" s="84">
        <f ca="1">IF(I62=4,1,I62+1)</f>
        <v>4</v>
      </c>
      <c r="J63" s="5">
        <f ca="1">IF(I63=1,J62+1,J62)</f>
        <v>2017</v>
      </c>
      <c r="K63" s="345" t="str">
        <f ca="1">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 ca="1">$K63</f>
        <v>4Q17</v>
      </c>
      <c r="AL63" s="847">
        <f ca="1">L63</f>
        <v>22.8282</v>
      </c>
      <c r="AM63" s="778">
        <v>19.615028752299</v>
      </c>
      <c r="AN63" s="778">
        <v>18.7613513578504</v>
      </c>
      <c r="AO63" s="778">
        <v>20.3668719163684</v>
      </c>
      <c r="AP63" s="778">
        <v>14.7496426411567</v>
      </c>
      <c r="AQ63" s="848">
        <v>17.234896180104</v>
      </c>
      <c r="AR63" s="847">
        <f ca="1">R63</f>
        <v>18.947</v>
      </c>
      <c r="AS63" s="778">
        <v>19.1136343631723</v>
      </c>
      <c r="AT63" s="778">
        <v>19.1607469048102</v>
      </c>
      <c r="AU63" s="778">
        <v>18.625486090338</v>
      </c>
      <c r="AV63" s="778">
        <v>15.184611983197</v>
      </c>
      <c r="AW63" s="848">
        <v>13.1473684210526</v>
      </c>
      <c r="AX63" s="847">
        <f ca="1">X63</f>
        <v>12.1863</v>
      </c>
      <c r="AY63" s="778">
        <v>13.2211502199879</v>
      </c>
      <c r="AZ63" s="778">
        <v>10.8983183864816</v>
      </c>
      <c r="BA63" s="778">
        <v>11.4742241395507</v>
      </c>
      <c r="BB63" s="778">
        <v>9.2205540111037</v>
      </c>
      <c r="BC63" s="848">
        <v>9.31182324640591</v>
      </c>
      <c r="BD63" s="847">
        <f ca="1">AD63</f>
        <v>10.1705</v>
      </c>
      <c r="BE63" s="778">
        <v>11.1083674198787</v>
      </c>
      <c r="BF63" s="778">
        <v>10.8722348425467</v>
      </c>
      <c r="BG63" s="778">
        <v>10.7747774030119</v>
      </c>
      <c r="BH63" s="778">
        <v>9.13900902168595</v>
      </c>
      <c r="BI63" s="848">
        <v>8.28239172079743</v>
      </c>
      <c r="BJ63" s="16"/>
      <c r="BK63" s="345" t="str">
        <f ca="1">$K63</f>
        <v>4Q17</v>
      </c>
      <c r="BL63" s="847">
        <f ca="1">AL63</f>
        <v>22.8282</v>
      </c>
      <c r="BM63" s="778">
        <v>13.0477246062308</v>
      </c>
      <c r="BN63" s="778">
        <v>13.0830374054452</v>
      </c>
      <c r="BO63" s="778">
        <v>30.3985335335335</v>
      </c>
      <c r="BP63" s="778">
        <v>15.1654976430214</v>
      </c>
      <c r="BQ63" s="848">
        <v>16.4267964532346</v>
      </c>
      <c r="BR63" s="847">
        <f ca="1">AR63</f>
        <v>18.947</v>
      </c>
      <c r="BS63" s="778">
        <v>14.8416684865691</v>
      </c>
      <c r="BT63" s="778">
        <v>18.0734597156398</v>
      </c>
      <c r="BU63" s="778">
        <v>23.1577580123743</v>
      </c>
      <c r="BV63" s="778">
        <v>16.1584549974664</v>
      </c>
      <c r="BW63" s="848">
        <v>15.3246131759451</v>
      </c>
      <c r="BX63" s="847">
        <f ca="1">AX63</f>
        <v>12.1863</v>
      </c>
      <c r="BY63" s="778">
        <v>6.33942479775392</v>
      </c>
      <c r="BZ63" s="778">
        <v>5.39930137609857</v>
      </c>
      <c r="CA63" s="778">
        <v>29.4939880182529</v>
      </c>
      <c r="CB63" s="778">
        <v>10.9915068013633</v>
      </c>
      <c r="CC63" s="848">
        <v>10.9432052907012</v>
      </c>
      <c r="CD63" s="847">
        <f ca="1">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925</v>
      </c>
      <c r="D64" s="16"/>
      <c r="E64" s="724">
        <f ca="1">AVERAGE(AM8:AQ19)</f>
        <v>22.394953041679578</v>
      </c>
      <c r="F64" s="724">
        <f ca="1">AVERAGE(AS8:AW19)</f>
        <v>19.063007806196822</v>
      </c>
      <c r="G64" s="724">
        <f ca="1">AVERAGE(AY8:BC19)</f>
        <v>10.384988120065191</v>
      </c>
      <c r="H64" s="724">
        <f ca="1">AVERAGE(BE8:BI19)</f>
      </c>
      <c r="I64" s="84">
        <f ca="1">I60</f>
        <v>1</v>
      </c>
      <c r="J64" s="5">
        <f ca="1">IF(I64=1,J63+1,J63)</f>
        <v>2018</v>
      </c>
      <c r="K64" s="345" t="str">
        <f ca="1">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 ca="1">$K64</f>
        <v>1Q18</v>
      </c>
      <c r="AL64" s="847">
        <f ca="1">L64</f>
        <v>22.6977</v>
      </c>
      <c r="AM64" s="778">
        <v>19.997181435646</v>
      </c>
      <c r="AN64" s="778">
        <v>18.5234169124132</v>
      </c>
      <c r="AO64" s="778">
        <v>20.0561270625894</v>
      </c>
      <c r="AP64" s="778">
        <v>14.1064396750783</v>
      </c>
      <c r="AQ64" s="848">
        <v>17.5591716486648</v>
      </c>
      <c r="AR64" s="847">
        <f ca="1">R64</f>
        <v>19.6452</v>
      </c>
      <c r="AS64" s="778">
        <v>18.771186440678</v>
      </c>
      <c r="AT64" s="778">
        <v>19.3715740015662</v>
      </c>
      <c r="AU64" s="778">
        <v>17.4289368959636</v>
      </c>
      <c r="AV64" s="778">
        <v>14.0337570772353</v>
      </c>
      <c r="AW64" s="848">
        <v>13.0179028132992</v>
      </c>
      <c r="AX64" s="847">
        <f ca="1">X64</f>
        <v>11.7067</v>
      </c>
      <c r="AY64" s="778">
        <v>13.616533231839</v>
      </c>
      <c r="AZ64" s="778">
        <v>11.6710392592365</v>
      </c>
      <c r="BA64" s="778">
        <v>11.2373280992404</v>
      </c>
      <c r="BB64" s="778">
        <v>8.56363917869938</v>
      </c>
      <c r="BC64" s="848">
        <v>9.4807678314934</v>
      </c>
      <c r="BD64" s="847">
        <f ca="1">AD64</f>
        <v>10.1634</v>
      </c>
      <c r="BE64" s="778">
        <v>11.3551193037914</v>
      </c>
      <c r="BF64" s="778">
        <v>11.8464347473426</v>
      </c>
      <c r="BG64" s="778">
        <v>10.6119302617015</v>
      </c>
      <c r="BH64" s="778">
        <v>8.65438152874439</v>
      </c>
      <c r="BI64" s="848">
        <v>8.23791084216744</v>
      </c>
      <c r="BJ64" s="16"/>
      <c r="BK64" s="345" t="str">
        <f ca="1">$K64</f>
        <v>1Q18</v>
      </c>
      <c r="BL64" s="847">
        <f ca="1">AL64</f>
        <v>22.6977</v>
      </c>
      <c r="BM64" s="778">
        <v>19.3842278637006</v>
      </c>
      <c r="BN64" s="778">
        <v>13.9084771978835</v>
      </c>
      <c r="BO64" s="778">
        <v>33.2283092526121</v>
      </c>
      <c r="BP64" s="778">
        <v>16.0444901612988</v>
      </c>
      <c r="BQ64" s="848">
        <v>17.1915824104522</v>
      </c>
      <c r="BR64" s="847">
        <f ca="1">AR64</f>
        <v>19.6452</v>
      </c>
      <c r="BS64" s="778">
        <v>20.9756097560976</v>
      </c>
      <c r="BT64" s="778">
        <v>18.8101636941119</v>
      </c>
      <c r="BU64" s="778">
        <v>20.2774930364963</v>
      </c>
      <c r="BV64" s="778">
        <v>16.1550617991588</v>
      </c>
      <c r="BW64" s="848">
        <v>15.4</v>
      </c>
      <c r="BX64" s="847">
        <f ca="1">AX64</f>
        <v>11.7067</v>
      </c>
      <c r="BY64" s="778">
        <v>8.81085885582038</v>
      </c>
      <c r="BZ64" s="778">
        <v>5.73087440673644</v>
      </c>
      <c r="CA64" s="778">
        <v>31.5176125920062</v>
      </c>
      <c r="CB64" s="778">
        <v>11.8960133684471</v>
      </c>
      <c r="CC64" s="848">
        <v>11.3467411692216</v>
      </c>
      <c r="CD64" s="847">
        <f ca="1">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926</v>
      </c>
      <c r="D65" s="16"/>
      <c r="E65" s="724">
        <f ca="1">AVERAGE(AM16:AQ27)</f>
        <v>19.262472338714346</v>
      </c>
      <c r="F65" s="724">
        <f ca="1">AVERAGE(AS16:AW27)</f>
        <v>17.294949146403418</v>
      </c>
      <c r="G65" s="724">
        <f ca="1">AVERAGE(AY16:BC27)</f>
        <v>9.817765530907938</v>
      </c>
      <c r="H65" s="724">
        <f ca="1">AVERAGE(BE16:BI27)</f>
        <v>8.656236152701716</v>
      </c>
      <c r="I65" s="84">
        <f ca="1">IF(I64=4,1,I64+1)</f>
        <v>2</v>
      </c>
      <c r="J65" s="5">
        <f ca="1">IF(I65=1,J64+1,J64)</f>
        <v>2018</v>
      </c>
      <c r="K65" s="345" t="str">
        <f ca="1">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 ca="1">$K65</f>
        <v>2Q18</v>
      </c>
      <c r="AL65" s="847">
        <f ca="1">L65</f>
        <v>20.0393</v>
      </c>
      <c r="AM65" s="778">
        <v>22.4753291670761</v>
      </c>
      <c r="AN65" s="778">
        <v>20.5933531682246</v>
      </c>
      <c r="AO65" s="778">
        <v>22.0344570609292</v>
      </c>
      <c r="AP65" s="778">
        <v>15.0484698200582</v>
      </c>
      <c r="AQ65" s="848">
        <v>17.710061951419</v>
      </c>
      <c r="AR65" s="847">
        <f ca="1">R65</f>
        <v>17.9493</v>
      </c>
      <c r="AS65" s="778">
        <v>20.9585339076092</v>
      </c>
      <c r="AT65" s="778">
        <v>20.7874310296456</v>
      </c>
      <c r="AU65" s="778">
        <v>19.0193060996083</v>
      </c>
      <c r="AV65" s="778">
        <v>14.6337362059905</v>
      </c>
      <c r="AW65" s="848">
        <v>13.4704370179949</v>
      </c>
      <c r="AX65" s="847">
        <f ca="1">X65</f>
        <v>11.0237</v>
      </c>
      <c r="AY65" s="778">
        <v>14.9640761354733</v>
      </c>
      <c r="AZ65" s="778">
        <v>13.0378810681472</v>
      </c>
      <c r="BA65" s="778">
        <v>13.237373175453</v>
      </c>
      <c r="BB65" s="778">
        <v>9.442933434653</v>
      </c>
      <c r="BC65" s="848">
        <v>9.66265067327401</v>
      </c>
      <c r="BD65" s="847">
        <f ca="1">AD65</f>
        <v>9.6944</v>
      </c>
      <c r="BE65" s="778">
        <v>12.7003470026881</v>
      </c>
      <c r="BF65" s="778">
        <v>13.2737408297492</v>
      </c>
      <c r="BG65" s="778">
        <v>11.9112839944216</v>
      </c>
      <c r="BH65" s="778">
        <v>9.298047334579</v>
      </c>
      <c r="BI65" s="848">
        <v>8.67811593573978</v>
      </c>
      <c r="BJ65" s="16"/>
      <c r="BK65" s="345" t="str">
        <f ca="1">$K65</f>
        <v>2Q18</v>
      </c>
      <c r="BL65" s="847">
        <f ca="1">AL65</f>
        <v>20.0393</v>
      </c>
      <c r="BM65" s="778">
        <v>20.8351025718613</v>
      </c>
      <c r="BN65" s="778">
        <v>15.761428299699</v>
      </c>
      <c r="BO65" s="778">
        <v>32.4832851404415</v>
      </c>
      <c r="BP65" s="778">
        <v>16.1655282015733</v>
      </c>
      <c r="BQ65" s="848">
        <v>17.8036123538146</v>
      </c>
      <c r="BR65" s="847">
        <f ca="1">AR65</f>
        <v>17.9493</v>
      </c>
      <c r="BS65" s="778">
        <v>21.3368983957219</v>
      </c>
      <c r="BT65" s="778">
        <v>20.8168507577704</v>
      </c>
      <c r="BU65" s="778">
        <v>20.1064412438538</v>
      </c>
      <c r="BV65" s="778">
        <v>16.6346587750649</v>
      </c>
      <c r="BW65" s="848">
        <v>15.6780308821281</v>
      </c>
      <c r="BX65" s="847">
        <f ca="1">AX65</f>
        <v>11.0237</v>
      </c>
      <c r="BY65" s="778">
        <v>9.59620619474839</v>
      </c>
      <c r="BZ65" s="778">
        <v>5.11271417938661</v>
      </c>
      <c r="CA65" s="778">
        <v>26.051184266847</v>
      </c>
      <c r="CB65" s="778">
        <v>12.257617505758</v>
      </c>
      <c r="CC65" s="848">
        <v>11.6439186851917</v>
      </c>
      <c r="CD65" s="847">
        <f ca="1">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927</v>
      </c>
      <c r="D66" s="16"/>
      <c r="E66" s="724">
        <f ca="1">AVERAGE(AM24:AQ35)</f>
        <v>17.224511078395345</v>
      </c>
      <c r="F66" s="724">
        <f ca="1">AVERAGE(AS24:AW35)</f>
        <v>14.896640295870613</v>
      </c>
      <c r="G66" s="724">
        <f ca="1">AVERAGE(AY24:BC35)</f>
        <v>8.930783889608419</v>
      </c>
      <c r="H66" s="724">
        <f ca="1">AVERAGE(BE24:BI35)</f>
        <v>8.288132003821932</v>
      </c>
      <c r="I66" s="84">
        <f ca="1">IF(I65+1=5,1,I65+1)</f>
        <v>3</v>
      </c>
      <c r="J66" s="5">
        <f ca="1">IF(I66=1,J65+1,J65)</f>
        <v>2018</v>
      </c>
      <c r="K66" s="345" t="str">
        <f ca="1">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 ca="1">$K66</f>
        <v>3Q18</v>
      </c>
      <c r="AL66" s="847">
        <f ca="1">L66</f>
        <v>19.0098</v>
      </c>
      <c r="AM66" s="778">
        <v>20.2185342524169</v>
      </c>
      <c r="AN66" s="778">
        <v>18.7777991734784</v>
      </c>
      <c r="AO66" s="778">
        <v>19.449682429963</v>
      </c>
      <c r="AP66" s="778">
        <v>16.5720222908439</v>
      </c>
      <c r="AQ66" s="848">
        <v>17.710061951419</v>
      </c>
      <c r="AR66" s="847">
        <f ca="1">R66</f>
        <v>18.037</v>
      </c>
      <c r="AS66" s="778">
        <v>19.8855246785566</v>
      </c>
      <c r="AT66" s="778">
        <v>19.3392389044563</v>
      </c>
      <c r="AU66" s="778">
        <v>18.3909754120508</v>
      </c>
      <c r="AV66" s="778">
        <v>15.9416418370492</v>
      </c>
      <c r="AW66" s="848">
        <v>13.3333333333333</v>
      </c>
      <c r="AX66" s="847">
        <f ca="1">X66</f>
        <v>11.528</v>
      </c>
      <c r="AY66" s="778">
        <v>13.1266307559514</v>
      </c>
      <c r="AZ66" s="778">
        <v>12.3867992139277</v>
      </c>
      <c r="BA66" s="778">
        <v>11.4662626507386</v>
      </c>
      <c r="BB66" s="778">
        <v>10.68778808114</v>
      </c>
      <c r="BC66" s="848">
        <v>9.66678091753156</v>
      </c>
      <c r="BD66" s="847">
        <f ca="1">AD66</f>
        <v>9.8883</v>
      </c>
      <c r="BE66" s="778">
        <v>12.4195386896497</v>
      </c>
      <c r="BF66" s="778">
        <v>12.6633183328757</v>
      </c>
      <c r="BG66" s="778">
        <v>11.5418562781193</v>
      </c>
      <c r="BH66" s="778">
        <v>10.2055491446263</v>
      </c>
      <c r="BI66" s="848">
        <v>8.58308292297046</v>
      </c>
      <c r="BJ66" s="16"/>
      <c r="BK66" s="345" t="str">
        <f ca="1">$K66</f>
        <v>3Q18</v>
      </c>
      <c r="BL66" s="847">
        <f ca="1">AL66</f>
        <v>19.0098</v>
      </c>
      <c r="BM66" s="778">
        <v>25.8159566866585</v>
      </c>
      <c r="BN66" s="778">
        <v>17.0264463502361</v>
      </c>
      <c r="BO66" s="778">
        <v>29.0251668717398</v>
      </c>
      <c r="BP66" s="778">
        <v>16.2119049357539</v>
      </c>
      <c r="BQ66" s="848">
        <v>17.3509445420435</v>
      </c>
      <c r="BR66" s="847">
        <f ca="1">AR66</f>
        <v>18.037</v>
      </c>
      <c r="BS66" s="778">
        <v>25.1758366420873</v>
      </c>
      <c r="BT66" s="778">
        <v>19.871944121071</v>
      </c>
      <c r="BU66" s="778">
        <v>18.9310282367021</v>
      </c>
      <c r="BV66" s="778">
        <v>16.6382797367085</v>
      </c>
      <c r="BW66" s="848">
        <v>15.468940316687</v>
      </c>
      <c r="BX66" s="847">
        <f ca="1">AX66</f>
        <v>11.528</v>
      </c>
      <c r="BY66" s="778">
        <v>12.1990038422253</v>
      </c>
      <c r="BZ66" s="778">
        <v>5.03332491979714</v>
      </c>
      <c r="CA66" s="778">
        <v>24.0965972999172</v>
      </c>
      <c r="CB66" s="778">
        <v>12.3276969312074</v>
      </c>
      <c r="CC66" s="848">
        <v>11.5890282932563</v>
      </c>
      <c r="CD66" s="847">
        <f ca="1">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928</v>
      </c>
      <c r="D67" s="16"/>
      <c r="E67" s="724">
        <f ca="1">AVERAGE(AM36:AQ75)</f>
        <v>16.187707655771675</v>
      </c>
      <c r="F67" s="724">
        <f ca="1">AVERAGE(AS36:AW75)</f>
        <v>13.567451413503498</v>
      </c>
      <c r="G67" s="724">
        <f ca="1">AVERAGE(AY36:BC75)</f>
        <v>8.694266415086647</v>
      </c>
      <c r="H67" s="724">
        <f ca="1">AVERAGE(BE36:BI75)</f>
        <v>8.227833653954802</v>
      </c>
      <c r="I67" s="84">
        <f ca="1">IF(I66=4,1,I66+1)</f>
        <v>4</v>
      </c>
      <c r="J67" s="5">
        <f ca="1">IF(I67=1,J66+1,J66)</f>
        <v>2018</v>
      </c>
      <c r="K67" s="345" t="str">
        <f ca="1">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 ca="1">$K67</f>
        <v>4Q18</v>
      </c>
      <c r="AL67" s="847">
        <f ca="1">L67</f>
        <v>20.4963</v>
      </c>
      <c r="AM67" s="778">
        <v>20.6688097373794</v>
      </c>
      <c r="AN67" s="778">
        <v>15.9005325905884</v>
      </c>
      <c r="AO67" s="778">
        <v>20.3173920023305</v>
      </c>
      <c r="AP67" s="778">
        <v>20.0069524913094</v>
      </c>
      <c r="AQ67" s="848">
        <v>20.5307092900158</v>
      </c>
      <c r="AR67" s="847">
        <f ca="1">R67</f>
        <v>17.7559</v>
      </c>
      <c r="AS67" s="778">
        <v>20.4015998693984</v>
      </c>
      <c r="AT67" s="778">
        <v>19.8956372968349</v>
      </c>
      <c r="AU67" s="778">
        <v>19.1117092866756</v>
      </c>
      <c r="AV67" s="778">
        <v>17.6399673069064</v>
      </c>
      <c r="AW67" s="848">
        <v>14.7506234413965</v>
      </c>
      <c r="AX67" s="847">
        <f ca="1">X67</f>
        <v>11.641</v>
      </c>
      <c r="AY67" s="778">
        <v>12.0747234053077</v>
      </c>
      <c r="AZ67" s="778">
        <v>12.1950184249163</v>
      </c>
      <c r="BA67" s="778">
        <v>11.5692583860062</v>
      </c>
      <c r="BB67" s="778">
        <v>12.9286714914712</v>
      </c>
      <c r="BC67" s="848">
        <v>10.2228268024595</v>
      </c>
      <c r="BD67" s="847">
        <f ca="1">AD67</f>
        <v>10.2113</v>
      </c>
      <c r="BE67" s="778">
        <v>11.8871481239925</v>
      </c>
      <c r="BF67" s="778">
        <v>11.9642585493331</v>
      </c>
      <c r="BG67" s="778">
        <v>11.817655580723</v>
      </c>
      <c r="BH67" s="778">
        <v>11.2019939501488</v>
      </c>
      <c r="BI67" s="848">
        <v>8.84252885876577</v>
      </c>
      <c r="BJ67" s="16"/>
      <c r="BK67" s="345" t="str">
        <f ca="1">$K67</f>
        <v>4Q18</v>
      </c>
      <c r="BL67" s="847">
        <f ca="1">AL67</f>
        <v>20.4963</v>
      </c>
      <c r="BM67" s="778">
        <v>28.0660341670828</v>
      </c>
      <c r="BN67" s="778">
        <v>21.3074203339458</v>
      </c>
      <c r="BO67" s="778">
        <v>26.8891031283749</v>
      </c>
      <c r="BP67" s="778">
        <v>16.4232739479797</v>
      </c>
      <c r="BQ67" s="848">
        <v>17.1725751374574</v>
      </c>
      <c r="BR67" s="847">
        <f ca="1">AR67</f>
        <v>17.7559</v>
      </c>
      <c r="BS67" s="778">
        <v>28.4565817735502</v>
      </c>
      <c r="BT67" s="778">
        <v>23.0824372759857</v>
      </c>
      <c r="BU67" s="778">
        <v>20.3453075954454</v>
      </c>
      <c r="BV67" s="778">
        <v>16.8010938278978</v>
      </c>
      <c r="BW67" s="848">
        <v>16.6116078193666</v>
      </c>
      <c r="BX67" s="847">
        <f ca="1">AX67</f>
        <v>11.641</v>
      </c>
      <c r="BY67" s="778">
        <v>13.7639728827608</v>
      </c>
      <c r="BZ67" s="778">
        <v>7.55049031920011</v>
      </c>
      <c r="CA67" s="778">
        <v>23.1210793402323</v>
      </c>
      <c r="CB67" s="778">
        <v>12.2357248665092</v>
      </c>
      <c r="CC67" s="848">
        <v>10.7451877747124</v>
      </c>
      <c r="CD67" s="847">
        <f ca="1">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929</v>
      </c>
      <c r="D68" s="16"/>
      <c r="E68" s="724">
        <f ca="1">AVERAGE(AM36:AQ51)</f>
        <v>10.627759634939974</v>
      </c>
      <c r="F68" s="724">
        <f ca="1">AVERAGE(AS36:AW51)</f>
        <v>9.435799649405848</v>
      </c>
      <c r="G68" s="724">
        <f ca="1">AVERAGE(AY36:BC51)</f>
        <v>5.631387839905361</v>
      </c>
      <c r="H68" s="724">
        <f ca="1">AVERAGE(BE36:BI51)</f>
        <v>5.4314602700251715</v>
      </c>
      <c r="I68" s="84">
        <f ca="1">I64</f>
        <v>1</v>
      </c>
      <c r="J68" s="5">
        <f ca="1">IF(I68=1,J67+1,J67)</f>
        <v>2019</v>
      </c>
      <c r="K68" s="345" t="str">
        <f ca="1">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 ca="1">$K68</f>
        <v>1Q19</v>
      </c>
      <c r="AL68" s="847">
        <f ca="1">L68</f>
        <v>18.5863</v>
      </c>
      <c r="AM68" s="778">
        <v>21.5919408806849</v>
      </c>
      <c r="AN68" s="778">
        <v>16.3220713054363</v>
      </c>
      <c r="AO68" s="778">
        <v>20.9216903189234</v>
      </c>
      <c r="AP68" s="778">
        <v>20.7308970099668</v>
      </c>
      <c r="AQ68" s="848">
        <v>22.3008972423248</v>
      </c>
      <c r="AR68" s="847">
        <f ca="1">R68</f>
        <v>16.6911</v>
      </c>
      <c r="AS68" s="778">
        <v>21.1090952118009</v>
      </c>
      <c r="AT68" s="778">
        <v>20.0168321831342</v>
      </c>
      <c r="AU68" s="778">
        <v>20.5969746083198</v>
      </c>
      <c r="AV68" s="778">
        <v>19.1940941248847</v>
      </c>
      <c r="AW68" s="848">
        <v>14.7025171624714</v>
      </c>
      <c r="AX68" s="847">
        <f ca="1">X68</f>
        <v>10.719</v>
      </c>
      <c r="AY68" s="778">
        <v>12.2299186581744</v>
      </c>
      <c r="AZ68" s="778">
        <v>12.2332703953318</v>
      </c>
      <c r="BA68" s="778">
        <v>11.5069141760127</v>
      </c>
      <c r="BB68" s="778">
        <v>13.5947942570683</v>
      </c>
      <c r="BC68" s="848">
        <v>11.0410116059098</v>
      </c>
      <c r="BD68" s="847">
        <f ca="1">AD68</f>
        <v>9.4314</v>
      </c>
      <c r="BE68" s="778">
        <v>12.6639328350543</v>
      </c>
      <c r="BF68" s="778">
        <v>12.5960409466614</v>
      </c>
      <c r="BG68" s="778">
        <v>12.3328687695918</v>
      </c>
      <c r="BH68" s="778">
        <v>12.4744740331326</v>
      </c>
      <c r="BI68" s="848">
        <v>9.49871843920386</v>
      </c>
      <c r="BJ68" s="16"/>
      <c r="BK68" s="345" t="str">
        <f ca="1">$K68</f>
        <v>1Q19</v>
      </c>
      <c r="BL68" s="847">
        <f ca="1">AL68</f>
        <v>18.5863</v>
      </c>
      <c r="BM68" s="778">
        <v>23.6974210277568</v>
      </c>
      <c r="BN68" s="778">
        <v>23.5895257824892</v>
      </c>
      <c r="BO68" s="778">
        <v>25.7915588945533</v>
      </c>
      <c r="BP68" s="778">
        <v>17.3070234376427</v>
      </c>
      <c r="BQ68" s="848">
        <v>17.53752845101</v>
      </c>
      <c r="BR68" s="847">
        <f ca="1">AR68</f>
        <v>16.6911</v>
      </c>
      <c r="BS68" s="778">
        <v>29.6168582375479</v>
      </c>
      <c r="BT68" s="778">
        <v>22.7455077308817</v>
      </c>
      <c r="BU68" s="778">
        <v>17.6495944054221</v>
      </c>
      <c r="BV68" s="778">
        <v>16.9873599113953</v>
      </c>
      <c r="BW68" s="848">
        <v>17.1286826438712</v>
      </c>
      <c r="BX68" s="847">
        <f ca="1">AX68</f>
        <v>10.719</v>
      </c>
      <c r="BY68" s="778">
        <v>13.8194579192422</v>
      </c>
      <c r="BZ68" s="778">
        <v>7.99421889014724</v>
      </c>
      <c r="CA68" s="778">
        <v>22.0261974275927</v>
      </c>
      <c r="CB68" s="778">
        <v>13.3849672643896</v>
      </c>
      <c r="CC68" s="848">
        <v>10.5374575768322</v>
      </c>
      <c r="CD68" s="847">
        <f ca="1">BD68</f>
        <v>9.4314</v>
      </c>
      <c r="CE68" s="778">
        <v>10.8109945315616</v>
      </c>
      <c r="CF68" s="778">
        <v>11.5073082924952</v>
      </c>
      <c r="CG68" s="778">
        <v>16.0718960793361</v>
      </c>
      <c r="CH68" s="778">
        <v>11.6798602720559</v>
      </c>
      <c r="CI68" s="848">
        <v>10.218256912726</v>
      </c>
    </row>
    <row r="69" ht="14.25" customHeight="1" spans="1:87" x14ac:dyDescent="0.25">
      <c r="A69" s="16"/>
      <c r="B69" s="16"/>
      <c r="C69" s="16" t="s">
        <v>930</v>
      </c>
      <c r="D69" s="16"/>
      <c r="E69" s="724">
        <f ca="1">AVERAGE(AM48:AQ63)</f>
        <v>17.08643071906176</v>
      </c>
      <c r="F69" s="724">
        <f ca="1">AVERAGE(AS48:AW63)</f>
        <v>13.060402390627019</v>
      </c>
      <c r="G69" s="724">
        <f ca="1">AVERAGE(AY48:BC63)</f>
        <v>8.389008918524613</v>
      </c>
      <c r="H69" s="724">
        <f ca="1">AVERAGE(BE48:BI63)</f>
        <v>7.678384205247906</v>
      </c>
      <c r="I69" s="84">
        <f ca="1">IF(I68=4,1,I68+1)</f>
        <v>2</v>
      </c>
      <c r="J69" s="5">
        <f ca="1">IF(I69=1,J68+1,J68)</f>
        <v>2019</v>
      </c>
      <c r="K69" s="345" t="str">
        <f ca="1">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 ca="1">$K69</f>
        <v>2Q19</v>
      </c>
      <c r="AL69" s="847">
        <f ca="1">L69</f>
        <v>18.0924</v>
      </c>
      <c r="AM69" s="778">
        <v>21.7844169029372</v>
      </c>
      <c r="AN69" s="778">
        <v>17.2500685406486</v>
      </c>
      <c r="AO69" s="778">
        <v>22.1205479452055</v>
      </c>
      <c r="AP69" s="778">
        <v>21.5795206971678</v>
      </c>
      <c r="AQ69" s="848">
        <v>18.7367829520415</v>
      </c>
      <c r="AR69" s="847">
        <f ca="1">R69</f>
        <v>17.7763</v>
      </c>
      <c r="AS69" s="778">
        <v>22.1397240609299</v>
      </c>
      <c r="AT69" s="778">
        <v>20.8148868888348</v>
      </c>
      <c r="AU69" s="778">
        <v>21.5594125500668</v>
      </c>
      <c r="AV69" s="778">
        <v>20.2039775624681</v>
      </c>
      <c r="AW69" s="848">
        <v>14.4305239179954</v>
      </c>
      <c r="AX69" s="847">
        <f ca="1">X69</f>
        <v>10.4598</v>
      </c>
      <c r="AY69" s="778">
        <v>12.0202300603609</v>
      </c>
      <c r="AZ69" s="778">
        <v>12.6144758164482</v>
      </c>
      <c r="BA69" s="778">
        <v>11.7393095004713</v>
      </c>
      <c r="BB69" s="778">
        <v>14.2659952164131</v>
      </c>
      <c r="BC69" s="848">
        <v>10.3526050422766</v>
      </c>
      <c r="BD69" s="847">
        <f ca="1">AD69</f>
        <v>9.8543</v>
      </c>
      <c r="BE69" s="778">
        <v>13.3289772635557</v>
      </c>
      <c r="BF69" s="778">
        <v>13.1897408687117</v>
      </c>
      <c r="BG69" s="778">
        <v>12.8497335792121</v>
      </c>
      <c r="BH69" s="778">
        <v>13.133248032386</v>
      </c>
      <c r="BI69" s="848">
        <v>9.40870102313227</v>
      </c>
      <c r="BJ69" s="16"/>
      <c r="BK69" s="345" t="str">
        <f ca="1">$K69</f>
        <v>2Q19</v>
      </c>
      <c r="BL69" s="847">
        <f ca="1">AL69</f>
        <v>18.0924</v>
      </c>
      <c r="BM69" s="778">
        <v>24.742040170703</v>
      </c>
      <c r="BN69" s="778">
        <v>24.0214920341708</v>
      </c>
      <c r="BO69" s="778">
        <v>23.4933771233793</v>
      </c>
      <c r="BP69" s="778">
        <v>18.0285981640464</v>
      </c>
      <c r="BQ69" s="848">
        <v>18.3791047444912</v>
      </c>
      <c r="BR69" s="847">
        <f ca="1">AR69</f>
        <v>17.7763</v>
      </c>
      <c r="BS69" s="778">
        <v>25.9627929451558</v>
      </c>
      <c r="BT69" s="778">
        <v>19.6392817416177</v>
      </c>
      <c r="BU69" s="778">
        <v>15.870049091687</v>
      </c>
      <c r="BV69" s="778">
        <v>18.0227065984269</v>
      </c>
      <c r="BW69" s="848">
        <v>18.5239684466019</v>
      </c>
      <c r="BX69" s="847">
        <f ca="1">AX69</f>
        <v>10.4598</v>
      </c>
      <c r="BY69" s="778">
        <v>14.3264244041204</v>
      </c>
      <c r="BZ69" s="778">
        <v>7.1606597322999</v>
      </c>
      <c r="CA69" s="778">
        <v>25.6475468440842</v>
      </c>
      <c r="CB69" s="778">
        <v>14.752252083434</v>
      </c>
      <c r="CC69" s="848">
        <v>11.3109397504525</v>
      </c>
      <c r="CD69" s="847">
        <f ca="1">BD69</f>
        <v>9.8543</v>
      </c>
      <c r="CE69" s="778">
        <v>11.112001785687</v>
      </c>
      <c r="CF69" s="778">
        <v>11.7841043437958</v>
      </c>
      <c r="CG69" s="778">
        <v>15.9469374086928</v>
      </c>
      <c r="CH69" s="778">
        <v>12.6190343687216</v>
      </c>
      <c r="CI69" s="848">
        <v>10.944111913627</v>
      </c>
    </row>
    <row r="70" ht="14.25" customHeight="1" spans="1:87" x14ac:dyDescent="0.25">
      <c r="A70" s="16"/>
      <c r="B70" s="16"/>
      <c r="C70" s="16" t="s">
        <v>931</v>
      </c>
      <c r="D70" s="16"/>
      <c r="E70" s="724">
        <f ca="1">AVERAGE(AM60:AQ75)</f>
        <v>19.52672033202134</v>
      </c>
      <c r="F70" s="724">
        <f ca="1">AVERAGE(AS60:AW75)</f>
        <v>17.86302006598296</v>
      </c>
      <c r="G70" s="724">
        <f ca="1">AVERAGE(AY60:BC75)</f>
        <v>11.701290624943695</v>
      </c>
      <c r="H70" s="724">
        <f ca="1">AVERAGE(BE60:BI75)</f>
        <v>11.295095761117661</v>
      </c>
      <c r="I70" s="84">
        <f ca="1">IF(I69+1=5,1,I69+1)</f>
        <v>3</v>
      </c>
      <c r="J70" s="5">
        <f ca="1">IF(I70=1,J69+1,J69)</f>
        <v>2019</v>
      </c>
      <c r="K70" s="345" t="str">
        <f ca="1">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 ca="1">$K70</f>
        <v>3Q19</v>
      </c>
      <c r="AL70" s="847">
        <f ca="1">L70</f>
        <v>20.4988</v>
      </c>
      <c r="AM70" s="778">
        <v>24.2456302934027</v>
      </c>
      <c r="AN70" s="778">
        <v>18.9268554528184</v>
      </c>
      <c r="AO70" s="778">
        <v>25.1117092866756</v>
      </c>
      <c r="AP70" s="778">
        <v>22.0107066381156</v>
      </c>
      <c r="AQ70" s="848">
        <v>18.6776297304092</v>
      </c>
      <c r="AR70" s="847">
        <f ca="1">R70</f>
        <v>20.3905</v>
      </c>
      <c r="AS70" s="778">
        <v>24.5599176824442</v>
      </c>
      <c r="AT70" s="778">
        <v>22.8985276561878</v>
      </c>
      <c r="AU70" s="778">
        <v>24.5758693361433</v>
      </c>
      <c r="AV70" s="778">
        <v>20.9839746861284</v>
      </c>
      <c r="AW70" s="848">
        <v>14.7202797202797</v>
      </c>
      <c r="AX70" s="847">
        <f ca="1">X70</f>
        <v>11.1172</v>
      </c>
      <c r="AY70" s="778">
        <v>12.9700972455721</v>
      </c>
      <c r="AZ70" s="778">
        <v>13.7961004266903</v>
      </c>
      <c r="BA70" s="778">
        <v>12.5893754769231</v>
      </c>
      <c r="BB70" s="778">
        <v>14.538753651645</v>
      </c>
      <c r="BC70" s="848">
        <v>10.3251758897163</v>
      </c>
      <c r="BD70" s="847">
        <f ca="1">AD70</f>
        <v>11.2417</v>
      </c>
      <c r="BE70" s="778">
        <v>14.4037001752278</v>
      </c>
      <c r="BF70" s="778">
        <v>14.5728760844369</v>
      </c>
      <c r="BG70" s="778">
        <v>14.6792074636279</v>
      </c>
      <c r="BH70" s="778">
        <v>13.6358243911247</v>
      </c>
      <c r="BI70" s="848">
        <v>9.46012259866141</v>
      </c>
      <c r="BJ70" s="16"/>
      <c r="BK70" s="345" t="str">
        <f ca="1">$K70</f>
        <v>3Q19</v>
      </c>
      <c r="BL70" s="847">
        <f ca="1">AL70</f>
        <v>20.4988</v>
      </c>
      <c r="BM70" s="778">
        <v>22.9110920659941</v>
      </c>
      <c r="BN70" s="778">
        <v>22.684546980981</v>
      </c>
      <c r="BO70" s="778">
        <v>23.0472722740321</v>
      </c>
      <c r="BP70" s="778">
        <v>18.5624804884841</v>
      </c>
      <c r="BQ70" s="848">
        <v>17.196000181915</v>
      </c>
      <c r="BR70" s="847">
        <f ca="1">AR70</f>
        <v>20.3905</v>
      </c>
      <c r="BS70" s="778">
        <v>24.1967403958091</v>
      </c>
      <c r="BT70" s="778">
        <v>19.2504598405886</v>
      </c>
      <c r="BU70" s="778">
        <v>14.9761977139175</v>
      </c>
      <c r="BV70" s="778">
        <v>19.154446768158</v>
      </c>
      <c r="BW70" s="848">
        <v>17.6816450875857</v>
      </c>
      <c r="BX70" s="847">
        <f ca="1">AX70</f>
        <v>11.1172</v>
      </c>
      <c r="BY70" s="778">
        <v>13.6676931552284</v>
      </c>
      <c r="BZ70" s="778">
        <v>7.45034129457223</v>
      </c>
      <c r="CA70" s="778">
        <v>30.1140879312756</v>
      </c>
      <c r="CB70" s="778">
        <v>15.5163968058044</v>
      </c>
      <c r="CC70" s="848">
        <v>11.1544756048268</v>
      </c>
      <c r="CD70" s="847">
        <f ca="1">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 ca="1">IF(I70=4,1,I70+1)</f>
        <v>4</v>
      </c>
      <c r="J71" s="5">
        <f ca="1">IF(I71=1,J70+1,J70)</f>
        <v>2019</v>
      </c>
      <c r="K71" s="345" t="str">
        <f ca="1">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 ca="1">$K71</f>
        <v>4Q19</v>
      </c>
      <c r="AL71" s="847">
        <f ca="1">L71</f>
        <v>19.7102</v>
      </c>
      <c r="AM71" s="778">
        <v>24.5982132219553</v>
      </c>
      <c r="AN71" s="778">
        <v>21.8626218691042</v>
      </c>
      <c r="AO71" s="778">
        <v>24.9480221869395</v>
      </c>
      <c r="AP71" s="778">
        <v>21.303664921466</v>
      </c>
      <c r="AQ71" s="848">
        <v>22.0380377300437</v>
      </c>
      <c r="AR71" s="847">
        <f ca="1">R71</f>
        <v>15.9545</v>
      </c>
      <c r="AS71" s="778">
        <v>24.5001526251526</v>
      </c>
      <c r="AT71" s="778">
        <v>23.2895735316436</v>
      </c>
      <c r="AU71" s="778">
        <v>24.6166950596252</v>
      </c>
      <c r="AV71" s="778">
        <v>20.70737913486</v>
      </c>
      <c r="AW71" s="848">
        <v>13.4192037470726</v>
      </c>
      <c r="AX71" s="847">
        <f ca="1">X71</f>
        <v>10.9166</v>
      </c>
      <c r="AY71" s="778">
        <v>13.0409382554541</v>
      </c>
      <c r="AZ71" s="778">
        <v>15.5527575607632</v>
      </c>
      <c r="BA71" s="778">
        <v>11.8107075820958</v>
      </c>
      <c r="BB71" s="778">
        <v>13.2019857913941</v>
      </c>
      <c r="BC71" s="848">
        <v>9.3627293419853</v>
      </c>
      <c r="BD71" s="847">
        <f ca="1">AD71</f>
        <v>10.8542</v>
      </c>
      <c r="BE71" s="778">
        <v>14.3633208455077</v>
      </c>
      <c r="BF71" s="778">
        <v>13.5977377549885</v>
      </c>
      <c r="BG71" s="778">
        <v>13.6092786505394</v>
      </c>
      <c r="BH71" s="778">
        <v>12.6617017462373</v>
      </c>
      <c r="BI71" s="848">
        <v>8.08378705222728</v>
      </c>
      <c r="BJ71" s="16"/>
      <c r="BK71" s="345" t="str">
        <f ca="1">$K71</f>
        <v>4Q19</v>
      </c>
      <c r="BL71" s="847">
        <f ca="1">AL71</f>
        <v>19.7102</v>
      </c>
      <c r="BM71" s="778">
        <v>22.9411991646364</v>
      </c>
      <c r="BN71" s="778">
        <v>25.1826307908707</v>
      </c>
      <c r="BO71" s="778">
        <v>742.467994422803</v>
      </c>
      <c r="BP71" s="778">
        <v>51.5397345560592</v>
      </c>
      <c r="BQ71" s="848">
        <v>18.7735294559135</v>
      </c>
      <c r="BR71" s="847">
        <f ca="1">AR71</f>
        <v>15.9545</v>
      </c>
      <c r="BS71" s="778">
        <v>24.4120836560806</v>
      </c>
      <c r="BT71" s="778">
        <v>19.3150684931507</v>
      </c>
      <c r="BU71" s="778">
        <v>15.7500816244131</v>
      </c>
      <c r="BV71" s="778">
        <v>20.6897066816639</v>
      </c>
      <c r="BW71" s="848">
        <v>19.2529429520072</v>
      </c>
      <c r="BX71" s="847">
        <f ca="1">AX71</f>
        <v>10.9166</v>
      </c>
      <c r="BY71" s="778">
        <v>12.8627005385798</v>
      </c>
      <c r="BZ71" s="778">
        <v>8.35257679501803</v>
      </c>
      <c r="CA71" s="778">
        <v>24.2403751473379</v>
      </c>
      <c r="CB71" s="778">
        <v>16.7295227167314</v>
      </c>
      <c r="CC71" s="848">
        <v>11.7565902366369</v>
      </c>
      <c r="CD71" s="847">
        <f ca="1">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 ca="1">Comparables!S90</f>
        <v>Cap. Goods Peer Group</v>
      </c>
      <c r="D72" s="110"/>
      <c r="E72" s="110"/>
      <c r="F72" s="110"/>
      <c r="G72" s="110"/>
      <c r="H72" s="111"/>
      <c r="I72" s="84">
        <f ca="1">I68</f>
        <v>1</v>
      </c>
      <c r="J72" s="5">
        <f ca="1">IF(I72=1,J71+1,J71)</f>
        <v>2020</v>
      </c>
      <c r="K72" s="345" t="str">
        <f ca="1">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 ca="1">$K72</f>
        <v>1Q20</v>
      </c>
      <c r="AL72" s="847">
        <f ca="1">L72</f>
        <v>20.7337</v>
      </c>
      <c r="AM72" s="778">
        <v>24.1509383260948</v>
      </c>
      <c r="AN72" s="778">
        <v>22.0227858117546</v>
      </c>
      <c r="AO72" s="778">
        <v>26.9786634548615</v>
      </c>
      <c r="AP72" s="778">
        <v>22.7263374485597</v>
      </c>
      <c r="AQ72" s="848">
        <v>22.3611084402223</v>
      </c>
      <c r="AR72" s="847">
        <f ca="1">R72</f>
        <v>17.539</v>
      </c>
      <c r="AS72" s="778">
        <v>21.6760744066709</v>
      </c>
      <c r="AT72" s="778">
        <v>22.4139702105804</v>
      </c>
      <c r="AU72" s="778">
        <v>22.2540730047432</v>
      </c>
      <c r="AV72" s="778">
        <v>19.7144132083891</v>
      </c>
      <c r="AW72" s="848">
        <v>13.3655172413793</v>
      </c>
      <c r="AX72" s="847">
        <f ca="1">X72</f>
        <v>11.4662</v>
      </c>
      <c r="AY72" s="778">
        <v>13.1406935347941</v>
      </c>
      <c r="AZ72" s="778">
        <v>17.7530299203028</v>
      </c>
      <c r="BA72" s="778">
        <v>13.3347745275671</v>
      </c>
      <c r="BB72" s="778">
        <v>14.6630133422256</v>
      </c>
      <c r="BC72" s="848">
        <v>9.50060170826765</v>
      </c>
      <c r="BD72" s="847">
        <f ca="1">AD72</f>
        <v>11.3381</v>
      </c>
      <c r="BE72" s="778">
        <v>13.4225475232659</v>
      </c>
      <c r="BF72" s="778">
        <v>15.691728942063</v>
      </c>
      <c r="BG72" s="778">
        <v>13.1858626537768</v>
      </c>
      <c r="BH72" s="778">
        <v>14.2275973172747</v>
      </c>
      <c r="BI72" s="848">
        <v>8.7443957905331</v>
      </c>
      <c r="BJ72" s="16"/>
      <c r="BK72" s="345" t="str">
        <f ca="1">$K72</f>
        <v>1Q20</v>
      </c>
      <c r="BL72" s="847">
        <f ca="1">AL72</f>
        <v>20.7337</v>
      </c>
      <c r="BM72" s="778">
        <v>17.5267411238021</v>
      </c>
      <c r="BN72" s="778">
        <v>22.2618223649331</v>
      </c>
      <c r="BO72" s="778">
        <v>649.507211629073</v>
      </c>
      <c r="BP72" s="778">
        <v>42.8914940993145</v>
      </c>
      <c r="BQ72" s="848">
        <v>17.7342126112493</v>
      </c>
      <c r="BR72" s="847">
        <f ca="1">AR72</f>
        <v>17.539</v>
      </c>
      <c r="BS72" s="778">
        <v>16.1123865748333</v>
      </c>
      <c r="BT72" s="778">
        <v>16.481324278438</v>
      </c>
      <c r="BU72" s="778">
        <v>13.6540241011591</v>
      </c>
      <c r="BV72" s="778">
        <v>17.3537435803074</v>
      </c>
      <c r="BW72" s="848">
        <v>17.7736968498375</v>
      </c>
      <c r="BX72" s="847">
        <f ca="1">AX72</f>
        <v>11.4662</v>
      </c>
      <c r="BY72" s="778">
        <v>9.86145266460381</v>
      </c>
      <c r="BZ72" s="778">
        <v>8.91440884436263</v>
      </c>
      <c r="CA72" s="778"/>
      <c r="CB72" s="778">
        <v>15.2716598940273</v>
      </c>
      <c r="CC72" s="848">
        <v>11.9371984794053</v>
      </c>
      <c r="CD72" s="847">
        <f ca="1">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918</v>
      </c>
      <c r="D73" s="846"/>
      <c r="E73" s="846"/>
      <c r="F73" s="846"/>
      <c r="G73" s="846"/>
      <c r="H73" s="846"/>
      <c r="I73" s="84">
        <f ca="1">IF(I72=4,1,I72+1)</f>
        <v>2</v>
      </c>
      <c r="J73" s="5">
        <f ca="1">IF(I73=1,J72+1,J72)</f>
        <v>2020</v>
      </c>
      <c r="K73" s="345" t="str">
        <f ca="1">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 ca="1">$K73</f>
        <v>2Q20</v>
      </c>
      <c r="AL73" s="847">
        <f ca="1">L73</f>
        <v>21.4403</v>
      </c>
      <c r="AM73" s="778">
        <v>19.6597714281227</v>
      </c>
      <c r="AN73" s="778">
        <v>17.897159906267</v>
      </c>
      <c r="AO73" s="778">
        <v>22.5695103649992</v>
      </c>
      <c r="AP73" s="778">
        <v>18.5036143640697</v>
      </c>
      <c r="AQ73" s="848">
        <v>28.2439248051353</v>
      </c>
      <c r="AR73" s="847">
        <f ca="1">R73</f>
        <v>22.3038</v>
      </c>
      <c r="AS73" s="778">
        <v>18.4068535825545</v>
      </c>
      <c r="AT73" s="778">
        <v>18.7006199100523</v>
      </c>
      <c r="AU73" s="778">
        <v>19.4875416120246</v>
      </c>
      <c r="AV73" s="778">
        <v>16.7891560839413</v>
      </c>
      <c r="AW73" s="848">
        <v>14.9032258064516</v>
      </c>
      <c r="AX73" s="847">
        <f ca="1">X73</f>
        <v>13.5961</v>
      </c>
      <c r="AY73" s="778">
        <v>11.7060983861026</v>
      </c>
      <c r="AZ73" s="778">
        <v>18.2101294010831</v>
      </c>
      <c r="BA73" s="778">
        <v>11.7567860040568</v>
      </c>
      <c r="BB73" s="778">
        <v>14.219845002532</v>
      </c>
      <c r="BC73" s="848">
        <v>11.6540606664239</v>
      </c>
      <c r="BD73" s="847">
        <f ca="1">AD73</f>
        <v>13.8093</v>
      </c>
      <c r="BE73" s="778">
        <v>11.8571842051646</v>
      </c>
      <c r="BF73" s="778">
        <v>15.8835936734414</v>
      </c>
      <c r="BG73" s="778">
        <v>11.2725510514067</v>
      </c>
      <c r="BH73" s="778">
        <v>13.1408227441087</v>
      </c>
      <c r="BI73" s="848">
        <v>10.252465604512</v>
      </c>
      <c r="BJ73" s="16"/>
      <c r="BK73" s="345" t="str">
        <f ca="1">$K73</f>
        <v>2Q20</v>
      </c>
      <c r="BL73" s="847">
        <f ca="1">AL73</f>
        <v>21.4403</v>
      </c>
      <c r="BM73" s="778">
        <v>13.7596348884381</v>
      </c>
      <c r="BN73" s="778">
        <v>17.5804740540875</v>
      </c>
      <c r="BO73" s="778">
        <v>666.371271278196</v>
      </c>
      <c r="BP73" s="778">
        <v>37.9065386167391</v>
      </c>
      <c r="BQ73" s="848">
        <v>17.3187216863556</v>
      </c>
      <c r="BR73" s="847">
        <f ca="1">AR73</f>
        <v>22.3038</v>
      </c>
      <c r="BS73" s="778">
        <v>12.5249261447563</v>
      </c>
      <c r="BT73" s="778">
        <v>14.5337353155214</v>
      </c>
      <c r="BU73" s="778">
        <v>13.9771704636752</v>
      </c>
      <c r="BV73" s="778">
        <v>17.160752720791</v>
      </c>
      <c r="BW73" s="848">
        <v>17.5161109554497</v>
      </c>
      <c r="BX73" s="847">
        <f ca="1">AX73</f>
        <v>13.5961</v>
      </c>
      <c r="BY73" s="778">
        <v>8.15101099180971</v>
      </c>
      <c r="BZ73" s="778">
        <v>7.56118596743218</v>
      </c>
      <c r="CA73" s="778"/>
      <c r="CB73" s="778">
        <v>14.7275249455244</v>
      </c>
      <c r="CC73" s="848">
        <v>10.9446678157627</v>
      </c>
      <c r="CD73" s="847">
        <f ca="1">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913</v>
      </c>
      <c r="F74" s="84" t="s">
        <v>914</v>
      </c>
      <c r="G74" s="84" t="s">
        <v>915</v>
      </c>
      <c r="H74" s="84" t="s">
        <v>916</v>
      </c>
      <c r="I74" s="84">
        <f ca="1">IF(I73+1=5,1,I73+1)</f>
        <v>3</v>
      </c>
      <c r="J74" s="5">
        <f ca="1">IF(I74=1,J73+1,J73)</f>
        <v>2020</v>
      </c>
      <c r="K74" s="345" t="str">
        <f ca="1">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 ca="1">$K74</f>
        <v>3Q20</v>
      </c>
      <c r="AL74" s="847">
        <f ca="1">L74</f>
        <v>16.8606</v>
      </c>
      <c r="AM74" s="778">
        <v>20.5352447802246</v>
      </c>
      <c r="AN74" s="778">
        <v>15.8189298015738</v>
      </c>
      <c r="AO74" s="778">
        <v>23.3795868128089</v>
      </c>
      <c r="AP74" s="778">
        <v>19.6012197335797</v>
      </c>
      <c r="AQ74" s="848">
        <v>27.5015829348704</v>
      </c>
      <c r="AR74" s="847">
        <f ca="1">R74</f>
        <v>17.927</v>
      </c>
      <c r="AS74" s="778">
        <v>20.2398642719242</v>
      </c>
      <c r="AT74" s="778">
        <v>18.7604185139209</v>
      </c>
      <c r="AU74" s="778">
        <v>20.7677620339664</v>
      </c>
      <c r="AV74" s="778">
        <v>18.4233261339093</v>
      </c>
      <c r="AW74" s="848">
        <v>14.6806526806527</v>
      </c>
      <c r="AX74" s="847">
        <f ca="1">X74</f>
        <v>12.0673</v>
      </c>
      <c r="AY74" s="778">
        <v>13.0649532302836</v>
      </c>
      <c r="AZ74" s="778">
        <v>16.5122274222826</v>
      </c>
      <c r="BA74" s="778">
        <v>12.5234131462926</v>
      </c>
      <c r="BB74" s="778">
        <v>14.6980062164592</v>
      </c>
      <c r="BC74" s="848">
        <v>11.3790542079959</v>
      </c>
      <c r="BD74" s="847">
        <f ca="1">AD74</f>
        <v>11.5529</v>
      </c>
      <c r="BE74" s="778">
        <v>13.2572136445254</v>
      </c>
      <c r="BF74" s="778">
        <v>16.3477708057932</v>
      </c>
      <c r="BG74" s="778">
        <v>12.1225667507274</v>
      </c>
      <c r="BH74" s="778">
        <v>13.9077997746548</v>
      </c>
      <c r="BI74" s="848">
        <v>10.0727315724473</v>
      </c>
      <c r="BJ74" s="16"/>
      <c r="BK74" s="345" t="str">
        <f ca="1">$K74</f>
        <v>3Q20</v>
      </c>
      <c r="BL74" s="847">
        <f ca="1">AL74</f>
        <v>16.8606</v>
      </c>
      <c r="BM74" s="778">
        <v>13.9515096065874</v>
      </c>
      <c r="BN74" s="778">
        <v>17.179660415722</v>
      </c>
      <c r="BO74" s="778"/>
      <c r="BP74" s="778">
        <v>39.4152294902726</v>
      </c>
      <c r="BQ74" s="848">
        <v>18.420867479112</v>
      </c>
      <c r="BR74" s="847">
        <f ca="1">AR74</f>
        <v>17.927</v>
      </c>
      <c r="BS74" s="778">
        <v>13.1434235476642</v>
      </c>
      <c r="BT74" s="778">
        <v>15.7926252757643</v>
      </c>
      <c r="BU74" s="778">
        <v>11.5207306857749</v>
      </c>
      <c r="BV74" s="778">
        <v>19.5772945706592</v>
      </c>
      <c r="BW74" s="848">
        <v>19.3481871021312</v>
      </c>
      <c r="BX74" s="847">
        <f ca="1">AX74</f>
        <v>12.0673</v>
      </c>
      <c r="BY74" s="778">
        <v>8.64752299415454</v>
      </c>
      <c r="BZ74" s="778">
        <v>7.56630329639244</v>
      </c>
      <c r="CA74" s="778"/>
      <c r="CB74" s="778">
        <v>16.3985899726758</v>
      </c>
      <c r="CC74" s="848">
        <v>13.0317764934829</v>
      </c>
      <c r="CD74" s="847">
        <f ca="1">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887</v>
      </c>
      <c r="D75" s="16"/>
      <c r="E75" s="724">
        <f ca="1">AVERAGE(BM81:BQ86)</f>
        <v>15.683339457774522</v>
      </c>
      <c r="F75" s="724">
        <f ca="1">AVERAGE(BS81:BW86)</f>
        <v>16.168745623234717</v>
      </c>
      <c r="G75" s="724">
        <f ca="1">AVERAGE(BY81:CC86)</f>
        <v>10.768373282856134</v>
      </c>
      <c r="H75" s="724">
        <f ca="1">AVERAGE(CE81:CI86)</f>
        <v>11.620890184734101</v>
      </c>
      <c r="I75" s="84">
        <f ca="1">IF(I74=4,1,I74+1)</f>
        <v>4</v>
      </c>
      <c r="J75" s="5">
        <f ca="1">IF(I75=1,J74+1,J74)</f>
        <v>2020</v>
      </c>
      <c r="K75" s="345" t="str">
        <f ca="1">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 ca="1">$K75</f>
        <v>4Q20</v>
      </c>
      <c r="AL75" s="847">
        <f ca="1">L75</f>
        <v>19.0572</v>
      </c>
      <c r="AM75" s="778">
        <v>14.4221283831607</v>
      </c>
      <c r="AN75" s="778">
        <v>10.8122994961928</v>
      </c>
      <c r="AO75" s="778">
        <v>15.6007113151191</v>
      </c>
      <c r="AP75" s="778">
        <v>13.7731368724422</v>
      </c>
      <c r="AQ75" s="848">
        <v>14.6417832875778</v>
      </c>
      <c r="AR75" s="847">
        <f ca="1">R75</f>
        <v>18.0554</v>
      </c>
      <c r="AS75" s="778">
        <v>14.8865768377963</v>
      </c>
      <c r="AT75" s="778">
        <v>12.8079075362167</v>
      </c>
      <c r="AU75" s="778">
        <v>15.1771575613618</v>
      </c>
      <c r="AV75" s="778">
        <v>14.1033461918005</v>
      </c>
      <c r="AW75" s="848">
        <v>10.7540983606557</v>
      </c>
      <c r="AX75" s="847">
        <f ca="1">X75</f>
        <v>18.3811</v>
      </c>
      <c r="AY75" s="778">
        <v>10.34267476703</v>
      </c>
      <c r="AZ75" s="778">
        <v>12.1148132616025</v>
      </c>
      <c r="BA75" s="778">
        <v>9.03738404817861</v>
      </c>
      <c r="BB75" s="778">
        <v>11.1133530619828</v>
      </c>
      <c r="BC75" s="848">
        <v>8.3832981092452</v>
      </c>
      <c r="BD75" s="847">
        <f ca="1">AD75</f>
        <v>12.472</v>
      </c>
      <c r="BE75" s="778">
        <v>9.75558167960826</v>
      </c>
      <c r="BF75" s="778">
        <v>11.0823430725226</v>
      </c>
      <c r="BG75" s="778">
        <v>8.69455203771838</v>
      </c>
      <c r="BH75" s="778">
        <v>10.407686029648</v>
      </c>
      <c r="BI75" s="848">
        <v>6.865640275054</v>
      </c>
      <c r="BJ75" s="16"/>
      <c r="BK75" s="345" t="str">
        <f ca="1">$K75</f>
        <v>4Q20</v>
      </c>
      <c r="BL75" s="847">
        <f ca="1">AL75</f>
        <v>19.0572</v>
      </c>
      <c r="BM75" s="778">
        <v>11.1878312459125</v>
      </c>
      <c r="BN75" s="778">
        <v>15.8605218246713</v>
      </c>
      <c r="BO75" s="778">
        <v>13.074326127188</v>
      </c>
      <c r="BP75" s="778">
        <v>14.3644481864395</v>
      </c>
      <c r="BQ75" s="848">
        <v>13.5962086905669</v>
      </c>
      <c r="BR75" s="847">
        <f ca="1">AR75</f>
        <v>18.0554</v>
      </c>
      <c r="BS75" s="778">
        <v>10.9166666666667</v>
      </c>
      <c r="BT75" s="778">
        <v>13.0018303843807</v>
      </c>
      <c r="BU75" s="778">
        <v>10.3656311937322</v>
      </c>
      <c r="BV75" s="778">
        <v>16.5294632803703</v>
      </c>
      <c r="BW75" s="848">
        <v>14.8943908238915</v>
      </c>
      <c r="BX75" s="847">
        <f ca="1">AX75</f>
        <v>18.3811</v>
      </c>
      <c r="BY75" s="778">
        <v>6.87881904030835</v>
      </c>
      <c r="BZ75" s="778">
        <v>7.01023473851751</v>
      </c>
      <c r="CA75" s="778"/>
      <c r="CB75" s="778">
        <v>13.2075042312185</v>
      </c>
      <c r="CC75" s="848">
        <v>12.1601264994065</v>
      </c>
      <c r="CD75" s="847">
        <f ca="1">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889</v>
      </c>
      <c r="D76" s="16"/>
      <c r="E76" s="724">
        <f ca="1">AVERAGE(BM77:BQ86)</f>
        <v>15.757842039857469</v>
      </c>
      <c r="F76" s="724">
        <f ca="1">AVERAGE(BS77:BW86)</f>
        <v>16.211283525086312</v>
      </c>
      <c r="G76" s="724">
        <f ca="1">AVERAGE(BY77:CC86)</f>
        <v>10.797620950823877</v>
      </c>
      <c r="H76" s="724">
        <f ca="1">AVERAGE(CE77:CI86)</f>
        <v>11.601419698040905</v>
      </c>
      <c r="I76" s="84">
        <f ca="1">I72</f>
        <v>1</v>
      </c>
      <c r="J76" s="5">
        <f ca="1">IF(I76=1,J75+1,J75)</f>
        <v>2021</v>
      </c>
      <c r="K76" s="345" t="str">
        <f ca="1">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 ca="1">$K76</f>
        <v>1Q21</v>
      </c>
      <c r="AL76" s="847">
        <f ca="1">L76</f>
        <v>17.4925</v>
      </c>
      <c r="AM76" s="778">
        <v>15.0141768323488</v>
      </c>
      <c r="AN76" s="778">
        <v>11.762100009524</v>
      </c>
      <c r="AO76" s="778">
        <v>17.508231022493</v>
      </c>
      <c r="AP76" s="778">
        <v>14.9484539723962</v>
      </c>
      <c r="AQ76" s="848">
        <v>15.3815249519327</v>
      </c>
      <c r="AR76" s="847">
        <f ca="1">R76</f>
        <v>18.0842</v>
      </c>
      <c r="AS76" s="778">
        <v>15.4657873042045</v>
      </c>
      <c r="AT76" s="778">
        <v>14.2096663679966</v>
      </c>
      <c r="AU76" s="778">
        <v>15.6938458886399</v>
      </c>
      <c r="AV76" s="778">
        <v>14.4436860068259</v>
      </c>
      <c r="AW76" s="848">
        <v>10.8648648648649</v>
      </c>
      <c r="AX76" s="847">
        <f ca="1">X76</f>
        <v>15.8529</v>
      </c>
      <c r="AY76" s="778">
        <v>10.6573226693313</v>
      </c>
      <c r="AZ76" s="778">
        <v>11.9267964065934</v>
      </c>
      <c r="BA76" s="778">
        <v>10.5195834978257</v>
      </c>
      <c r="BB76" s="778">
        <v>11.1280202944651</v>
      </c>
      <c r="BC76" s="848">
        <v>8.79239651976119</v>
      </c>
      <c r="BD76" s="847">
        <f ca="1">AD76</f>
        <v>11.9975</v>
      </c>
      <c r="BE76" s="778">
        <v>10.7614328987076</v>
      </c>
      <c r="BF76" s="778">
        <v>12.3090957616733</v>
      </c>
      <c r="BG76" s="778">
        <v>10.5491686402801</v>
      </c>
      <c r="BH76" s="778">
        <v>11.7553981851193</v>
      </c>
      <c r="BI76" s="848">
        <v>7.10118619238793</v>
      </c>
      <c r="BJ76" s="16"/>
      <c r="BK76" s="345" t="str">
        <f ca="1">$K76</f>
        <v>1Q21</v>
      </c>
      <c r="BL76" s="847">
        <f ca="1">AL76</f>
        <v>17.4925</v>
      </c>
      <c r="BM76" s="778">
        <v>11.7349442544677</v>
      </c>
      <c r="BN76" s="778">
        <v>16.6874232849898</v>
      </c>
      <c r="BO76" s="778">
        <v>16.2847068834266</v>
      </c>
      <c r="BP76" s="778">
        <v>17.6336803738979</v>
      </c>
      <c r="BQ76" s="848">
        <v>16.5229079241118</v>
      </c>
      <c r="BR76" s="847">
        <f ca="1">AR76</f>
        <v>18.0842</v>
      </c>
      <c r="BS76" s="778">
        <v>11.0082872928177</v>
      </c>
      <c r="BT76" s="778">
        <v>14.28418230563</v>
      </c>
      <c r="BU76" s="778">
        <v>18.0978260869565</v>
      </c>
      <c r="BV76" s="778">
        <v>19.9272727272727</v>
      </c>
      <c r="BW76" s="848">
        <v>16.362828488003</v>
      </c>
      <c r="BX76" s="847">
        <f ca="1">AX76</f>
        <v>15.8529</v>
      </c>
      <c r="BY76" s="778">
        <v>6.9750558793406</v>
      </c>
      <c r="BZ76" s="778">
        <v>7.30111782573552</v>
      </c>
      <c r="CA76" s="778"/>
      <c r="CB76" s="778">
        <v>15.4025408311834</v>
      </c>
      <c r="CC76" s="848">
        <v>12.8108272529198</v>
      </c>
      <c r="CD76" s="847">
        <f ca="1">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884</v>
      </c>
      <c r="D77" s="16"/>
      <c r="E77" s="724">
        <f ca="1">AVERAGE(BM73:BQ86)</f>
        <v>26.530528095386988</v>
      </c>
      <c r="F77" s="724">
        <f ca="1">AVERAGE(BS73:BW86)</f>
        <v>15.846016840935276</v>
      </c>
      <c r="G77" s="724">
        <f ca="1">AVERAGE(BY73:CC86)</f>
        <v>10.720945442413932</v>
      </c>
      <c r="H77" s="724">
        <f ca="1">AVERAGE(CE73:CI86)</f>
        <v>11.2817955771977</v>
      </c>
      <c r="I77" s="84">
        <f ca="1">IF(I76=4,1,I76+1)</f>
        <v>2</v>
      </c>
      <c r="J77" s="5">
        <f ca="1">IF(I77=1,J76+1,J76)</f>
        <v>2021</v>
      </c>
      <c r="K77" s="345" t="str">
        <f ca="1">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 ca="1">$K77</f>
        <v>2Q21</v>
      </c>
      <c r="AL77" s="847">
        <f ca="1">L77</f>
        <v>19.4823</v>
      </c>
      <c r="AM77" s="778">
        <v>17.3634726868954</v>
      </c>
      <c r="AN77" s="778">
        <v>13.7604420785299</v>
      </c>
      <c r="AO77" s="778">
        <v>15.9963201471941</v>
      </c>
      <c r="AP77" s="778">
        <v>16.1045172719221</v>
      </c>
      <c r="AQ77" s="848">
        <v>11.9194558530206</v>
      </c>
      <c r="AR77" s="847">
        <f ca="1">R77</f>
        <v>19.4276</v>
      </c>
      <c r="AS77" s="778">
        <v>17.6974004478629</v>
      </c>
      <c r="AT77" s="778">
        <v>16.781448010803</v>
      </c>
      <c r="AU77" s="778">
        <v>14.9961190168176</v>
      </c>
      <c r="AV77" s="778">
        <v>15.4753596050728</v>
      </c>
      <c r="AW77" s="848">
        <v>11.1576576576577</v>
      </c>
      <c r="AX77" s="847">
        <f ca="1">X77</f>
        <v>16.3737</v>
      </c>
      <c r="AY77" s="778">
        <v>12.2283175827312</v>
      </c>
      <c r="AZ77" s="778">
        <v>13.1078993174288</v>
      </c>
      <c r="BA77" s="778">
        <v>9.71872496814218</v>
      </c>
      <c r="BB77" s="778">
        <v>11.9214193883622</v>
      </c>
      <c r="BC77" s="848">
        <v>9.20228078793905</v>
      </c>
      <c r="BD77" s="847">
        <f ca="1">AD77</f>
        <v>12.8453</v>
      </c>
      <c r="BE77" s="778">
        <v>12.4269354419136</v>
      </c>
      <c r="BF77" s="778">
        <v>13.9990817601658</v>
      </c>
      <c r="BG77" s="778">
        <v>10.1973626177734</v>
      </c>
      <c r="BH77" s="778">
        <v>12.5116255609596</v>
      </c>
      <c r="BI77" s="848">
        <v>8.28856515319408</v>
      </c>
      <c r="BJ77" s="16"/>
      <c r="BK77" s="345" t="str">
        <f ca="1">$K77</f>
        <v>2Q21</v>
      </c>
      <c r="BL77" s="847">
        <f ca="1">AL77</f>
        <v>19.4823</v>
      </c>
      <c r="BM77" s="778">
        <v>11.792353858178</v>
      </c>
      <c r="BN77" s="778">
        <v>16.6425212350074</v>
      </c>
      <c r="BO77" s="778">
        <v>17.2716685418764</v>
      </c>
      <c r="BP77" s="778">
        <v>19.7359258736756</v>
      </c>
      <c r="BQ77" s="848">
        <v>16.2270045772118</v>
      </c>
      <c r="BR77" s="847">
        <f ca="1">AR77</f>
        <v>19.4276</v>
      </c>
      <c r="BS77" s="778">
        <v>11.0490474260235</v>
      </c>
      <c r="BT77" s="778">
        <v>16.1259244842351</v>
      </c>
      <c r="BU77" s="778">
        <v>18.1034482758621</v>
      </c>
      <c r="BV77" s="778">
        <v>21.5383666419936</v>
      </c>
      <c r="BW77" s="848">
        <v>16.3219255359158</v>
      </c>
      <c r="BX77" s="847">
        <f ca="1">AX77</f>
        <v>16.3737</v>
      </c>
      <c r="BY77" s="778">
        <v>6.96557670431564</v>
      </c>
      <c r="BZ77" s="778">
        <v>7.30308788720167</v>
      </c>
      <c r="CA77" s="778"/>
      <c r="CB77" s="778">
        <v>16.9369454545127</v>
      </c>
      <c r="CC77" s="848">
        <v>12.7204185574551</v>
      </c>
      <c r="CD77" s="847">
        <f ca="1">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890</v>
      </c>
      <c r="D78" s="16"/>
      <c r="E78" s="724">
        <f ca="1">AVERAGE(BM65:BQ86)</f>
        <v>37.96256935397822</v>
      </c>
      <c r="F78" s="724">
        <f ca="1">AVERAGE(BS65:BW86)</f>
        <v>17.18236554677514</v>
      </c>
      <c r="G78" s="724">
        <f ca="1">AVERAGE(BY65:CC86)</f>
        <v>12.017610025365714</v>
      </c>
      <c r="H78" s="724">
        <f ca="1">AVERAGE(CE65:CI86)</f>
        <v>11.514027269594164</v>
      </c>
      <c r="I78" s="84">
        <f ca="1">IF(I77+1=5,1,I77+1)</f>
        <v>3</v>
      </c>
      <c r="J78" s="5">
        <f ca="1">IF(I78=1,J77+1,J77)</f>
        <v>2021</v>
      </c>
      <c r="K78" s="345" t="str">
        <f ca="1">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 ca="1">$K78</f>
        <v>3Q21</v>
      </c>
      <c r="AL78" s="847">
        <f ca="1">L78</f>
        <v>20.1793</v>
      </c>
      <c r="AM78" s="778">
        <v>18.6301264131882</v>
      </c>
      <c r="AN78" s="778">
        <v>15.9613632713695</v>
      </c>
      <c r="AO78" s="778">
        <v>18.048758049678</v>
      </c>
      <c r="AP78" s="778">
        <v>16.185119574845</v>
      </c>
      <c r="AQ78" s="848">
        <v>13.7143517081586</v>
      </c>
      <c r="AR78" s="847">
        <f ca="1">R78</f>
        <v>21.0253</v>
      </c>
      <c r="AS78" s="778">
        <v>18.3782510365624</v>
      </c>
      <c r="AT78" s="778">
        <v>19.0626112608718</v>
      </c>
      <c r="AU78" s="778">
        <v>16.9392160248662</v>
      </c>
      <c r="AV78" s="778">
        <v>15.3839030139754</v>
      </c>
      <c r="AW78" s="848">
        <v>12.4183006535948</v>
      </c>
      <c r="AX78" s="847">
        <f ca="1">X78</f>
        <v>17.2551</v>
      </c>
      <c r="AY78" s="778">
        <v>13.0108331657086</v>
      </c>
      <c r="AZ78" s="778">
        <v>14.7207664372533</v>
      </c>
      <c r="BA78" s="778">
        <v>10.8634721764166</v>
      </c>
      <c r="BB78" s="778">
        <v>11.9670120353024</v>
      </c>
      <c r="BC78" s="848">
        <v>10.344170119619</v>
      </c>
      <c r="BD78" s="847">
        <f ca="1">AD78</f>
        <v>13.9125</v>
      </c>
      <c r="BE78" s="778">
        <v>12.9638305850015</v>
      </c>
      <c r="BF78" s="778">
        <v>15.8491313030872</v>
      </c>
      <c r="BG78" s="778">
        <v>11.268157797573</v>
      </c>
      <c r="BH78" s="778">
        <v>12.4472527602547</v>
      </c>
      <c r="BI78" s="848">
        <v>9.13104550281631</v>
      </c>
      <c r="BJ78" s="16"/>
      <c r="BK78" s="345" t="str">
        <f ca="1">$K78</f>
        <v>3Q21</v>
      </c>
      <c r="BL78" s="847">
        <f ca="1">AL78</f>
        <v>20.1793</v>
      </c>
      <c r="BM78" s="778">
        <v>10.9288444920865</v>
      </c>
      <c r="BN78" s="778">
        <v>16.7407934072159</v>
      </c>
      <c r="BO78" s="778">
        <v>14.7055920727976</v>
      </c>
      <c r="BP78" s="778">
        <v>19.126631867953</v>
      </c>
      <c r="BQ78" s="848">
        <v>17.0146748454758</v>
      </c>
      <c r="BR78" s="847">
        <f ca="1">AR78</f>
        <v>21.0253</v>
      </c>
      <c r="BS78" s="778">
        <v>10.6852212164791</v>
      </c>
      <c r="BT78" s="778">
        <v>16.9204534055572</v>
      </c>
      <c r="BU78" s="778">
        <v>14.9748743718593</v>
      </c>
      <c r="BV78" s="778">
        <v>20.8811551277305</v>
      </c>
      <c r="BW78" s="848">
        <v>17.0012453300125</v>
      </c>
      <c r="BX78" s="847">
        <f ca="1">AX78</f>
        <v>17.2551</v>
      </c>
      <c r="BY78" s="778">
        <v>6.35997189641845</v>
      </c>
      <c r="BZ78" s="778">
        <v>7.48257527449524</v>
      </c>
      <c r="CA78" s="778"/>
      <c r="CB78" s="778">
        <v>16.2659380049987</v>
      </c>
      <c r="CC78" s="848">
        <v>13.1653885302904</v>
      </c>
      <c r="CD78" s="847">
        <f ca="1">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919</v>
      </c>
      <c r="D79" s="846"/>
      <c r="E79" s="846"/>
      <c r="F79" s="846"/>
      <c r="G79" s="846"/>
      <c r="H79" s="846"/>
      <c r="I79" s="84">
        <f ca="1">IF(I78=4,1,I78+1)</f>
        <v>4</v>
      </c>
      <c r="J79" s="5">
        <f ca="1">IF(I79=1,J78+1,J78)</f>
        <v>2021</v>
      </c>
      <c r="K79" s="345" t="str">
        <f ca="1">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 ca="1">$K79</f>
        <v>4Q21</v>
      </c>
      <c r="AL79" s="847">
        <f ca="1">L79</f>
        <v>14.6386</v>
      </c>
      <c r="AM79" s="778">
        <v>18.285283104649</v>
      </c>
      <c r="AN79" s="778">
        <v>15.531229783089</v>
      </c>
      <c r="AO79" s="778">
        <v>18.4342230802955</v>
      </c>
      <c r="AP79" s="778">
        <v>15.7918506010747</v>
      </c>
      <c r="AQ79" s="848">
        <v>13.3630724097093</v>
      </c>
      <c r="AR79" s="847">
        <f ca="1">R79</f>
        <v>14.0284</v>
      </c>
      <c r="AS79" s="778">
        <v>18.0372200865908</v>
      </c>
      <c r="AT79" s="778">
        <v>18.548904045644</v>
      </c>
      <c r="AU79" s="778">
        <v>17.3009847075473</v>
      </c>
      <c r="AV79" s="778">
        <v>15.0214839738927</v>
      </c>
      <c r="AW79" s="848">
        <v>12.1266380876433</v>
      </c>
      <c r="AX79" s="847">
        <f ca="1">X79</f>
        <v>10.6949</v>
      </c>
      <c r="AY79" s="778">
        <v>12.7963238557254</v>
      </c>
      <c r="AZ79" s="778">
        <v>14.3983930880516</v>
      </c>
      <c r="BA79" s="778">
        <v>11.0784790142357</v>
      </c>
      <c r="BB79" s="778">
        <v>11.7401868085495</v>
      </c>
      <c r="BC79" s="848">
        <v>10.1213801363892</v>
      </c>
      <c r="BD79" s="847">
        <f ca="1">AD79</f>
        <v>10.1357</v>
      </c>
      <c r="BE79" s="778">
        <v>12.7838345671624</v>
      </c>
      <c r="BF79" s="778">
        <v>15.5062457521629</v>
      </c>
      <c r="BG79" s="778">
        <v>11.4931908863573</v>
      </c>
      <c r="BH79" s="778">
        <v>12.2156576237082</v>
      </c>
      <c r="BI79" s="848">
        <v>8.94832314922583</v>
      </c>
      <c r="BJ79" s="16"/>
      <c r="BK79" s="849" t="str">
        <f ca="1">$K79</f>
        <v>4Q21</v>
      </c>
      <c r="BL79" s="847">
        <f ca="1">AL79</f>
        <v>14.6386</v>
      </c>
      <c r="BM79" s="778">
        <v>11.2645577634905</v>
      </c>
      <c r="BN79" s="778">
        <v>16.9769983363012</v>
      </c>
      <c r="BO79" s="778">
        <v>14.6397946127696</v>
      </c>
      <c r="BP79" s="778">
        <v>18.4969909334805</v>
      </c>
      <c r="BQ79" s="848">
        <v>17.0383556428308</v>
      </c>
      <c r="BR79" s="847">
        <f ca="1">AR79</f>
        <v>14.0284</v>
      </c>
      <c r="BS79" s="778">
        <v>11.0988919387388</v>
      </c>
      <c r="BT79" s="778">
        <v>17.1678038497184</v>
      </c>
      <c r="BU79" s="778">
        <v>15.3184158666614</v>
      </c>
      <c r="BV79" s="778">
        <v>20.2337090247079</v>
      </c>
      <c r="BW79" s="848">
        <v>17.0249074363471</v>
      </c>
      <c r="BX79" s="847">
        <f ca="1">AX79</f>
        <v>10.6949</v>
      </c>
      <c r="BY79" s="778">
        <v>6.55210704601697</v>
      </c>
      <c r="BZ79" s="778">
        <v>7.58057147914367</v>
      </c>
      <c r="CA79" s="778"/>
      <c r="CB79" s="778">
        <v>15.7600485469973</v>
      </c>
      <c r="CC79" s="848">
        <v>13.1807660592666</v>
      </c>
      <c r="CD79" s="847">
        <f ca="1">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913</v>
      </c>
      <c r="F80" s="84" t="s">
        <v>914</v>
      </c>
      <c r="G80" s="84" t="s">
        <v>915</v>
      </c>
      <c r="H80" s="84" t="s">
        <v>916</v>
      </c>
      <c r="I80" s="84">
        <f ca="1">I76</f>
        <v>1</v>
      </c>
      <c r="J80" s="5">
        <f ca="1">IF(I80=1,J79+1,J79)</f>
        <v>2022</v>
      </c>
      <c r="K80" s="345" t="str">
        <f ca="1">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 ca="1">$K80</f>
        <v>1Q22</v>
      </c>
      <c r="AL80" s="847">
        <f ca="1">L80</f>
        <v>20.9623</v>
      </c>
      <c r="AM80" s="778">
        <v>18.285283104649</v>
      </c>
      <c r="AN80" s="778">
        <v>15.531229783089</v>
      </c>
      <c r="AO80" s="778">
        <v>18.4342230802955</v>
      </c>
      <c r="AP80" s="778">
        <v>15.7918506010747</v>
      </c>
      <c r="AQ80" s="848">
        <v>13.3630724097093</v>
      </c>
      <c r="AR80" s="847">
        <f ca="1">R80</f>
        <v>20.1822</v>
      </c>
      <c r="AS80" s="778">
        <v>18.0372200865908</v>
      </c>
      <c r="AT80" s="778">
        <v>18.548904045644</v>
      </c>
      <c r="AU80" s="778">
        <v>17.3009847075473</v>
      </c>
      <c r="AV80" s="778">
        <v>15.0214839738927</v>
      </c>
      <c r="AW80" s="848">
        <v>12.1266380876433</v>
      </c>
      <c r="AX80" s="847">
        <f ca="1">X80</f>
        <v>14.0976</v>
      </c>
      <c r="AY80" s="778">
        <v>12.7963238557254</v>
      </c>
      <c r="AZ80" s="778">
        <v>14.3983930880516</v>
      </c>
      <c r="BA80" s="778">
        <v>11.0784790142357</v>
      </c>
      <c r="BB80" s="778">
        <v>11.7401868085495</v>
      </c>
      <c r="BC80" s="848">
        <v>10.1213801363892</v>
      </c>
      <c r="BD80" s="847">
        <f ca="1">AD80</f>
        <v>13.2943</v>
      </c>
      <c r="BE80" s="778">
        <v>12.7838345671624</v>
      </c>
      <c r="BF80" s="778">
        <v>15.5062457521629</v>
      </c>
      <c r="BG80" s="778">
        <v>11.4931908863573</v>
      </c>
      <c r="BH80" s="778">
        <v>12.2156576237082</v>
      </c>
      <c r="BI80" s="848">
        <v>8.94832314922583</v>
      </c>
      <c r="BJ80" s="16"/>
      <c r="BK80" s="849" t="str">
        <f ca="1">$K80</f>
        <v>1Q22</v>
      </c>
      <c r="BL80" s="847">
        <f ca="1">AL80</f>
        <v>20.9623</v>
      </c>
      <c r="BM80" s="778">
        <v>11.2645577634905</v>
      </c>
      <c r="BN80" s="778">
        <v>16.9769983363012</v>
      </c>
      <c r="BO80" s="778">
        <v>14.6397946127696</v>
      </c>
      <c r="BP80" s="778">
        <v>18.4969909334805</v>
      </c>
      <c r="BQ80" s="848">
        <v>17.0383556428308</v>
      </c>
      <c r="BR80" s="847">
        <f ca="1">AR80</f>
        <v>20.1822</v>
      </c>
      <c r="BS80" s="778">
        <v>11.0988919387388</v>
      </c>
      <c r="BT80" s="778">
        <v>17.1678038497184</v>
      </c>
      <c r="BU80" s="778">
        <v>15.3184158666614</v>
      </c>
      <c r="BV80" s="778">
        <v>20.2337090247079</v>
      </c>
      <c r="BW80" s="848">
        <v>17.0249074363471</v>
      </c>
      <c r="BX80" s="847">
        <f ca="1">AX80</f>
        <v>14.0976</v>
      </c>
      <c r="BY80" s="778">
        <v>6.55210704601697</v>
      </c>
      <c r="BZ80" s="778">
        <v>7.58057147914367</v>
      </c>
      <c r="CA80" s="778"/>
      <c r="CB80" s="778">
        <v>15.7600485469973</v>
      </c>
      <c r="CC80" s="848">
        <v>13.1807660592666</v>
      </c>
      <c r="CD80" s="847">
        <f ca="1">BD80</f>
        <v>13.2943</v>
      </c>
      <c r="CE80" s="778">
        <v>6.6876218938895</v>
      </c>
      <c r="CF80" s="778">
        <v>13.0119608316293</v>
      </c>
      <c r="CG80" s="778">
        <v>12.4521138558247</v>
      </c>
      <c r="CH80" s="778">
        <v>14.1638045774507</v>
      </c>
      <c r="CI80" s="848">
        <v>11.7889497648763</v>
      </c>
    </row>
    <row r="81" ht="14.25" customHeight="1" spans="1:87" x14ac:dyDescent="0.25">
      <c r="A81" s="16"/>
      <c r="B81" s="16"/>
      <c r="C81" s="16" t="s">
        <v>920</v>
      </c>
      <c r="D81" s="16"/>
      <c r="E81" s="724">
        <f ca="1">AVERAGE(BM8:BQ75)</f>
        <v>23.989111745649577</v>
      </c>
      <c r="F81" s="724">
        <f ca="1">AVERAGE(BS8:BW75)</f>
        <v>16.203546988432574</v>
      </c>
      <c r="G81" s="724">
        <f ca="1">AVERAGE(BY8:CC75)</f>
        <v>9.86611312349788</v>
      </c>
      <c r="H81" s="724">
        <f ca="1">AVERAGE(CE8:CI75)</f>
        <v>9.244146434411277</v>
      </c>
      <c r="I81" s="84">
        <f ca="1">IF(I80=4,1,I80+1)</f>
        <v>2</v>
      </c>
      <c r="J81" s="5">
        <f ca="1">IF(I81=1,J80+1,J80)</f>
        <v>2022</v>
      </c>
      <c r="K81" s="345" t="str">
        <f ca="1">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 ca="1">$K81</f>
        <v>2Q22</v>
      </c>
      <c r="AL81" s="847">
        <f ca="1">L81</f>
        <v>20.5549</v>
      </c>
      <c r="AM81" s="778">
        <v>18.285283104649</v>
      </c>
      <c r="AN81" s="778">
        <v>15.531229783089</v>
      </c>
      <c r="AO81" s="778">
        <v>18.4342230802955</v>
      </c>
      <c r="AP81" s="778">
        <v>15.7918506010747</v>
      </c>
      <c r="AQ81" s="848">
        <v>13.3630724097093</v>
      </c>
      <c r="AR81" s="847">
        <f ca="1">R81</f>
        <v>19.4215</v>
      </c>
      <c r="AS81" s="778">
        <v>18.0372200865908</v>
      </c>
      <c r="AT81" s="778">
        <v>18.548904045644</v>
      </c>
      <c r="AU81" s="778">
        <v>17.3009847075473</v>
      </c>
      <c r="AV81" s="778">
        <v>15.0214839738927</v>
      </c>
      <c r="AW81" s="848">
        <v>12.1266380876433</v>
      </c>
      <c r="AX81" s="847">
        <f ca="1">X81</f>
        <v>13.7608</v>
      </c>
      <c r="AY81" s="778">
        <v>12.7963238557254</v>
      </c>
      <c r="AZ81" s="778">
        <v>14.3983930880516</v>
      </c>
      <c r="BA81" s="778">
        <v>11.0784790142357</v>
      </c>
      <c r="BB81" s="778">
        <v>11.7401868085495</v>
      </c>
      <c r="BC81" s="848">
        <v>10.1213801363892</v>
      </c>
      <c r="BD81" s="847">
        <f ca="1">AD81</f>
        <v>12.475</v>
      </c>
      <c r="BE81" s="778">
        <v>12.7838345671624</v>
      </c>
      <c r="BF81" s="778">
        <v>15.5062457521629</v>
      </c>
      <c r="BG81" s="778">
        <v>11.4931908863573</v>
      </c>
      <c r="BH81" s="778">
        <v>12.2156576237082</v>
      </c>
      <c r="BI81" s="848">
        <v>8.94832314922583</v>
      </c>
      <c r="BJ81" s="16"/>
      <c r="BK81" s="849" t="str">
        <f ca="1">$K81</f>
        <v>2Q22</v>
      </c>
      <c r="BL81" s="847">
        <f ca="1">AL81</f>
        <v>20.5549</v>
      </c>
      <c r="BM81" s="778">
        <v>11.2645577634905</v>
      </c>
      <c r="BN81" s="778">
        <v>16.9769983363012</v>
      </c>
      <c r="BO81" s="778">
        <v>14.6397946127696</v>
      </c>
      <c r="BP81" s="778">
        <v>18.4969909334805</v>
      </c>
      <c r="BQ81" s="848">
        <v>17.0383556428308</v>
      </c>
      <c r="BR81" s="847">
        <f ca="1">AR81</f>
        <v>19.4215</v>
      </c>
      <c r="BS81" s="778">
        <v>11.0988919387388</v>
      </c>
      <c r="BT81" s="778">
        <v>17.1678038497184</v>
      </c>
      <c r="BU81" s="778">
        <v>15.3184158666614</v>
      </c>
      <c r="BV81" s="778">
        <v>20.2337090247079</v>
      </c>
      <c r="BW81" s="848">
        <v>17.0249074363471</v>
      </c>
      <c r="BX81" s="847">
        <f ca="1">AX81</f>
        <v>13.7608</v>
      </c>
      <c r="BY81" s="778">
        <v>6.55210704601697</v>
      </c>
      <c r="BZ81" s="778">
        <v>7.58057147914367</v>
      </c>
      <c r="CA81" s="778"/>
      <c r="CB81" s="778">
        <v>15.7600485469973</v>
      </c>
      <c r="CC81" s="848">
        <v>13.1807660592666</v>
      </c>
      <c r="CD81" s="847">
        <f ca="1">BD81</f>
        <v>12.475</v>
      </c>
      <c r="CE81" s="778">
        <v>6.6876218938895</v>
      </c>
      <c r="CF81" s="778">
        <v>13.0119608316293</v>
      </c>
      <c r="CG81" s="778">
        <v>12.4521138558247</v>
      </c>
      <c r="CH81" s="778">
        <v>14.1638045774507</v>
      </c>
      <c r="CI81" s="848">
        <v>11.7889497648763</v>
      </c>
    </row>
    <row r="82" ht="14.25" customHeight="1" spans="1:87" x14ac:dyDescent="0.25">
      <c r="A82" s="16"/>
      <c r="B82" s="16"/>
      <c r="C82" s="16" t="s">
        <v>921</v>
      </c>
      <c r="D82" s="16"/>
      <c r="E82" s="724">
        <f t="shared" ref="E82:H82" si="39" ca="1">AVERAGE(E86,E90)</f>
        <v>20.103998318150133</v>
      </c>
      <c r="F82" s="724">
        <f ca="1">AVERAGE(F86,F90)</f>
        <v>16.997209724820074</v>
      </c>
      <c r="G82" s="724">
        <f ca="1">AVERAGE(G86,G90)</f>
        <v>9.076301266902977</v>
      </c>
      <c r="H82" s="724">
        <f ca="1">AVERAGE(H86,H90)</f>
        <v>3.8575153583678086</v>
      </c>
      <c r="I82" s="84">
        <f ca="1">IF(I81+1=5,1,I81+1)</f>
        <v>3</v>
      </c>
      <c r="J82" s="5">
        <f ca="1">IF(I82=1,J81+1,J81)</f>
        <v>2022</v>
      </c>
      <c r="K82" s="345" t="str">
        <f ca="1">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 ca="1">$K82</f>
        <v>3Q22</v>
      </c>
      <c r="AL82" s="847">
        <f ca="1">L82</f>
        <v>18.6243</v>
      </c>
      <c r="AM82" s="778">
        <v>18.285283104649</v>
      </c>
      <c r="AN82" s="778">
        <v>15.531229783089</v>
      </c>
      <c r="AO82" s="778">
        <v>18.4342230802955</v>
      </c>
      <c r="AP82" s="778">
        <v>15.7918506010747</v>
      </c>
      <c r="AQ82" s="848">
        <v>13.3630724097093</v>
      </c>
      <c r="AR82" s="847">
        <f ca="1">R82</f>
        <v>18.5239</v>
      </c>
      <c r="AS82" s="778">
        <v>18.0372200865908</v>
      </c>
      <c r="AT82" s="778">
        <v>18.548904045644</v>
      </c>
      <c r="AU82" s="778">
        <v>17.3009847075473</v>
      </c>
      <c r="AV82" s="778">
        <v>15.0214839738927</v>
      </c>
      <c r="AW82" s="848">
        <v>12.1266380876433</v>
      </c>
      <c r="AX82" s="847">
        <f ca="1">X82</f>
        <v>12.4247</v>
      </c>
      <c r="AY82" s="778">
        <v>12.7963238557254</v>
      </c>
      <c r="AZ82" s="778">
        <v>14.3983930880516</v>
      </c>
      <c r="BA82" s="778">
        <v>11.0784790142357</v>
      </c>
      <c r="BB82" s="778">
        <v>11.7401868085495</v>
      </c>
      <c r="BC82" s="848">
        <v>10.1213801363892</v>
      </c>
      <c r="BD82" s="847">
        <f ca="1">AD82</f>
        <v>11.7318</v>
      </c>
      <c r="BE82" s="778">
        <v>12.7838345671624</v>
      </c>
      <c r="BF82" s="778">
        <v>15.5062457521629</v>
      </c>
      <c r="BG82" s="778">
        <v>11.4931908863573</v>
      </c>
      <c r="BH82" s="778">
        <v>12.2156576237082</v>
      </c>
      <c r="BI82" s="848">
        <v>8.94832314922583</v>
      </c>
      <c r="BJ82" s="16"/>
      <c r="BK82" s="849" t="str">
        <f ca="1">$K82</f>
        <v>3Q22</v>
      </c>
      <c r="BL82" s="847">
        <f ca="1">AL82</f>
        <v>18.6243</v>
      </c>
      <c r="BM82" s="778">
        <v>11.2645577634905</v>
      </c>
      <c r="BN82" s="778">
        <v>16.9769983363012</v>
      </c>
      <c r="BO82" s="778">
        <v>14.6397946127696</v>
      </c>
      <c r="BP82" s="778">
        <v>18.4969909334805</v>
      </c>
      <c r="BQ82" s="848">
        <v>17.0383556428308</v>
      </c>
      <c r="BR82" s="847">
        <f ca="1">AR82</f>
        <v>18.5239</v>
      </c>
      <c r="BS82" s="778">
        <v>11.0988919387388</v>
      </c>
      <c r="BT82" s="778">
        <v>17.1678038497184</v>
      </c>
      <c r="BU82" s="778">
        <v>15.3184158666614</v>
      </c>
      <c r="BV82" s="778">
        <v>20.2337090247079</v>
      </c>
      <c r="BW82" s="848">
        <v>17.0249074363471</v>
      </c>
      <c r="BX82" s="847">
        <f ca="1">AX82</f>
        <v>12.4247</v>
      </c>
      <c r="BY82" s="778">
        <v>6.55210704601697</v>
      </c>
      <c r="BZ82" s="778">
        <v>7.58057147914367</v>
      </c>
      <c r="CA82" s="778"/>
      <c r="CB82" s="778">
        <v>15.7600485469973</v>
      </c>
      <c r="CC82" s="848">
        <v>13.1807660592666</v>
      </c>
      <c r="CD82" s="847">
        <f ca="1">BD82</f>
        <v>11.7318</v>
      </c>
      <c r="CE82" s="778">
        <v>6.6876218938895</v>
      </c>
      <c r="CF82" s="778">
        <v>13.0119608316293</v>
      </c>
      <c r="CG82" s="778">
        <v>12.4521138558247</v>
      </c>
      <c r="CH82" s="778">
        <v>14.1638045774507</v>
      </c>
      <c r="CI82" s="848">
        <v>11.7889497648763</v>
      </c>
    </row>
    <row r="83" ht="14.25" customHeight="1" spans="1:87" x14ac:dyDescent="0.25">
      <c r="A83" s="16"/>
      <c r="B83" s="16"/>
      <c r="C83" s="16" t="s">
        <v>922</v>
      </c>
      <c r="D83" s="16"/>
      <c r="E83" s="724">
        <f t="shared" ref="E83:H83" si="40" ca="1">AVERAGE(E87,E91)</f>
        <v>16.107894681806094</v>
      </c>
      <c r="F83" s="724">
        <f ca="1">AVERAGE(F87,F91)</f>
        <v>15.30298364494367</v>
      </c>
      <c r="G83" s="724">
        <f ca="1">AVERAGE(G87,G91)</f>
        <v>9.975123228525447</v>
      </c>
      <c r="H83" s="724">
        <f ca="1">AVERAGE(H87,H91)</f>
        <v>9.37575884948865</v>
      </c>
      <c r="I83" s="84">
        <f ca="1">IF(I82=4,1,I82+1)</f>
        <v>4</v>
      </c>
      <c r="J83" s="5">
        <f ca="1">IF(I83=1,J82+1,J82)</f>
        <v>2022</v>
      </c>
      <c r="K83" s="345" t="str">
        <f ca="1">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 ca="1">$K83</f>
        <v>4Q22</v>
      </c>
      <c r="AL83" s="847">
        <f ca="1">L83</f>
        <v>21.1868</v>
      </c>
      <c r="AM83" s="778">
        <v>18.285283104649</v>
      </c>
      <c r="AN83" s="778">
        <v>15.531229783089</v>
      </c>
      <c r="AO83" s="778">
        <v>18.4342230802955</v>
      </c>
      <c r="AP83" s="778">
        <v>15.7918506010747</v>
      </c>
      <c r="AQ83" s="848">
        <v>13.3630724097093</v>
      </c>
      <c r="AR83" s="847">
        <f ca="1">R83</f>
        <v>19.582</v>
      </c>
      <c r="AS83" s="778">
        <v>18.0372200865908</v>
      </c>
      <c r="AT83" s="778">
        <v>18.548904045644</v>
      </c>
      <c r="AU83" s="778">
        <v>17.3009847075473</v>
      </c>
      <c r="AV83" s="778">
        <v>15.0214839738927</v>
      </c>
      <c r="AW83" s="848">
        <v>12.1266380876433</v>
      </c>
      <c r="AX83" s="847">
        <f ca="1">X83</f>
        <v>14.012</v>
      </c>
      <c r="AY83" s="778">
        <v>12.7963238557254</v>
      </c>
      <c r="AZ83" s="778">
        <v>14.3983930880516</v>
      </c>
      <c r="BA83" s="778">
        <v>11.0784790142357</v>
      </c>
      <c r="BB83" s="778">
        <v>11.7401868085495</v>
      </c>
      <c r="BC83" s="848">
        <v>10.1213801363892</v>
      </c>
      <c r="BD83" s="847">
        <f ca="1">AD83</f>
        <v>13.2317</v>
      </c>
      <c r="BE83" s="778">
        <v>12.7838345671624</v>
      </c>
      <c r="BF83" s="778">
        <v>15.5062457521629</v>
      </c>
      <c r="BG83" s="778">
        <v>11.4931908863573</v>
      </c>
      <c r="BH83" s="778">
        <v>12.2156576237082</v>
      </c>
      <c r="BI83" s="848">
        <v>8.94832314922583</v>
      </c>
      <c r="BJ83" s="16"/>
      <c r="BK83" s="849" t="str">
        <f ca="1">$K83</f>
        <v>4Q22</v>
      </c>
      <c r="BL83" s="847">
        <f ca="1">AL83</f>
        <v>21.1868</v>
      </c>
      <c r="BM83" s="778">
        <v>11.2645577634905</v>
      </c>
      <c r="BN83" s="778">
        <v>16.9769983363012</v>
      </c>
      <c r="BO83" s="778">
        <v>14.6397946127696</v>
      </c>
      <c r="BP83" s="778">
        <v>18.4969909334805</v>
      </c>
      <c r="BQ83" s="848">
        <v>17.0383556428308</v>
      </c>
      <c r="BR83" s="847">
        <f ca="1">AR83</f>
        <v>19.582</v>
      </c>
      <c r="BS83" s="778">
        <v>11.0988919387388</v>
      </c>
      <c r="BT83" s="778">
        <v>17.1678038497184</v>
      </c>
      <c r="BU83" s="778">
        <v>15.3184158666614</v>
      </c>
      <c r="BV83" s="778">
        <v>20.2337090247079</v>
      </c>
      <c r="BW83" s="848">
        <v>17.0249074363471</v>
      </c>
      <c r="BX83" s="847">
        <f ca="1">AX83</f>
        <v>14.012</v>
      </c>
      <c r="BY83" s="778">
        <v>6.55210704601697</v>
      </c>
      <c r="BZ83" s="778">
        <v>7.58057147914367</v>
      </c>
      <c r="CA83" s="778"/>
      <c r="CB83" s="778">
        <v>15.7600485469973</v>
      </c>
      <c r="CC83" s="848">
        <v>13.1807660592666</v>
      </c>
      <c r="CD83" s="847">
        <f ca="1">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923</v>
      </c>
      <c r="D84" s="16"/>
      <c r="E84" s="724">
        <f t="shared" ref="E84:H84" si="41" ca="1">AVERAGE(E88,E92)</f>
        <v>30.136895572954842</v>
      </c>
      <c r="F84" s="724">
        <f ca="1">AVERAGE(F88,F92)</f>
        <v>16.117007849523496</v>
      </c>
      <c r="G84" s="724">
        <f ca="1">AVERAGE(G88,G92)</f>
        <v>10.637190256202512</v>
      </c>
      <c r="H84" s="724">
        <f ca="1">AVERAGE(H88,H92)</f>
        <v>9.995452299174545</v>
      </c>
      <c r="I84" s="84">
        <f ca="1">I80</f>
        <v>1</v>
      </c>
      <c r="J84" s="5">
        <f ca="1">IF(I84=1,J83+1,J83)</f>
        <v>2023</v>
      </c>
      <c r="K84" s="345" t="str">
        <f ca="1">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 ca="1">$K84</f>
        <v>1Q23</v>
      </c>
      <c r="AL84" s="847">
        <f ca="1">L84</f>
        <v>18.6831</v>
      </c>
      <c r="AM84" s="778">
        <v>18.285283104649</v>
      </c>
      <c r="AN84" s="778">
        <v>15.531229783089</v>
      </c>
      <c r="AO84" s="778">
        <v>18.4342230802955</v>
      </c>
      <c r="AP84" s="778">
        <v>15.7918506010747</v>
      </c>
      <c r="AQ84" s="848">
        <v>13.3630724097093</v>
      </c>
      <c r="AR84" s="847">
        <f ca="1">R84</f>
        <v>17.5443</v>
      </c>
      <c r="AS84" s="778">
        <v>18.0372200865908</v>
      </c>
      <c r="AT84" s="778">
        <v>18.548904045644</v>
      </c>
      <c r="AU84" s="778">
        <v>17.3009847075473</v>
      </c>
      <c r="AV84" s="778">
        <v>15.0214839738927</v>
      </c>
      <c r="AW84" s="848">
        <v>12.1266380876433</v>
      </c>
      <c r="AX84" s="847">
        <f ca="1">X84</f>
        <v>12.5499</v>
      </c>
      <c r="AY84" s="778">
        <v>12.7963238557254</v>
      </c>
      <c r="AZ84" s="778">
        <v>14.3983930880516</v>
      </c>
      <c r="BA84" s="778">
        <v>11.0784790142357</v>
      </c>
      <c r="BB84" s="778">
        <v>11.7401868085495</v>
      </c>
      <c r="BC84" s="848">
        <v>10.1213801363892</v>
      </c>
      <c r="BD84" s="847">
        <f ca="1">AD84</f>
        <v>12.047</v>
      </c>
      <c r="BE84" s="778">
        <v>12.7838345671624</v>
      </c>
      <c r="BF84" s="778">
        <v>15.5062457521629</v>
      </c>
      <c r="BG84" s="778">
        <v>11.4931908863573</v>
      </c>
      <c r="BH84" s="778">
        <v>12.2156576237082</v>
      </c>
      <c r="BI84" s="848">
        <v>8.94832314922583</v>
      </c>
      <c r="BJ84" s="16"/>
      <c r="BK84" s="849" t="str">
        <f ca="1">$K84</f>
        <v>1Q23</v>
      </c>
      <c r="BL84" s="847">
        <f ca="1">AL84</f>
        <v>18.6831</v>
      </c>
      <c r="BM84" s="778">
        <v>11.2645577634905</v>
      </c>
      <c r="BN84" s="778">
        <v>16.9769983363012</v>
      </c>
      <c r="BO84" s="778">
        <v>14.6397946127696</v>
      </c>
      <c r="BP84" s="778">
        <v>18.4969909334805</v>
      </c>
      <c r="BQ84" s="848">
        <v>17.0383556428308</v>
      </c>
      <c r="BR84" s="847">
        <f ca="1">AR84</f>
        <v>17.5443</v>
      </c>
      <c r="BS84" s="778">
        <v>11.0988919387388</v>
      </c>
      <c r="BT84" s="778">
        <v>17.1678038497184</v>
      </c>
      <c r="BU84" s="778">
        <v>15.3184158666614</v>
      </c>
      <c r="BV84" s="778">
        <v>20.2337090247079</v>
      </c>
      <c r="BW84" s="848">
        <v>17.0249074363471</v>
      </c>
      <c r="BX84" s="847">
        <f ca="1">AX84</f>
        <v>12.5499</v>
      </c>
      <c r="BY84" s="778">
        <v>6.55210704601697</v>
      </c>
      <c r="BZ84" s="778">
        <v>7.58057147914367</v>
      </c>
      <c r="CA84" s="778"/>
      <c r="CB84" s="778">
        <v>15.7600485469973</v>
      </c>
      <c r="CC84" s="848">
        <v>13.1807660592666</v>
      </c>
      <c r="CD84" s="847">
        <f ca="1">BD84</f>
        <v>12.047</v>
      </c>
      <c r="CE84" s="778">
        <v>6.6876218938895</v>
      </c>
      <c r="CF84" s="778">
        <v>13.0119608316293</v>
      </c>
      <c r="CG84" s="778">
        <v>12.4521138558247</v>
      </c>
      <c r="CH84" s="778">
        <v>14.1638045774507</v>
      </c>
      <c r="CI84" s="848">
        <v>11.7889497648763</v>
      </c>
    </row>
    <row r="85" ht="14.25" customHeight="1" spans="1:87" x14ac:dyDescent="0.25">
      <c r="A85" s="16"/>
      <c r="B85" s="16"/>
      <c r="C85" s="16" t="s">
        <v>924</v>
      </c>
      <c r="D85" s="16"/>
      <c r="E85" s="724">
        <f ca="1">AVERAGE(BM8:BQ35)</f>
        <v>19.419899684661807</v>
      </c>
      <c r="F85" s="724">
        <f ca="1">AVERAGE(BS8:BW35)</f>
        <v>16.743680586508308</v>
      </c>
      <c r="G85" s="724">
        <f ca="1">AVERAGE(BY8:CC35)</f>
        <v>9.540420082667024</v>
      </c>
      <c r="H85" s="724">
        <f ca="1">AVERAGE(CE8:CI35)</f>
        <v>9.363814673822663</v>
      </c>
      <c r="I85" s="84">
        <f ca="1">IF(I84=4,1,I84+1)</f>
        <v>2</v>
      </c>
      <c r="J85" s="5">
        <f ca="1">IF(I85=1,J84+1,J84)</f>
        <v>2023</v>
      </c>
      <c r="K85" s="345" t="str">
        <f ca="1">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925</v>
      </c>
      <c r="D86" s="16"/>
      <c r="E86" s="724">
        <f ca="1">AVERAGE(BM8:BQ19)</f>
        <v>25.08153198498405</v>
      </c>
      <c r="F86" s="724">
        <f ca="1">AVERAGE(BS8:BW19)</f>
        <v>19.390935509155117</v>
      </c>
      <c r="G86" s="724">
        <f ca="1">AVERAGE(BY8:CC19)</f>
        <v>9.982036835170295</v>
      </c>
      <c r="H86" s="724">
        <f ca="1">AVERAGE(CE8:CI19)</f>
      </c>
      <c r="I86" s="84"/>
      <c r="J86" s="5"/>
      <c r="K86" s="849" t="s">
        <v>531</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 ca="1">$K86</f>
        <v>Current</v>
      </c>
      <c r="AL86" s="847">
        <f ca="1">L86</f>
        <v>19.439</v>
      </c>
      <c r="AM86" s="778">
        <v>18.285283104649</v>
      </c>
      <c r="AN86" s="778">
        <v>15.531229783089</v>
      </c>
      <c r="AO86" s="778">
        <v>18.4342230802955</v>
      </c>
      <c r="AP86" s="778">
        <v>15.7918506010747</v>
      </c>
      <c r="AQ86" s="848">
        <v>13.3630724097093</v>
      </c>
      <c r="AR86" s="847">
        <f ca="1">R86</f>
        <v>18.6398</v>
      </c>
      <c r="AS86" s="778">
        <v>18.0372200865908</v>
      </c>
      <c r="AT86" s="778">
        <v>18.548904045644</v>
      </c>
      <c r="AU86" s="778">
        <v>17.3009847075473</v>
      </c>
      <c r="AV86" s="778">
        <v>15.0214839738927</v>
      </c>
      <c r="AW86" s="848">
        <v>12.1266380876433</v>
      </c>
      <c r="AX86" s="847">
        <f ca="1">X86</f>
        <v>12.9339</v>
      </c>
      <c r="AY86" s="778">
        <v>12.7963238557254</v>
      </c>
      <c r="AZ86" s="778">
        <v>14.3983930880516</v>
      </c>
      <c r="BA86" s="778">
        <v>11.0784790142357</v>
      </c>
      <c r="BB86" s="778">
        <v>11.7401868085495</v>
      </c>
      <c r="BC86" s="848">
        <v>10.1213801363892</v>
      </c>
      <c r="BD86" s="847">
        <f ca="1">AD86</f>
        <v>12.4849</v>
      </c>
      <c r="BE86" s="778">
        <v>12.7838345671624</v>
      </c>
      <c r="BF86" s="778">
        <v>15.5062457521629</v>
      </c>
      <c r="BG86" s="778">
        <v>11.4931908863573</v>
      </c>
      <c r="BH86" s="778">
        <v>12.2156576237082</v>
      </c>
      <c r="BI86" s="848">
        <v>8.94832314922583</v>
      </c>
      <c r="BJ86" s="16"/>
      <c r="BK86" s="849" t="str">
        <f ca="1">$K86</f>
        <v>Current</v>
      </c>
      <c r="BL86" s="847">
        <f ca="1">AL86</f>
        <v>19.439</v>
      </c>
      <c r="BM86" s="778">
        <v>11.2645577634905</v>
      </c>
      <c r="BN86" s="778">
        <v>16.9769983363012</v>
      </c>
      <c r="BO86" s="778">
        <v>14.6397946127696</v>
      </c>
      <c r="BP86" s="778">
        <v>18.4969909334805</v>
      </c>
      <c r="BQ86" s="848">
        <v>17.0383556428308</v>
      </c>
      <c r="BR86" s="847">
        <f ca="1">AR86</f>
        <v>18.6398</v>
      </c>
      <c r="BS86" s="778">
        <v>11.0988919387388</v>
      </c>
      <c r="BT86" s="778">
        <v>17.1678038497184</v>
      </c>
      <c r="BU86" s="778">
        <v>15.3184158666614</v>
      </c>
      <c r="BV86" s="778">
        <v>20.2337090247079</v>
      </c>
      <c r="BW86" s="848">
        <v>17.0249074363471</v>
      </c>
      <c r="BX86" s="847">
        <f ca="1">AX86</f>
        <v>12.9339</v>
      </c>
      <c r="BY86" s="778">
        <v>6.55210704601697</v>
      </c>
      <c r="BZ86" s="778">
        <v>7.58057147914367</v>
      </c>
      <c r="CA86" s="778"/>
      <c r="CB86" s="778">
        <v>15.7600485469973</v>
      </c>
      <c r="CC86" s="848">
        <v>13.1807660592666</v>
      </c>
      <c r="CD86" s="847">
        <f ca="1">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926</v>
      </c>
      <c r="D87" s="16"/>
      <c r="E87" s="724">
        <f ca="1">AVERAGE(BM16:BQ27)</f>
        <v>16.855510192182262</v>
      </c>
      <c r="F87" s="724">
        <f ca="1">AVERAGE(BS16:BW27)</f>
        <v>16.195028889155573</v>
      </c>
      <c r="G87" s="724">
        <f ca="1">AVERAGE(BY16:CC27)</f>
        <v>10.485944434620379</v>
      </c>
      <c r="H87" s="724">
        <f ca="1">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927</v>
      </c>
      <c r="D88" s="16"/>
      <c r="E88" s="724">
        <f ca="1">AVERAGE(BM24:BQ35)</f>
        <v>14.892234450874573</v>
      </c>
      <c r="F88" s="724">
        <f ca="1">AVERAGE(BS24:BW35)</f>
        <v>14.540423109972403</v>
      </c>
      <c r="G88" s="724">
        <f ca="1">AVERAGE(BY24:CC35)</f>
        <v>8.87013984911078</v>
      </c>
      <c r="H88" s="724">
        <f ca="1">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928</v>
      </c>
      <c r="D89" s="16"/>
      <c r="E89" s="724">
        <f ca="1">AVERAGE(BM36:BQ75)</f>
        <v>27.20363279358067</v>
      </c>
      <c r="F89" s="724">
        <f ca="1">AVERAGE(BS36:BW75)</f>
        <v>15.825453469779573</v>
      </c>
      <c r="G89" s="724">
        <f ca="1">AVERAGE(BY36:CC75)</f>
        <v>10.073825521986931</v>
      </c>
      <c r="H89" s="724">
        <f ca="1">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929</v>
      </c>
      <c r="D90" s="16"/>
      <c r="E90" s="724">
        <f ca="1">AVERAGE(BM36:BQ51)</f>
        <v>15.126464651316216</v>
      </c>
      <c r="F90" s="724">
        <f ca="1">AVERAGE(BS36:BW51)</f>
        <v>14.60348394048503</v>
      </c>
      <c r="G90" s="724">
        <f ca="1">AVERAGE(BY36:CC51)</f>
        <v>8.170565698635658</v>
      </c>
      <c r="H90" s="724">
        <f ca="1">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930</v>
      </c>
      <c r="D91" s="16"/>
      <c r="E91" s="724">
        <f ca="1">AVERAGE(BM48:BQ63)</f>
        <v>15.360279171429923</v>
      </c>
      <c r="F91" s="724">
        <f ca="1">AVERAGE(BS48:BW63)</f>
        <v>14.410938400731766</v>
      </c>
      <c r="G91" s="724">
        <f ca="1">AVERAGE(BY48:CC63)</f>
        <v>9.464302022430516</v>
      </c>
      <c r="H91" s="724">
        <f ca="1">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931</v>
      </c>
      <c r="D92" s="16"/>
      <c r="E92" s="724">
        <f ca="1">AVERAGE(BM60:BQ75)</f>
        <v>45.38155669503511</v>
      </c>
      <c r="F92" s="724">
        <f ca="1">AVERAGE(BS60:BW75)</f>
        <v>17.69359258907459</v>
      </c>
      <c r="G92" s="724">
        <f ca="1">AVERAGE(BY60:CC75)</f>
        <v>12.404240663294244</v>
      </c>
      <c r="H92" s="724">
        <f ca="1">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 ca="1">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932</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 ca="1">Summary!T$6</f>
        <v>2023</v>
      </c>
      <c r="E6" s="851">
        <f ca="1">Summary!U$6</f>
        <v>2024</v>
      </c>
      <c r="F6" s="851">
        <f ca="1">Summary!V$6</f>
        <v>2025</v>
      </c>
      <c r="G6" s="851" t="str">
        <f ca="1">Summary!W$6</f>
        <v>2026e</v>
      </c>
      <c r="H6" s="851" t="str">
        <f ca="1">Summary!X$6</f>
        <v>2027e</v>
      </c>
      <c r="I6" s="852" t="str">
        <f ca="1">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 ca="1">Summary!T16</f>
        <v>0.05634632374595072</v>
      </c>
      <c r="E7" s="855">
        <f ca="1">Summary!U16</f>
        <v>0.08751455341797416</v>
      </c>
      <c r="F7" s="855">
        <f ca="1">Summary!V16</f>
        <v>0.12156657030927374</v>
      </c>
      <c r="G7" s="855">
        <f ca="1">Summary!W16</f>
        <v>0.08226262669098001</v>
      </c>
      <c r="H7" s="855">
        <f ca="1">Summary!X16</f>
        <v>-0.10015651845772622</v>
      </c>
      <c r="I7" s="855">
        <f ca="1">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 ca="1">Summary!T28</f>
        <v>0.10295460601046151</v>
      </c>
      <c r="E8" s="855">
        <f ca="1">Summary!U28</f>
        <v>0.10761906081942674</v>
      </c>
      <c r="F8" s="855">
        <f ca="1">Summary!V28</f>
        <v>0.14634273468977757</v>
      </c>
      <c r="G8" s="855">
        <f ca="1">Summary!W28</f>
        <v>0.12496457658903766</v>
      </c>
      <c r="H8" s="855">
        <f ca="1">Summary!X28</f>
        <v>-0.08728209284612236</v>
      </c>
      <c r="I8" s="855">
        <f ca="1">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933</v>
      </c>
      <c r="D9" s="858">
        <f ca="1">Summary!T20</f>
        <v>0.03245032183875808</v>
      </c>
      <c r="E9" s="858">
        <f ca="1">Summary!U20</f>
        <v>0.059336364140378114</v>
      </c>
      <c r="F9" s="858">
        <f ca="1">Summary!V20</f>
        <v>0.06512494837996807</v>
      </c>
      <c r="G9" s="858">
        <f ca="1">Summary!W20</f>
        <v>0.08254750663561979</v>
      </c>
      <c r="H9" s="858">
        <f ca="1">Summary!X20</f>
        <v>-0.0854945918112482</v>
      </c>
      <c r="I9" s="858">
        <f ca="1">Summary!Y20</f>
        <v>-0.08112546103573606</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 ca="1">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 ca="1">'Revenue Build'!$C$32</f>
        <v>Home Improvement Retail Revenue</v>
      </c>
      <c r="D28" s="110"/>
      <c r="E28" s="110"/>
      <c r="F28" s="110"/>
      <c r="G28" s="110"/>
      <c r="H28" s="110"/>
      <c r="I28" s="110"/>
      <c r="J28" s="16"/>
      <c r="K28" s="110" t="str">
        <f ca="1">'Revenue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 ca="1">D6</f>
        <v>2023</v>
      </c>
      <c r="E30" s="851">
        <f ca="1">E6</f>
        <v>2024</v>
      </c>
      <c r="F30" s="851">
        <f ca="1">F6</f>
        <v>2025</v>
      </c>
      <c r="G30" s="851" t="str">
        <f ca="1">G6</f>
        <v>2026e</v>
      </c>
      <c r="H30" s="851" t="str">
        <f ca="1">H6</f>
        <v>2027e</v>
      </c>
      <c r="I30" s="852" t="str">
        <f ca="1">I6</f>
        <v>2028e</v>
      </c>
      <c r="J30" s="16"/>
      <c r="K30" s="190"/>
      <c r="L30" s="851">
        <f t="shared" ref="L30:Q30" si="1" ca="1">D30</f>
        <v>2023</v>
      </c>
      <c r="M30" s="851">
        <f ca="1">E30</f>
        <v>2024</v>
      </c>
      <c r="N30" s="851">
        <f ca="1">F30</f>
        <v>2025</v>
      </c>
      <c r="O30" s="851" t="str">
        <f ca="1">G30</f>
        <v>2026e</v>
      </c>
      <c r="P30" s="851" t="str">
        <f ca="1">H30</f>
        <v>2027e</v>
      </c>
      <c r="Q30" s="852" t="str">
        <f ca="1">I30</f>
        <v>2028e</v>
      </c>
      <c r="R30" s="16"/>
      <c r="S30" s="16"/>
      <c r="T30" s="16"/>
      <c r="U30" s="16"/>
      <c r="V30" s="16"/>
      <c r="W30" s="16"/>
      <c r="X30" s="16"/>
      <c r="Y30" s="16"/>
      <c r="Z30" s="16"/>
      <c r="AA30" s="16"/>
      <c r="AB30" s="16"/>
      <c r="AC30" s="16"/>
      <c r="AD30" s="16"/>
    </row>
    <row r="31" ht="13.5" customHeight="1" spans="1:30" x14ac:dyDescent="0.25">
      <c r="A31" s="17"/>
      <c r="B31" s="16"/>
      <c r="C31" s="859" t="str">
        <f ca="1">C28</f>
        <v>Home Improvement Retail Revenue</v>
      </c>
      <c r="D31" s="832">
        <f t="array" ref="D31" ca="1">INDEX(Revenue_Data_Summary,MATCH($C31,'Revenue Build'!$C$28:$C$49,0),MATCH(Charts!D$30,'Revenue Build'!$C$28:$AG$28,0))</f>
        <v>71309</v>
      </c>
      <c r="E31" s="832">
        <f t="array" ref="E31" ca="1">INDEX(Revenue_Data_Summary,MATCH($C31,'Revenue Build'!$C$28:$C$49,0),MATCH(Charts!E$30,'Revenue Build'!$C$28:$AG$28,0))</f>
        <v>72148</v>
      </c>
      <c r="F31" s="832">
        <f t="array" ref="F31" ca="1">INDEX(Revenue_Data_Summary,MATCH($C31,'Revenue Build'!$C$28:$C$49,0),MATCH(Charts!F$30,'Revenue Build'!$C$28:$AG$28,0))</f>
        <v>89597</v>
      </c>
      <c r="G31" s="832">
        <f t="array" ref="G31" ca="1">INDEX(Revenue_Data_Summary,MATCH($C31,'Revenue Build'!$C$28:$C$49,0),MATCH(Charts!G$30,'Revenue Build'!$C$28:$AG$28,0))</f>
        <v>96682.1</v>
      </c>
      <c r="H31" s="832">
        <f t="array" ref="H31" ca="1">INDEX(Revenue_Data_Summary,MATCH($C31,'Revenue Build'!$C$28:$C$49,0),MATCH(Charts!H$30,'Revenue Build'!$C$28:$AG$28,0))</f>
        <v>105236.82134671998</v>
      </c>
      <c r="I31" s="832">
        <f t="array" ref="I31" ca="1">INDEX(Revenue_Data_Summary,MATCH($C31,'Revenue Build'!$C$28:$C$49,0),MATCH(Charts!I$30,'Revenue Build'!$C$28:$AG$28,0))</f>
        <v>107341.55777365438</v>
      </c>
      <c r="J31" s="16"/>
      <c r="K31" s="859" t="str">
        <f ca="1">K28</f>
        <v>Total Company Revenue</v>
      </c>
      <c r="L31" s="832">
        <f t="array" ref="L31" ca="1">INDEX(Revenue_Data_Summary,MATCH($K31,'Revenue Build'!$C$28:$C$49,0),MATCH(Charts!L$30,'Revenue Build'!$C$28:$AG$28,0))</f>
        <v>71309</v>
      </c>
      <c r="M31" s="832">
        <f t="array" ref="M31" ca="1">INDEX(Revenue_Data_Summary,MATCH($K31,'Revenue Build'!$C$28:$C$49,0),MATCH(Charts!M$30,'Revenue Build'!$C$28:$AG$28,0))</f>
        <v>72148</v>
      </c>
      <c r="N31" s="832">
        <f t="array" ref="N31" ca="1">INDEX(Revenue_Data_Summary,MATCH($K31,'Revenue Build'!$C$28:$C$49,0),MATCH(Charts!N$30,'Revenue Build'!$C$28:$AG$28,0))</f>
        <v>89597</v>
      </c>
      <c r="O31" s="832">
        <f t="array" ref="O31" ca="1">INDEX(Revenue_Data_Summary,MATCH($K31,'Revenue Build'!$C$28:$C$49,0),MATCH(Charts!O$30,'Revenue Build'!$C$28:$AG$28,0))</f>
        <v>96682.1</v>
      </c>
      <c r="P31" s="832">
        <f t="array" ref="P31" ca="1">INDEX(Revenue_Data_Summary,MATCH($K31,'Revenue Build'!$C$28:$C$49,0),MATCH(Charts!P$30,'Revenue Build'!$C$28:$AG$28,0))</f>
        <v>105236.82134671998</v>
      </c>
      <c r="Q31" s="832">
        <f t="array" ref="Q31" ca="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934</v>
      </c>
      <c r="D32" s="860">
        <v>0</v>
      </c>
      <c r="E32" s="861">
        <f t="shared" ref="E32:I32" si="2" ca="1">E31/D31-1</f>
        <v>0.01176569577472697</v>
      </c>
      <c r="F32" s="861">
        <f ca="1">F31/E31-1</f>
        <v>0.2418500859344681</v>
      </c>
      <c r="G32" s="861">
        <f ca="1">G31/F31-1</f>
        <v>0.07907742446733712</v>
      </c>
      <c r="H32" s="861">
        <f ca="1">H31/G31-1</f>
        <v>0.08848299061273979</v>
      </c>
      <c r="I32" s="861">
        <f ca="1">I31/H31-1</f>
        <v>0.020000000000000018</v>
      </c>
      <c r="J32" s="16"/>
      <c r="K32" s="857" t="s">
        <v>934</v>
      </c>
      <c r="L32" s="860">
        <v>0</v>
      </c>
      <c r="M32" s="861">
        <f t="shared" ref="M32:Q32" si="3" ca="1">M31/L31-1</f>
        <v>0.01176569577472697</v>
      </c>
      <c r="N32" s="861">
        <f ca="1">N31/M31-1</f>
        <v>0.2418500859344681</v>
      </c>
      <c r="O32" s="861">
        <f ca="1">O31/N31-1</f>
        <v>0.07907742446733712</v>
      </c>
      <c r="P32" s="861">
        <f ca="1">P31/O31-1</f>
        <v>0.08848299061273979</v>
      </c>
      <c r="Q32" s="861">
        <f ca="1">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 ca="1">'Revenue Build'!$C$35</f>
        <v>Segment 2 Revenue</v>
      </c>
      <c r="D48" s="110"/>
      <c r="E48" s="110"/>
      <c r="F48" s="110"/>
      <c r="G48" s="110"/>
      <c r="H48" s="110"/>
      <c r="I48" s="110"/>
      <c r="J48" s="16"/>
      <c r="K48" s="110" t="str">
        <f ca="1">'Revenue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 ca="1">D30</f>
        <v>2023</v>
      </c>
      <c r="E50" s="851">
        <f ca="1">E30</f>
        <v>2024</v>
      </c>
      <c r="F50" s="851">
        <f ca="1">F30</f>
        <v>2025</v>
      </c>
      <c r="G50" s="851" t="str">
        <f ca="1">G30</f>
        <v>2026e</v>
      </c>
      <c r="H50" s="851" t="str">
        <f ca="1">H30</f>
        <v>2027e</v>
      </c>
      <c r="I50" s="852" t="str">
        <f ca="1">I30</f>
        <v>2028e</v>
      </c>
      <c r="J50" s="16"/>
      <c r="K50" s="190"/>
      <c r="L50" s="851">
        <f t="shared" ref="L50:Q50" si="5" ca="1">L30</f>
        <v>2023</v>
      </c>
      <c r="M50" s="851">
        <f ca="1">M30</f>
        <v>2024</v>
      </c>
      <c r="N50" s="851">
        <f ca="1">N30</f>
        <v>2025</v>
      </c>
      <c r="O50" s="851" t="str">
        <f ca="1">O30</f>
        <v>2026e</v>
      </c>
      <c r="P50" s="851" t="str">
        <f ca="1">P30</f>
        <v>2027e</v>
      </c>
      <c r="Q50" s="852" t="str">
        <f ca="1">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 ca="1">C48</f>
        <v>Segment 2 Revenue</v>
      </c>
      <c r="D51" s="832">
        <f t="array" ref="D51" ca="1">INDEX(Revenue_Data_Summary,MATCH($C51,'Revenue Build'!$C$28:$C$49,0),MATCH(Charts!D$50,'Revenue Build'!$C$28:$AG$28,0))</f>
        <v>0</v>
      </c>
      <c r="E51" s="832">
        <f t="array" ref="E51" ca="1">INDEX(Revenue_Data_Summary,MATCH($C51,'Revenue Build'!$C$28:$C$49,0),MATCH(Charts!E$50,'Revenue Build'!$C$28:$AG$28,0))</f>
        <v>0</v>
      </c>
      <c r="F51" s="832">
        <f t="array" ref="F51" ca="1">INDEX(Revenue_Data_Summary,MATCH($C51,'Revenue Build'!$C$28:$C$49,0),MATCH(Charts!F$50,'Revenue Build'!$C$28:$AG$28,0))</f>
        <v>0</v>
      </c>
      <c r="G51" s="832">
        <f t="array" ref="G51" ca="1">INDEX(Revenue_Data_Summary,MATCH($C51,'Revenue Build'!$C$28:$C$49,0),MATCH(Charts!G$50,'Revenue Build'!$C$28:$AG$28,0))</f>
        <v>0</v>
      </c>
      <c r="H51" s="832">
        <f t="array" ref="H51" ca="1">INDEX(Revenue_Data_Summary,MATCH($C51,'Revenue Build'!$C$28:$C$49,0),MATCH(Charts!H$50,'Revenue Build'!$C$28:$AG$28,0))</f>
        <v>0</v>
      </c>
      <c r="I51" s="832">
        <f t="array" ref="I51" ca="1">INDEX(Revenue_Data_Summary,MATCH($C51,'Revenue Build'!$C$28:$C$49,0),MATCH(Charts!I$50,'Revenue Build'!$C$28:$AG$28,0))</f>
        <v>0</v>
      </c>
      <c r="J51" s="16"/>
      <c r="K51" s="859" t="str">
        <f ca="1">K48</f>
        <v>Segment 5 Revenue</v>
      </c>
      <c r="L51" s="832">
        <f t="array" ref="L51" ca="1">INDEX(Revenue_Data_Summary,MATCH($K51,'Revenue Build'!$C$28:$C$49,0),MATCH(Charts!L$50,'Revenue Build'!$C$28:$AG$28,0))</f>
        <v>0</v>
      </c>
      <c r="M51" s="832">
        <f t="array" ref="M51" ca="1">INDEX(Revenue_Data_Summary,MATCH($K51,'Revenue Build'!$C$28:$C$49,0),MATCH(Charts!M$50,'Revenue Build'!$C$28:$AG$28,0))</f>
        <v>0</v>
      </c>
      <c r="N51" s="832">
        <f t="array" ref="N51" ca="1">INDEX(Revenue_Data_Summary,MATCH($K51,'Revenue Build'!$C$28:$C$49,0),MATCH(Charts!N$50,'Revenue Build'!$C$28:$AG$28,0))</f>
        <v>0</v>
      </c>
      <c r="O51" s="832">
        <f t="array" ref="O51" ca="1">INDEX(Revenue_Data_Summary,MATCH($K51,'Revenue Build'!$C$28:$C$49,0),MATCH(Charts!O$50,'Revenue Build'!$C$28:$AG$28,0))</f>
        <v>0</v>
      </c>
      <c r="P51" s="832">
        <f t="array" ref="P51" ca="1">INDEX(Revenue_Data_Summary,MATCH($K51,'Revenue Build'!$C$28:$C$49,0),MATCH(Charts!P$50,'Revenue Build'!$C$28:$AG$28,0))</f>
        <v>0</v>
      </c>
      <c r="Q51" s="832">
        <f t="array" ref="Q51" ca="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934</v>
      </c>
      <c r="D52" s="860">
        <v>0</v>
      </c>
      <c r="E52" s="861">
        <f ca="1">E51/D51-1</f>
      </c>
      <c r="F52" s="861">
        <f ca="1">F51/E51-1</f>
      </c>
      <c r="G52" s="861">
        <f ca="1">G51/F51-1</f>
      </c>
      <c r="H52" s="861">
        <f ca="1">H51/G51-1</f>
      </c>
      <c r="I52" s="861">
        <f ca="1">I51/H51-1</f>
      </c>
      <c r="J52" s="16"/>
      <c r="K52" s="857" t="s">
        <v>934</v>
      </c>
      <c r="L52" s="860">
        <v>0</v>
      </c>
      <c r="M52" s="861">
        <v>0</v>
      </c>
      <c r="N52" s="861">
        <f ca="1">N51/M51-1</f>
      </c>
      <c r="O52" s="861">
        <f ca="1">O51/N51-1</f>
      </c>
      <c r="P52" s="861">
        <f ca="1">P51/O51-1</f>
      </c>
      <c r="Q52" s="861">
        <f ca="1">Q51/P51-1</f>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 ca="1">Ticker&amp;" - Free Cash Flow"</f>
        <v>LOW - Free Cash Flow</v>
      </c>
      <c r="D68" s="110"/>
      <c r="E68" s="110"/>
      <c r="F68" s="110"/>
      <c r="G68" s="110"/>
      <c r="H68" s="110"/>
      <c r="I68" s="110"/>
      <c r="J68" s="199"/>
      <c r="K68" s="110" t="str">
        <f ca="1">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6" ca="1">D50</f>
        <v>2023</v>
      </c>
      <c r="E70" s="851">
        <f ca="1">E50</f>
        <v>2024</v>
      </c>
      <c r="F70" s="851">
        <f ca="1">F50</f>
        <v>2025</v>
      </c>
      <c r="G70" s="851" t="str">
        <f ca="1">G50</f>
        <v>2026e</v>
      </c>
      <c r="H70" s="851" t="str">
        <f ca="1">H50</f>
        <v>2027e</v>
      </c>
      <c r="I70" s="852" t="str">
        <f ca="1">I50</f>
        <v>2028e</v>
      </c>
      <c r="J70" s="16"/>
      <c r="K70" s="190"/>
      <c r="L70" s="851">
        <f t="shared" ref="L70:Q70" si="7" ca="1">L50</f>
        <v>2023</v>
      </c>
      <c r="M70" s="851">
        <f ca="1">M50</f>
        <v>2024</v>
      </c>
      <c r="N70" s="851">
        <f ca="1">N50</f>
        <v>2025</v>
      </c>
      <c r="O70" s="851" t="str">
        <f ca="1">O50</f>
        <v>2026e</v>
      </c>
      <c r="P70" s="851" t="str">
        <f ca="1">P50</f>
        <v>2027e</v>
      </c>
      <c r="Q70" s="852" t="str">
        <f ca="1">Q50</f>
        <v>2028e</v>
      </c>
      <c r="R70" s="16"/>
      <c r="S70" s="16"/>
      <c r="T70" s="16"/>
      <c r="U70" s="16"/>
      <c r="V70" s="16"/>
      <c r="W70" s="16"/>
      <c r="X70" s="16"/>
      <c r="Y70" s="16"/>
      <c r="Z70" s="16"/>
      <c r="AA70" s="16"/>
      <c r="AB70" s="16"/>
      <c r="AC70" s="16"/>
      <c r="AD70" s="16"/>
    </row>
    <row r="71" ht="13.5" customHeight="1" spans="1:30" x14ac:dyDescent="0.25">
      <c r="A71" s="17"/>
      <c r="B71" s="16"/>
      <c r="C71" s="854" t="str">
        <f ca="1">Model!C112</f>
        <v>Free Cash Flow (FCF)</v>
      </c>
      <c r="D71" s="832">
        <f t="array" ref="D71" ca="1">INDEX(Data,MATCH($C71,Line_Items,0),MATCH(Charts!D$70,Fiscal_Periods,0))</f>
        <v>3799</v>
      </c>
      <c r="E71" s="832">
        <f t="array" ref="E71" ca="1">INDEX(Data,MATCH($C71,Line_Items,0),MATCH(Charts!E$70,Fiscal_Periods,0))</f>
        <v>2821</v>
      </c>
      <c r="F71" s="832">
        <f t="array" ref="F71" ca="1">INDEX(Data,MATCH($C71,Line_Items,0),MATCH(Charts!F$70,Fiscal_Periods,0))</f>
        <v>5715</v>
      </c>
      <c r="G71" s="832">
        <f ca="1">INDEX(Data,MATCH($C71,Line_Items,0),MATCH(Charts!G$70,Fiscal_Periods,0))</f>
      </c>
      <c r="H71" s="832">
        <f ca="1">INDEX(Data,MATCH($C71,Line_Items,0),MATCH(Charts!H$70,Fiscal_Periods,0))</f>
      </c>
      <c r="I71" s="832">
        <f ca="1">INDEX(Data,MATCH($C71,Line_Items,0),MATCH(Charts!I$70,Fiscal_Periods,0))</f>
      </c>
      <c r="J71" s="16"/>
      <c r="K71" s="854" t="str">
        <f ca="1">Model!C57</f>
        <v>Adj. EPS (Diluted)</v>
      </c>
      <c r="L71" s="862">
        <f t="array" ref="L71" ca="1">INDEX(Data,MATCH($K71,Line_Items,0),MATCH(Charts!L$70,Fiscal_Periods,0))</f>
        <v>5.194244694132335</v>
      </c>
      <c r="M71" s="862">
        <f t="array" ref="M71" ca="1">INDEX(Data,MATCH($K71,Line_Items,0),MATCH(Charts!M$70,Fiscal_Periods,0))</f>
        <v>5.579900124843945</v>
      </c>
      <c r="N71" s="862">
        <f t="array" ref="N71" ca="1">INDEX(Data,MATCH($K71,Line_Items,0),MATCH(Charts!N$70,Fiscal_Periods,0))</f>
        <v>8.875826666666669</v>
      </c>
      <c r="O71" s="862">
        <f ca="1">INDEX(Data,MATCH($K71,Line_Items,0),MATCH(Charts!O$70,Fiscal_Periods,0))</f>
      </c>
      <c r="P71" s="862">
        <f ca="1">INDEX(Data,MATCH($K71,Line_Items,0),MATCH(Charts!P$70,Fiscal_Periods,0))</f>
      </c>
      <c r="Q71" s="862">
        <f ca="1">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934</v>
      </c>
      <c r="D72" s="860">
        <v>0</v>
      </c>
      <c r="E72" s="861">
        <f t="shared" ref="E72:I72" si="8" ca="1">E71/D71-1</f>
        <v>-0.257436167412477</v>
      </c>
      <c r="F72" s="861">
        <f ca="1">F71/E71-1</f>
        <v>1.0258773484579935</v>
      </c>
      <c r="G72" s="861">
        <f ca="1">G71/F71-1</f>
        <v>-1</v>
      </c>
      <c r="H72" s="861">
        <f ca="1">H71/G71-1</f>
      </c>
      <c r="I72" s="861">
        <f ca="1">I71/H71-1</f>
      </c>
      <c r="J72" s="16"/>
      <c r="K72" s="857" t="s">
        <v>934</v>
      </c>
      <c r="L72" s="860">
        <v>0</v>
      </c>
      <c r="M72" s="861">
        <f t="shared" ref="M72:Q72" si="9" ca="1">M71/L71-1</f>
        <v>0.07424668136009549</v>
      </c>
      <c r="N72" s="861">
        <f ca="1">N71/M71-1</f>
        <v>0.5906784114554204</v>
      </c>
      <c r="O72" s="861">
        <f ca="1">O71/N71-1</f>
        <v>-1</v>
      </c>
      <c r="P72" s="861">
        <f ca="1">P71/O71-1</f>
      </c>
      <c r="Q72" s="861">
        <f ca="1">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 ca="1">'Revenue Build'!$C$30</f>
        <v>Total Company Revenue</v>
      </c>
      <c r="D88" s="110"/>
      <c r="E88" s="110"/>
      <c r="F88" s="110"/>
      <c r="G88" s="110"/>
      <c r="H88" s="110"/>
      <c r="I88" s="110"/>
      <c r="J88" s="110"/>
      <c r="K88" s="110"/>
      <c r="L88" s="110"/>
      <c r="M88" s="110"/>
      <c r="N88" s="110"/>
      <c r="O88" s="110"/>
      <c r="P88" s="110"/>
      <c r="Q88" s="110"/>
      <c r="R88" s="841" t="str">
        <f ca="1">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0" ca="1">E90-1</f>
        <v>2019</v>
      </c>
      <c r="E90" s="851">
        <f ca="1">F90-1</f>
        <v>2020</v>
      </c>
      <c r="F90" s="851">
        <f ca="1">G90-1</f>
        <v>2021</v>
      </c>
      <c r="G90" s="851">
        <f ca="1">H90-1</f>
        <v>2022</v>
      </c>
      <c r="H90" s="851">
        <f t="shared" ref="H90:M90" si="11" ca="1">D70</f>
        <v>2023</v>
      </c>
      <c r="I90" s="851">
        <f ca="1">E70</f>
        <v>2024</v>
      </c>
      <c r="J90" s="851">
        <f ca="1">F70</f>
        <v>2025</v>
      </c>
      <c r="K90" s="851" t="str">
        <f ca="1">G70</f>
        <v>2026e</v>
      </c>
      <c r="L90" s="851" t="str">
        <f ca="1">H70</f>
        <v>2027e</v>
      </c>
      <c r="M90" s="851" t="str">
        <f ca="1">I70</f>
        <v>2028e</v>
      </c>
      <c r="N90" s="851" t="str">
        <f ca="1">H90&amp;" YTD"</f>
        <v>2023 YTD</v>
      </c>
      <c r="O90" s="851" t="str">
        <f ca="1">J90&amp;" YTD"</f>
        <v>2025 YTD</v>
      </c>
      <c r="P90" s="851" t="str">
        <f t="shared" ref="P90:Q90" si="12" ca="1">LEFT(G70,4)&amp;" YTD"</f>
        <v>2026 YTD</v>
      </c>
      <c r="Q90" s="852" t="str">
        <f ca="1">LEFT(H70,4)&amp;" YTD"</f>
        <v>2027 YTD</v>
      </c>
      <c r="R90" s="16"/>
      <c r="S90" s="16"/>
      <c r="T90" s="16"/>
      <c r="U90" s="16"/>
      <c r="V90" s="16"/>
      <c r="W90" s="16"/>
      <c r="X90" s="16"/>
      <c r="Y90" s="16"/>
      <c r="Z90" s="16"/>
      <c r="AA90" s="16"/>
      <c r="AB90" s="16"/>
      <c r="AC90" s="16"/>
      <c r="AD90" s="16"/>
    </row>
    <row r="91" ht="13.5" customHeight="1" spans="1:30" x14ac:dyDescent="0.25">
      <c r="A91" s="17"/>
      <c r="B91" s="16"/>
      <c r="C91" s="859" t="str">
        <f ca="1">C88</f>
        <v>Total Company Revenue</v>
      </c>
      <c r="D91" s="863">
        <v>56223</v>
      </c>
      <c r="E91" s="863">
        <v>59074</v>
      </c>
      <c r="F91" s="863">
        <v>65017</v>
      </c>
      <c r="G91" s="863">
        <v>68619</v>
      </c>
      <c r="H91" s="832">
        <f t="array" ref="H91" ca="1">INDEX(Revenue_Data_Summary,MATCH($C91,'Revenue Build'!$C$28:$C$49,0),MATCH(Charts!H$90,'Revenue Build'!$C$28:$AG$28,0))</f>
        <v>71309</v>
      </c>
      <c r="I91" s="832">
        <f t="array" ref="I91" ca="1">INDEX(Revenue_Data_Summary,MATCH($C91,'Revenue Build'!$C$28:$C$49,0),MATCH(Charts!I$90,'Revenue Build'!$C$28:$AG$28,0))</f>
        <v>72148</v>
      </c>
      <c r="J91" s="832">
        <f t="array" ref="J91" ca="1">INDEX(Revenue_Data_Summary,MATCH($C91,'Revenue Build'!$C$28:$C$49,0),MATCH(Charts!J$90,'Revenue Build'!$C$28:$AG$28,0))</f>
        <v>89597</v>
      </c>
      <c r="K91" s="832">
        <f t="array" ref="K91" ca="1">INDEX(Revenue_Data_Summary,MATCH($C91,'Revenue Build'!$C$28:$C$49,0),MATCH(Charts!K$90,'Revenue Build'!$C$28:$AG$28,0))</f>
        <v>96682.1</v>
      </c>
      <c r="L91" s="832">
        <f t="array" ref="L91" ca="1">INDEX(Revenue_Data_Summary,MATCH($C91,'Revenue Build'!$C$28:$C$49,0),MATCH(Charts!L$90,'Revenue Build'!$C$28:$AG$28,0))</f>
        <v>105236.82134671998</v>
      </c>
      <c r="M91" s="832">
        <f t="array" ref="M91" ca="1">INDEX(Revenue_Data_Summary,MATCH($C91,'Revenue Build'!$C$28:$C$49,0),MATCH(Charts!M$90,'Revenue Build'!$C$28:$AG$28,0))</f>
        <v>107341.55777365438</v>
      </c>
      <c r="N91" s="832">
        <f ca="1">IF(Charts!$R$88="1Q",SUM('Revenue Build'!K30),IF(Charts!$R$88="2Q",SUM('Revenue Build'!K30:L30),IF(Charts!$R$88="3Q",SUM('Revenue Build'!K30:M30),IF(Charts!$R$88="4Q",SUM('Revenue Build'!K30:N30),"N/A"))))</f>
        <v>38733</v>
      </c>
      <c r="O91" s="832">
        <f ca="1">IF(Charts!$R$88="1Q",SUM('Revenue Build'!P30),IF(Charts!$R$88="2Q",SUM('Revenue Build'!P30:Q30),IF(Charts!$R$88="3Q",SUM('Revenue Build'!P30:R30),IF(Charts!$R$88="4Q",SUM('Revenue Build'!P30:S30),"N/A"))))</f>
        <v>46977</v>
      </c>
      <c r="P91" s="832">
        <f ca="1">IF(Charts!$R$88="1Q",SUM('Revenue Build'!U30),IF(Charts!$R$88="2Q",SUM('Revenue Build'!U30:V30),IF(Charts!$R$88="3Q",SUM('Revenue Build'!U30:W30),IF(Charts!$R$88="4Q",SUM('Revenue Build'!U30:X30),"N/A"))))</f>
        <v>51992</v>
      </c>
      <c r="Q91" s="832">
        <f ca="1">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934</v>
      </c>
      <c r="D92" s="860">
        <v>0.053</v>
      </c>
      <c r="E92" s="861">
        <f t="shared" ref="E92:M92" si="13" ca="1">E91/D91-1</f>
        <v>0.05070878466108186</v>
      </c>
      <c r="F92" s="861">
        <f ca="1">F91/E91-1</f>
        <v>0.1006026339844941</v>
      </c>
      <c r="G92" s="861">
        <f ca="1">G91/F91-1</f>
        <v>0.055400895150499174</v>
      </c>
      <c r="H92" s="861">
        <f ca="1">H91/G91-1</f>
        <v>0.03920197029977124</v>
      </c>
      <c r="I92" s="861">
        <f ca="1">I91/H91-1</f>
        <v>0.01176569577472697</v>
      </c>
      <c r="J92" s="861">
        <f ca="1">J91/I91-1</f>
        <v>0.2418500859344681</v>
      </c>
      <c r="K92" s="861">
        <f ca="1">K91/J91-1</f>
        <v>0.07907742446733712</v>
      </c>
      <c r="L92" s="861">
        <f ca="1">L91/K91-1</f>
        <v>0.08848299061273979</v>
      </c>
      <c r="M92" s="861">
        <f ca="1">M91/L91-1</f>
        <v>0.020000000000000018</v>
      </c>
      <c r="N92" s="861">
        <v>0.175</v>
      </c>
      <c r="O92" s="861">
        <f t="shared" ref="O92:Q92" si="14" ca="1">O91/N91-1</f>
        <v>0.21284176283789025</v>
      </c>
      <c r="P92" s="861">
        <f ca="1">P91/O91-1</f>
        <v>0.10675436915937597</v>
      </c>
      <c r="Q92" s="861">
        <f ca="1">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935</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 ca="1">'Segment Analysis'!$C$16</f>
        <v>Home Improvement Retail</v>
      </c>
      <c r="E116" s="864" t="str">
        <f ca="1">'Segment Analysis'!$C$17</f>
        <v>Segment 2</v>
      </c>
      <c r="F116" s="864" t="str">
        <f ca="1">'Segment Analysis'!$C$20</f>
        <v>Segment 5</v>
      </c>
      <c r="G116" s="864" t="str">
        <f ca="1">'Segment Analysis'!$C$18</f>
        <v>Segment 3</v>
      </c>
      <c r="H116" s="864" t="str">
        <f ca="1">'Segment Analysis'!$C$19</f>
        <v>Segment 4</v>
      </c>
      <c r="I116" s="865" t="str">
        <f ca="1">'Segment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936</v>
      </c>
      <c r="D117" s="866">
        <f ca="1">'Segment Analysis'!$T$16</f>
        <v>1</v>
      </c>
      <c r="E117" s="867">
        <f ca="1">'Segment Analysis'!$T$17</f>
        <v>1e-12</v>
      </c>
      <c r="F117" s="867">
        <f ca="1">'Segment Analysis'!$T$20</f>
        <v>1e-12</v>
      </c>
      <c r="G117" s="867">
        <f ca="1">'Segment Analysis'!$T$18</f>
        <v>1e-12</v>
      </c>
      <c r="H117" s="867">
        <f ca="1">'Segment Analysis'!$T$19</f>
        <v>1e-12</v>
      </c>
      <c r="I117" s="867">
        <f ca="1">'Segment Analysis'!$T$21</f>
        <v>1e-12</v>
      </c>
      <c r="J117" s="168" t="s">
        <v>937</v>
      </c>
      <c r="K117" s="868">
        <f ca="1">SUM(D117:I117)</f>
        <v>1</v>
      </c>
      <c r="L117" s="16" t="s">
        <v>938</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 ca="1">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5" ca="1">D135+1</f>
        <v>2022</v>
      </c>
      <c r="F135" s="871">
        <f ca="1">E135+1</f>
        <v>2023</v>
      </c>
      <c r="G135" s="871">
        <f ca="1">F135+1</f>
        <v>2024</v>
      </c>
      <c r="H135" s="871">
        <f ca="1">G135+1</f>
        <v>2025</v>
      </c>
      <c r="I135" s="871">
        <f ca="1">H135+1</f>
        <v>2026</v>
      </c>
      <c r="J135" s="871">
        <f ca="1">I135+1</f>
        <v>2027</v>
      </c>
      <c r="K135" s="871">
        <f ca="1">J135+1</f>
        <v>2028</v>
      </c>
      <c r="L135" s="871">
        <f ca="1">K135+1</f>
        <v>2029</v>
      </c>
      <c r="M135" s="871">
        <f ca="1">L135+1</f>
        <v>2030</v>
      </c>
      <c r="N135" s="871">
        <f ca="1">M135+1</f>
        <v>2031</v>
      </c>
      <c r="O135" s="871">
        <f ca="1">N135+1</f>
        <v>2032</v>
      </c>
      <c r="P135" s="871">
        <f ca="1">O135+1</f>
        <v>2033</v>
      </c>
      <c r="Q135" s="872">
        <f ca="1">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939</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940</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941</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942</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943</v>
      </c>
      <c r="D157" s="110"/>
      <c r="E157" s="110"/>
      <c r="F157" s="110"/>
      <c r="G157" s="110"/>
      <c r="H157" s="110"/>
      <c r="I157" s="110"/>
      <c r="J157" s="16"/>
      <c r="K157" s="110" t="s">
        <v>944</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6" ca="1">EDATE(D159,12)</f>
        <v>43100</v>
      </c>
      <c r="F159" s="876">
        <f ca="1">EDATE(E159,12)</f>
        <v>43465</v>
      </c>
      <c r="G159" s="876">
        <f ca="1">EDATE(F159,12)</f>
        <v>43830</v>
      </c>
      <c r="H159" s="876">
        <f ca="1">EDATE(G159,12)</f>
        <v>44196</v>
      </c>
      <c r="I159" s="877">
        <f ca="1">EDATE(H159,12)</f>
        <v>44561</v>
      </c>
      <c r="J159" s="16"/>
      <c r="K159" s="190" t="s">
        <v>945</v>
      </c>
      <c r="L159" s="875">
        <v>41639</v>
      </c>
      <c r="M159" s="876">
        <f t="shared" ref="M159:Q159" si="17" ca="1">EDATE(L159,12)</f>
        <v>42004</v>
      </c>
      <c r="N159" s="876">
        <f ca="1">EDATE(M159,12)</f>
        <v>42369</v>
      </c>
      <c r="O159" s="876">
        <f ca="1">EDATE(N159,12)</f>
        <v>42735</v>
      </c>
      <c r="P159" s="876">
        <f ca="1">EDATE(O159,12)</f>
        <v>43100</v>
      </c>
      <c r="Q159" s="877">
        <f ca="1">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946</v>
      </c>
      <c r="D160" s="863">
        <v>380</v>
      </c>
      <c r="E160" s="863">
        <v>400</v>
      </c>
      <c r="F160" s="863">
        <v>420</v>
      </c>
      <c r="G160" s="863">
        <v>460</v>
      </c>
      <c r="H160" s="863">
        <v>480</v>
      </c>
      <c r="I160" s="863">
        <v>490</v>
      </c>
      <c r="J160" s="16"/>
      <c r="K160" s="857" t="s">
        <v>947</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 ca="1">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948</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949</v>
      </c>
      <c r="E179" s="210" t="s">
        <v>255</v>
      </c>
      <c r="F179" s="210" t="s">
        <v>253</v>
      </c>
      <c r="G179" s="210" t="s">
        <v>252</v>
      </c>
      <c r="H179" s="210" t="s">
        <v>251</v>
      </c>
      <c r="I179" s="16"/>
      <c r="J179" s="16"/>
      <c r="K179" s="16"/>
      <c r="L179" s="16"/>
      <c r="M179" s="16"/>
      <c r="N179" s="239" t="s">
        <v>950</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 ca="1">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18" ca="1">$D$181</f>
        <v>205.899994</v>
      </c>
      <c r="G181" s="127">
        <f ca="1">$D$181</f>
        <v>205.899994</v>
      </c>
      <c r="H181" s="127">
        <f ca="1">$D$181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 ca="1">MAX(D181:D447)*1.1</f>
        <v>231.47700400000002</v>
      </c>
      <c r="P183" s="136">
        <f ca="1">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19" ca="1">MIN(D181:D447)*0.9</f>
        <v>130.6723068</v>
      </c>
      <c r="P184" s="136">
        <f ca="1">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 ca="1">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951</v>
      </c>
      <c r="D4" s="132"/>
      <c r="E4" s="880">
        <f ca="1">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952</v>
      </c>
      <c r="D5" s="16"/>
      <c r="E5" s="881">
        <f ca="1">Current_Date</f>
        <v>45903</v>
      </c>
      <c r="F5" s="16"/>
      <c r="G5" s="841" t="str">
        <f ca="1">Comparables!F10</f>
        <v>LOW</v>
      </c>
      <c r="H5" s="841" t="str">
        <f ca="1">Comparables!F12</f>
        <v>AAPL</v>
      </c>
      <c r="I5" s="841" t="str">
        <f ca="1">Comparables!F13</f>
        <v>FB</v>
      </c>
      <c r="J5" s="841" t="str">
        <f ca="1">Comparables!F14</f>
        <v>MSFT</v>
      </c>
      <c r="K5" s="841" t="str">
        <f ca="1">Comparables!F15</f>
        <v>SNAP</v>
      </c>
      <c r="L5" s="841" t="str">
        <f ca="1">Comparables!F16</f>
        <v>GOOGL</v>
      </c>
      <c r="M5" s="16"/>
      <c r="N5" s="16"/>
      <c r="O5" s="16"/>
      <c r="P5" s="16"/>
      <c r="Q5" s="16"/>
      <c r="R5" s="16"/>
      <c r="S5" s="16"/>
      <c r="T5" s="16"/>
      <c r="U5" s="16"/>
      <c r="V5" s="16"/>
      <c r="W5" s="16"/>
      <c r="X5" s="16"/>
      <c r="Y5" s="16"/>
      <c r="Z5" s="16"/>
    </row>
    <row r="6" ht="13.5" customHeight="1" spans="1:26" x14ac:dyDescent="0.25">
      <c r="A6" s="17"/>
      <c r="B6" s="16"/>
      <c r="C6" s="192" t="s">
        <v>953</v>
      </c>
      <c r="D6" s="131"/>
      <c r="E6" s="882">
        <f ca="1">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 ca="1">"Revenue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954</v>
      </c>
      <c r="D10" s="112"/>
      <c r="E10" s="112"/>
      <c r="F10" s="47"/>
      <c r="G10" s="16"/>
      <c r="H10" s="16"/>
      <c r="I10" s="16"/>
      <c r="J10" s="16"/>
      <c r="K10" s="16"/>
      <c r="L10" s="16"/>
      <c r="M10" s="16"/>
      <c r="N10" s="16"/>
      <c r="O10" s="883" t="s">
        <v>955</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 ca="1">TRANSPOSE(G5:L5)</f>
        <v>LOW</v>
      </c>
      <c r="D12" s="885">
        <f ca="1">Comparables!J10</f>
        <v>0.03688944339654232</v>
      </c>
      <c r="E12" s="886"/>
      <c r="F12" s="16"/>
      <c r="G12" s="16"/>
      <c r="H12" s="16"/>
      <c r="I12" s="16"/>
      <c r="J12" s="16"/>
      <c r="K12" s="16"/>
      <c r="L12" s="16"/>
      <c r="M12" s="16"/>
      <c r="N12" s="16"/>
      <c r="O12" s="884" t="str">
        <f t="shared" ref="O12:P12" si="0" ca="1">C12</f>
        <v>LOW</v>
      </c>
      <c r="P12" s="886">
        <f ca="1">D12</f>
        <v>0.03688944339654232</v>
      </c>
      <c r="Q12" s="886"/>
      <c r="R12" s="16"/>
      <c r="S12" s="16"/>
      <c r="T12" s="16"/>
      <c r="U12" s="16"/>
      <c r="V12" s="16"/>
      <c r="W12" s="16"/>
      <c r="X12" s="16"/>
      <c r="Y12" s="16"/>
      <c r="Z12" s="16"/>
    </row>
    <row r="13" ht="13.5" customHeight="1" spans="1:26" x14ac:dyDescent="0.25">
      <c r="A13" s="17"/>
      <c r="B13" s="641">
        <v>1</v>
      </c>
      <c r="C13" s="737" t="s">
        <v>502</v>
      </c>
      <c r="D13" s="887">
        <f ca="1">Comparables!J12+RAND()/1000000</f>
        <v>0.3334325703484128</v>
      </c>
      <c r="E13" s="888">
        <f ca="1">MEDIAN(D13:D17)</f>
        <v>0.37490925856254487</v>
      </c>
      <c r="F13" s="16"/>
      <c r="G13" s="16"/>
      <c r="H13" s="16"/>
      <c r="I13" s="16"/>
      <c r="J13" s="16"/>
      <c r="K13" s="16"/>
      <c r="L13" s="16"/>
      <c r="M13" s="16"/>
      <c r="N13" s="16"/>
      <c r="O13" s="737" t="str">
        <f t="shared" ref="O13:O17" si="1" ca="1">INDEX($C$13:$C$17,MATCH(P13,$D$13:$D$17,0),1)</f>
        <v>SNAP</v>
      </c>
      <c r="P13" s="888">
        <f t="shared" ref="P13:P17" si="2" ca="1">LARGE($D$13:$D$17,B13)</f>
        <v>0.6779078263987227</v>
      </c>
      <c r="Q13" s="888">
        <f t="shared" ref="Q13:Q17" si="3" ca="1">E13</f>
        <v>0.37490925856254487</v>
      </c>
      <c r="R13" s="888"/>
      <c r="S13" s="16"/>
      <c r="T13" s="16"/>
      <c r="U13" s="16"/>
      <c r="V13" s="16"/>
      <c r="W13" s="16"/>
      <c r="X13" s="16"/>
      <c r="Y13" s="16"/>
      <c r="Z13" s="16"/>
    </row>
    <row r="14" ht="13.5" customHeight="1" spans="1:26" x14ac:dyDescent="0.25">
      <c r="A14" s="17"/>
      <c r="B14" s="16">
        <f t="shared" ref="B14:B17" si="4" ca="1">B13+1</f>
        <v>2</v>
      </c>
      <c r="C14" s="737" t="s">
        <v>505</v>
      </c>
      <c r="D14" s="887">
        <f ca="1">Comparables!J13+RAND()/1000000</f>
        <v>0.3890753872899057</v>
      </c>
      <c r="E14" s="888">
        <f t="shared" ref="E14:E17" si="5" ca="1">E13</f>
        <v>0.37490925856254487</v>
      </c>
      <c r="F14" s="16"/>
      <c r="G14" s="16"/>
      <c r="H14" s="16"/>
      <c r="I14" s="16"/>
      <c r="J14" s="16"/>
      <c r="K14" s="16"/>
      <c r="L14" s="16"/>
      <c r="M14" s="16"/>
      <c r="N14" s="16"/>
      <c r="O14" s="737" t="str">
        <f ca="1">INDEX($C$13:$C$17,MATCH(P14,$D$13:$D$17,0),1)</f>
        <v>FB</v>
      </c>
      <c r="P14" s="888">
        <f ca="1">LARGE($D$13:$D$17,B14)</f>
        <v>0.3890753872899057</v>
      </c>
      <c r="Q14" s="888">
        <f ca="1">E14</f>
        <v>0.37490925856254487</v>
      </c>
      <c r="R14" s="888"/>
      <c r="S14" s="16"/>
      <c r="T14" s="16"/>
      <c r="U14" s="16"/>
      <c r="V14" s="16"/>
      <c r="W14" s="16"/>
      <c r="X14" s="16"/>
      <c r="Y14" s="16"/>
      <c r="Z14" s="16"/>
    </row>
    <row r="15" ht="13.5" customHeight="1" spans="1:26" x14ac:dyDescent="0.25">
      <c r="A15" s="17"/>
      <c r="B15" s="16">
        <f ca="1">B14+1</f>
        <v>3</v>
      </c>
      <c r="C15" s="737" t="s">
        <v>509</v>
      </c>
      <c r="D15" s="887">
        <f ca="1">Comparables!J14+RAND()/1000000</f>
        <v>0.1407100125917993</v>
      </c>
      <c r="E15" s="888">
        <f ca="1">E14</f>
        <v>0.37490925856254487</v>
      </c>
      <c r="F15" s="16"/>
      <c r="G15" s="16"/>
      <c r="H15" s="16"/>
      <c r="I15" s="16"/>
      <c r="J15" s="16"/>
      <c r="K15" s="16"/>
      <c r="L15" s="16"/>
      <c r="M15" s="16"/>
      <c r="N15" s="16"/>
      <c r="O15" s="737" t="str">
        <f ca="1">INDEX($C$13:$C$17,MATCH(P15,$D$13:$D$17,0),1)</f>
        <v>GOOGL</v>
      </c>
      <c r="P15" s="888">
        <f ca="1">LARGE($D$13:$D$17,B15)</f>
        <v>0.37490925856254487</v>
      </c>
      <c r="Q15" s="888">
        <f ca="1">E15</f>
        <v>0.37490925856254487</v>
      </c>
      <c r="R15" s="888"/>
      <c r="S15" s="16"/>
      <c r="T15" s="16"/>
      <c r="U15" s="16"/>
      <c r="V15" s="16"/>
      <c r="W15" s="16"/>
      <c r="X15" s="16"/>
      <c r="Y15" s="16"/>
      <c r="Z15" s="16"/>
    </row>
    <row r="16" ht="13.5" customHeight="1" spans="1:26" x14ac:dyDescent="0.25">
      <c r="A16" s="17"/>
      <c r="B16" s="16">
        <f ca="1">B15+1</f>
        <v>4</v>
      </c>
      <c r="C16" s="737" t="s">
        <v>512</v>
      </c>
      <c r="D16" s="887">
        <f ca="1">Comparables!J15+RAND()/1000000</f>
        <v>0.6779078263987227</v>
      </c>
      <c r="E16" s="888">
        <f ca="1">E15</f>
        <v>0.37490925856254487</v>
      </c>
      <c r="F16" s="16"/>
      <c r="G16" s="16"/>
      <c r="H16" s="16"/>
      <c r="I16" s="16"/>
      <c r="J16" s="16"/>
      <c r="K16" s="16"/>
      <c r="L16" s="16"/>
      <c r="M16" s="16"/>
      <c r="N16" s="16"/>
      <c r="O16" s="737" t="str">
        <f ca="1">INDEX($C$13:$C$17,MATCH(P16,$D$13:$D$17,0),1)</f>
        <v>AAPL</v>
      </c>
      <c r="P16" s="888">
        <f ca="1">LARGE($D$13:$D$17,B16)</f>
        <v>0.3334325703484128</v>
      </c>
      <c r="Q16" s="888">
        <f ca="1">E16</f>
        <v>0.37490925856254487</v>
      </c>
      <c r="R16" s="888"/>
      <c r="S16" s="16"/>
      <c r="T16" s="16"/>
      <c r="U16" s="16"/>
      <c r="V16" s="16"/>
      <c r="W16" s="16"/>
      <c r="X16" s="16"/>
      <c r="Y16" s="16"/>
      <c r="Z16" s="16"/>
    </row>
    <row r="17" ht="13.5" customHeight="1" spans="1:26" x14ac:dyDescent="0.25">
      <c r="A17" s="17"/>
      <c r="B17" s="16">
        <f ca="1">B16+1</f>
        <v>5</v>
      </c>
      <c r="C17" s="737" t="s">
        <v>515</v>
      </c>
      <c r="D17" s="887">
        <f ca="1">Comparables!J16+RAND()/1000000</f>
        <v>0.37490925856254487</v>
      </c>
      <c r="E17" s="888">
        <f ca="1">E16</f>
        <v>0.37490925856254487</v>
      </c>
      <c r="F17" s="16"/>
      <c r="G17" s="16"/>
      <c r="H17" s="16"/>
      <c r="I17" s="16"/>
      <c r="J17" s="16"/>
      <c r="K17" s="16"/>
      <c r="L17" s="16"/>
      <c r="M17" s="16"/>
      <c r="N17" s="16"/>
      <c r="O17" s="737" t="str">
        <f ca="1">INDEX($C$13:$C$17,MATCH(P17,$D$13:$D$17,0),1)</f>
        <v>MSFT</v>
      </c>
      <c r="P17" s="888">
        <f ca="1">LARGE($D$13:$D$17,B17)</f>
        <v>0.1407100125917993</v>
      </c>
      <c r="Q17" s="888">
        <f ca="1">E17</f>
        <v>0.37490925856254487</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 ca="1">"Median "&amp;TEXT(E13,"0.0%")</f>
        <v>Median 37.5%</v>
      </c>
      <c r="F19" s="16"/>
      <c r="G19" s="16"/>
      <c r="H19" s="16"/>
      <c r="I19" s="16"/>
      <c r="J19" s="16"/>
      <c r="K19" s="16"/>
      <c r="L19" s="16"/>
      <c r="M19" s="16"/>
      <c r="N19" s="16"/>
      <c r="O19" s="16"/>
      <c r="P19" s="16"/>
      <c r="Q19" s="889" t="str">
        <f ca="1">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 ca="1">"EPS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 ca="1">C10</f>
        <v>Raw Data</v>
      </c>
      <c r="D26" s="112"/>
      <c r="E26" s="112"/>
      <c r="F26" s="47"/>
      <c r="G26" s="16"/>
      <c r="H26" s="16"/>
      <c r="I26" s="16"/>
      <c r="J26" s="16"/>
      <c r="K26" s="16"/>
      <c r="L26" s="16"/>
      <c r="M26" s="16"/>
      <c r="N26" s="16"/>
      <c r="O26" s="883" t="str">
        <f ca="1">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 ca="1">C12</f>
        <v>LOW</v>
      </c>
      <c r="D28" s="885">
        <f ca="1">Comparables!L10</f>
        <v>0.46253161290322575</v>
      </c>
      <c r="E28" s="886"/>
      <c r="F28" s="16"/>
      <c r="G28" s="16"/>
      <c r="H28" s="16"/>
      <c r="I28" s="16"/>
      <c r="J28" s="16"/>
      <c r="K28" s="16"/>
      <c r="L28" s="16"/>
      <c r="M28" s="16"/>
      <c r="N28" s="16"/>
      <c r="O28" s="884" t="str">
        <f t="shared" ref="O28:P28" si="7" ca="1">C28</f>
        <v>LOW</v>
      </c>
      <c r="P28" s="886">
        <f ca="1">D28</f>
        <v>0.46253161290322575</v>
      </c>
      <c r="Q28" s="886"/>
      <c r="R28" s="16"/>
      <c r="S28" s="16"/>
      <c r="T28" s="16"/>
      <c r="U28" s="16"/>
      <c r="V28" s="16"/>
      <c r="W28" s="16"/>
      <c r="X28" s="16"/>
      <c r="Y28" s="16"/>
      <c r="Z28" s="16"/>
    </row>
    <row r="29" ht="13.5" customHeight="1" spans="1:26" x14ac:dyDescent="0.25">
      <c r="A29" s="17"/>
      <c r="B29" s="641">
        <v>1</v>
      </c>
      <c r="C29" s="737" t="str">
        <f ca="1">C13</f>
        <v>AAPL</v>
      </c>
      <c r="D29" s="887">
        <f ca="1">Comparables!L12+RAND()/1000000</f>
        <v>0.7012012287739954</v>
      </c>
      <c r="E29" s="888">
        <f ca="1">MEDIAN(D29:D33)</f>
        <v>0.3988127617207517</v>
      </c>
      <c r="F29" s="16"/>
      <c r="G29" s="16"/>
      <c r="H29" s="16"/>
      <c r="I29" s="16"/>
      <c r="J29" s="16"/>
      <c r="K29" s="16"/>
      <c r="L29" s="16"/>
      <c r="M29" s="16"/>
      <c r="N29" s="16"/>
      <c r="O29" s="737" t="str">
        <f t="shared" ref="O29:O33" si="8" ca="1">INDEX($C$29:$C$33,MATCH(P29,$D$29:$D$33,0),1)</f>
        <v>GOOGL</v>
      </c>
      <c r="P29" s="888">
        <f t="shared" ref="P29:P33" si="9" ca="1">LARGE($D$29:$D$33,B29)</f>
        <v>0.7232154800785533</v>
      </c>
      <c r="Q29" s="888">
        <f t="shared" ref="Q29:Q33" si="10" ca="1">E29</f>
        <v>0.3988127617207517</v>
      </c>
      <c r="R29" s="16"/>
      <c r="S29" s="16"/>
      <c r="T29" s="16"/>
      <c r="U29" s="16"/>
      <c r="V29" s="16"/>
      <c r="W29" s="16"/>
      <c r="X29" s="16"/>
      <c r="Y29" s="16"/>
      <c r="Z29" s="16"/>
    </row>
    <row r="30" ht="13.5" customHeight="1" spans="1:26" x14ac:dyDescent="0.25">
      <c r="A30" s="17"/>
      <c r="B30" s="16">
        <f t="shared" ref="B30:B33" si="11" ca="1">B29+1</f>
        <v>2</v>
      </c>
      <c r="C30" s="737" t="str">
        <f ca="1">C14</f>
        <v>FB</v>
      </c>
      <c r="D30" s="887">
        <f ca="1">Comparables!L13+RAND()/1000000</f>
        <v>0.3988127617207517</v>
      </c>
      <c r="E30" s="888">
        <f t="shared" ref="E30:E33" si="12" ca="1">E29</f>
        <v>0.3988127617207517</v>
      </c>
      <c r="F30" s="16"/>
      <c r="G30" s="16"/>
      <c r="H30" s="16"/>
      <c r="I30" s="16"/>
      <c r="J30" s="16"/>
      <c r="K30" s="16"/>
      <c r="L30" s="16"/>
      <c r="M30" s="16"/>
      <c r="N30" s="16"/>
      <c r="O30" s="737" t="str">
        <f ca="1">INDEX($C$29:$C$33,MATCH(P30,$D$29:$D$33,0),1)</f>
        <v>AAPL</v>
      </c>
      <c r="P30" s="888">
        <f ca="1">LARGE($D$29:$D$33,B30)</f>
        <v>0.7012012287739954</v>
      </c>
      <c r="Q30" s="888">
        <f ca="1">E30</f>
        <v>0.3988127617207517</v>
      </c>
      <c r="R30" s="16"/>
      <c r="S30" s="16"/>
      <c r="T30" s="16"/>
      <c r="U30" s="16"/>
      <c r="V30" s="16"/>
      <c r="W30" s="16"/>
      <c r="X30" s="16"/>
      <c r="Y30" s="16"/>
      <c r="Z30" s="16"/>
    </row>
    <row r="31" ht="13.5" customHeight="1" spans="1:26" x14ac:dyDescent="0.25">
      <c r="A31" s="17"/>
      <c r="B31" s="16">
        <f ca="1">B30+1</f>
        <v>3</v>
      </c>
      <c r="C31" s="737" t="str">
        <f ca="1">C15</f>
        <v>MSFT</v>
      </c>
      <c r="D31" s="887">
        <f ca="1">Comparables!L14+RAND()/1000000</f>
        <v>0.09440947557592623</v>
      </c>
      <c r="E31" s="888">
        <f ca="1">E30</f>
        <v>0.3988127617207517</v>
      </c>
      <c r="F31" s="16"/>
      <c r="G31" s="16"/>
      <c r="H31" s="16"/>
      <c r="I31" s="16"/>
      <c r="J31" s="16"/>
      <c r="K31" s="16"/>
      <c r="L31" s="16"/>
      <c r="M31" s="16"/>
      <c r="N31" s="16"/>
      <c r="O31" s="737" t="str">
        <f ca="1">INDEX($C$29:$C$33,MATCH(P31,$D$29:$D$33,0),1)</f>
        <v>FB</v>
      </c>
      <c r="P31" s="888">
        <f ca="1">LARGE($D$29:$D$33,B31)</f>
        <v>0.3988127617207517</v>
      </c>
      <c r="Q31" s="888">
        <f ca="1">E31</f>
        <v>0.3988127617207517</v>
      </c>
      <c r="R31" s="16"/>
      <c r="S31" s="16"/>
      <c r="T31" s="16"/>
      <c r="U31" s="16"/>
      <c r="V31" s="16"/>
      <c r="W31" s="16"/>
      <c r="X31" s="16"/>
      <c r="Y31" s="16"/>
      <c r="Z31" s="16"/>
    </row>
    <row r="32" ht="13.5" customHeight="1" spans="1:26" x14ac:dyDescent="0.25">
      <c r="A32" s="17"/>
      <c r="B32" s="16">
        <f ca="1">B31+1</f>
        <v>4</v>
      </c>
      <c r="C32" s="737" t="str">
        <f ca="1">C16</f>
        <v>SNAP</v>
      </c>
      <c r="D32" s="887">
        <f ca="1">Comparables!L15+RAND()/1000000</f>
        <v>-1.5530757701471072</v>
      </c>
      <c r="E32" s="888">
        <f ca="1">E31</f>
        <v>0.3988127617207517</v>
      </c>
      <c r="F32" s="16"/>
      <c r="G32" s="16"/>
      <c r="H32" s="16"/>
      <c r="I32" s="16"/>
      <c r="J32" s="16"/>
      <c r="K32" s="16"/>
      <c r="L32" s="16"/>
      <c r="M32" s="16"/>
      <c r="N32" s="16"/>
      <c r="O32" s="737" t="str">
        <f ca="1">INDEX($C$29:$C$33,MATCH(P32,$D$29:$D$33,0),1)</f>
        <v>MSFT</v>
      </c>
      <c r="P32" s="888">
        <f ca="1">LARGE($D$29:$D$33,B32)</f>
        <v>0.09440947557592623</v>
      </c>
      <c r="Q32" s="888">
        <f ca="1">E32</f>
        <v>0.3988127617207517</v>
      </c>
      <c r="R32" s="16"/>
      <c r="S32" s="16"/>
      <c r="T32" s="16"/>
      <c r="U32" s="16"/>
      <c r="V32" s="16"/>
      <c r="W32" s="16"/>
      <c r="X32" s="16"/>
      <c r="Y32" s="16"/>
      <c r="Z32" s="16"/>
    </row>
    <row r="33" ht="13.5" customHeight="1" spans="1:26" x14ac:dyDescent="0.25">
      <c r="A33" s="17"/>
      <c r="B33" s="16">
        <f ca="1">B32+1</f>
        <v>5</v>
      </c>
      <c r="C33" s="737" t="str">
        <f ca="1">C17</f>
        <v>GOOGL</v>
      </c>
      <c r="D33" s="887">
        <f ca="1">Comparables!L16+RAND()/1000000</f>
        <v>0.7232154800785533</v>
      </c>
      <c r="E33" s="888">
        <f ca="1">E32</f>
        <v>0.3988127617207517</v>
      </c>
      <c r="F33" s="16"/>
      <c r="G33" s="16"/>
      <c r="H33" s="16"/>
      <c r="I33" s="16"/>
      <c r="J33" s="16"/>
      <c r="K33" s="16"/>
      <c r="L33" s="16"/>
      <c r="M33" s="16"/>
      <c r="N33" s="16"/>
      <c r="O33" s="737" t="str">
        <f ca="1">INDEX($C$29:$C$33,MATCH(P33,$D$29:$D$33,0),1)</f>
        <v>SNAP</v>
      </c>
      <c r="P33" s="888">
        <f ca="1">LARGE($D$29:$D$33,B33)</f>
        <v>-1.5530757701471072</v>
      </c>
      <c r="Q33" s="888">
        <f ca="1">E33</f>
        <v>0.3988127617207517</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 ca="1">"Median "&amp;TEXT(E29,"0.0%")</f>
        <v>Median 39.9%</v>
      </c>
      <c r="F35" s="16"/>
      <c r="G35" s="16"/>
      <c r="H35" s="16"/>
      <c r="I35" s="16"/>
      <c r="J35" s="16"/>
      <c r="K35" s="16"/>
      <c r="L35" s="16"/>
      <c r="M35" s="16"/>
      <c r="N35" s="16"/>
      <c r="O35" s="16"/>
      <c r="P35" s="16"/>
      <c r="Q35" s="889" t="str">
        <f ca="1">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956</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 ca="1">C26</f>
        <v>Raw Data</v>
      </c>
      <c r="D42" s="112"/>
      <c r="E42" s="112"/>
      <c r="F42" s="47"/>
      <c r="G42" s="16"/>
      <c r="H42" s="16"/>
      <c r="I42" s="16"/>
      <c r="J42" s="16"/>
      <c r="K42" s="16"/>
      <c r="L42" s="16"/>
      <c r="M42" s="16"/>
      <c r="N42" s="16"/>
      <c r="O42" s="883" t="str">
        <f ca="1">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 ca="1">C28</f>
        <v>LOW</v>
      </c>
      <c r="D44" s="890">
        <f ca="1">Comparables!R10</f>
        <v>12.5309555137087</v>
      </c>
      <c r="E44" s="886"/>
      <c r="F44" s="16"/>
      <c r="G44" s="16"/>
      <c r="H44" s="16"/>
      <c r="I44" s="16"/>
      <c r="J44" s="16"/>
      <c r="K44" s="16"/>
      <c r="L44" s="16"/>
      <c r="M44" s="16"/>
      <c r="N44" s="16"/>
      <c r="O44" s="884" t="str">
        <f t="shared" ref="O44:P44" si="14" ca="1">C44</f>
        <v>LOW</v>
      </c>
      <c r="P44" s="891">
        <f ca="1">D44</f>
        <v>12.5309555137087</v>
      </c>
      <c r="Q44" s="886"/>
      <c r="R44" s="16"/>
      <c r="S44" s="16"/>
      <c r="T44" s="16"/>
      <c r="U44" s="16"/>
      <c r="V44" s="16"/>
      <c r="W44" s="16"/>
      <c r="X44" s="16"/>
      <c r="Y44" s="16"/>
      <c r="Z44" s="16"/>
    </row>
    <row r="45" ht="13.5" customHeight="1" spans="1:26" x14ac:dyDescent="0.25">
      <c r="A45" s="17"/>
      <c r="B45" s="641">
        <v>1</v>
      </c>
      <c r="C45" s="737" t="str">
        <f ca="1">C29</f>
        <v>AAPL</v>
      </c>
      <c r="D45" s="892">
        <f ca="1">Comparables!R12+RAND()/1000000</f>
        <v>20.059112121720673</v>
      </c>
      <c r="E45" s="893">
        <f ca="1">MEDIAN(D45:D49)</f>
        <v>20.059112121720673</v>
      </c>
      <c r="F45" s="16"/>
      <c r="G45" s="16"/>
      <c r="H45" s="16"/>
      <c r="I45" s="16"/>
      <c r="J45" s="16"/>
      <c r="K45" s="16"/>
      <c r="L45" s="16"/>
      <c r="M45" s="16"/>
      <c r="N45" s="16"/>
      <c r="O45" s="737" t="str">
        <f t="shared" ref="O45:O49" si="15" ca="1">INDEX($C$45:$C$49,MATCH(P45,$D$45:$D$49,0),1)</f>
        <v>SNAP</v>
      </c>
      <c r="P45" s="893">
        <f t="shared" ref="P45:P49" si="16" ca="1">LARGE($D$45:$D$49,B45)</f>
        <v>211.94604486048152</v>
      </c>
      <c r="Q45" s="893">
        <f t="shared" ref="Q45:Q49" si="17" ca="1">E45</f>
        <v>20.059112121720673</v>
      </c>
      <c r="R45" s="16"/>
      <c r="S45" s="16"/>
      <c r="T45" s="16"/>
      <c r="U45" s="16"/>
      <c r="V45" s="16"/>
      <c r="W45" s="16"/>
      <c r="X45" s="16"/>
      <c r="Y45" s="16"/>
      <c r="Z45" s="16"/>
    </row>
    <row r="46" ht="13.5" customHeight="1" spans="1:26" x14ac:dyDescent="0.25">
      <c r="A46" s="17"/>
      <c r="B46" s="16">
        <f t="shared" ref="B46:B49" si="18" ca="1">B45+1</f>
        <v>2</v>
      </c>
      <c r="C46" s="737" t="str">
        <f ca="1">C30</f>
        <v>FB</v>
      </c>
      <c r="D46" s="892">
        <f ca="1">Comparables!R13+RAND()/1000000</f>
        <v>15.16214609293825</v>
      </c>
      <c r="E46" s="893">
        <f t="shared" ref="E46:E49" si="19" ca="1">E45</f>
        <v>20.059112121720673</v>
      </c>
      <c r="F46" s="16"/>
      <c r="G46" s="16"/>
      <c r="H46" s="16"/>
      <c r="I46" s="16"/>
      <c r="J46" s="16"/>
      <c r="K46" s="16"/>
      <c r="L46" s="16"/>
      <c r="M46" s="16"/>
      <c r="N46" s="16"/>
      <c r="O46" s="737" t="str">
        <f ca="1">INDEX($C$45:$C$49,MATCH(P46,$D$45:$D$49,0),1)</f>
        <v>MSFT</v>
      </c>
      <c r="P46" s="893">
        <f ca="1">LARGE($D$45:$D$49,B46)</f>
        <v>23.640873353917456</v>
      </c>
      <c r="Q46" s="893">
        <f ca="1">E46</f>
        <v>20.059112121720673</v>
      </c>
      <c r="R46" s="16"/>
      <c r="S46" s="16"/>
      <c r="T46" s="16"/>
      <c r="U46" s="16"/>
      <c r="V46" s="16"/>
      <c r="W46" s="16"/>
      <c r="X46" s="16"/>
      <c r="Y46" s="16"/>
      <c r="Z46" s="16"/>
    </row>
    <row r="47" ht="13.5" customHeight="1" spans="1:26" x14ac:dyDescent="0.25">
      <c r="A47" s="17"/>
      <c r="B47" s="16">
        <f ca="1">B46+1</f>
        <v>3</v>
      </c>
      <c r="C47" s="737" t="str">
        <f ca="1">C31</f>
        <v>MSFT</v>
      </c>
      <c r="D47" s="892">
        <f ca="1">Comparables!R14+RAND()/1000000</f>
        <v>23.640873353917456</v>
      </c>
      <c r="E47" s="893">
        <f ca="1">E46</f>
        <v>20.059112121720673</v>
      </c>
      <c r="F47" s="16"/>
      <c r="G47" s="16"/>
      <c r="H47" s="16"/>
      <c r="I47" s="16"/>
      <c r="J47" s="16"/>
      <c r="K47" s="16"/>
      <c r="L47" s="16"/>
      <c r="M47" s="16"/>
      <c r="N47" s="16"/>
      <c r="O47" s="737" t="str">
        <f ca="1">INDEX($C$45:$C$49,MATCH(P47,$D$45:$D$49,0),1)</f>
        <v>AAPL</v>
      </c>
      <c r="P47" s="893">
        <f ca="1">LARGE($D$45:$D$49,B47)</f>
        <v>20.059112121720673</v>
      </c>
      <c r="Q47" s="893">
        <f ca="1">E47</f>
        <v>20.059112121720673</v>
      </c>
      <c r="R47" s="16"/>
      <c r="S47" s="16"/>
      <c r="T47" s="16"/>
      <c r="U47" s="16"/>
      <c r="V47" s="16"/>
      <c r="W47" s="16"/>
      <c r="X47" s="16"/>
      <c r="Y47" s="16"/>
      <c r="Z47" s="16"/>
    </row>
    <row r="48" ht="13.5" customHeight="1" spans="1:26" x14ac:dyDescent="0.25">
      <c r="A48" s="17"/>
      <c r="B48" s="16">
        <f ca="1">B47+1</f>
        <v>4</v>
      </c>
      <c r="C48" s="737" t="str">
        <f ca="1">C32</f>
        <v>SNAP</v>
      </c>
      <c r="D48" s="892">
        <f ca="1">Comparables!R15+RAND()/1000000</f>
        <v>211.94604486048152</v>
      </c>
      <c r="E48" s="893">
        <f ca="1">E47</f>
        <v>20.059112121720673</v>
      </c>
      <c r="F48" s="16"/>
      <c r="G48" s="16"/>
      <c r="H48" s="16"/>
      <c r="I48" s="16"/>
      <c r="J48" s="16"/>
      <c r="K48" s="16"/>
      <c r="L48" s="16"/>
      <c r="M48" s="16"/>
      <c r="N48" s="16"/>
      <c r="O48" s="737" t="str">
        <f ca="1">INDEX($C$45:$C$49,MATCH(P48,$D$45:$D$49,0),1)</f>
        <v>GOOGL</v>
      </c>
      <c r="P48" s="893">
        <f ca="1">LARGE($D$45:$D$49,B48)</f>
        <v>18.088799516390342</v>
      </c>
      <c r="Q48" s="893">
        <f ca="1">E48</f>
        <v>20.059112121720673</v>
      </c>
      <c r="R48" s="16"/>
      <c r="S48" s="16"/>
      <c r="T48" s="16"/>
      <c r="U48" s="16"/>
      <c r="V48" s="16"/>
      <c r="W48" s="16"/>
      <c r="X48" s="16"/>
      <c r="Y48" s="16"/>
      <c r="Z48" s="16"/>
    </row>
    <row r="49" ht="13.5" customHeight="1" spans="1:26" x14ac:dyDescent="0.25">
      <c r="A49" s="17"/>
      <c r="B49" s="16">
        <f ca="1">B48+1</f>
        <v>5</v>
      </c>
      <c r="C49" s="737" t="str">
        <f ca="1">C33</f>
        <v>GOOGL</v>
      </c>
      <c r="D49" s="892">
        <f ca="1">Comparables!R16+RAND()/1000000</f>
        <v>18.088799516390342</v>
      </c>
      <c r="E49" s="893">
        <f ca="1">E48</f>
        <v>20.059112121720673</v>
      </c>
      <c r="F49" s="16"/>
      <c r="G49" s="16"/>
      <c r="H49" s="16"/>
      <c r="I49" s="16"/>
      <c r="J49" s="16"/>
      <c r="K49" s="16"/>
      <c r="L49" s="16"/>
      <c r="M49" s="16"/>
      <c r="N49" s="16"/>
      <c r="O49" s="737" t="str">
        <f ca="1">INDEX($C$45:$C$49,MATCH(P49,$D$45:$D$49,0),1)</f>
        <v>FB</v>
      </c>
      <c r="P49" s="893">
        <f ca="1">LARGE($D$45:$D$49,B49)</f>
        <v>15.16214609293825</v>
      </c>
      <c r="Q49" s="893">
        <f ca="1">E49</f>
        <v>20.059112121720673</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 ca="1">"Median "&amp;TEXT(E45,"0.0x")</f>
        <v>Median 20.1x</v>
      </c>
      <c r="F51" s="16"/>
      <c r="G51" s="16"/>
      <c r="H51" s="16"/>
      <c r="I51" s="16"/>
      <c r="J51" s="16"/>
      <c r="K51" s="16"/>
      <c r="L51" s="16"/>
      <c r="M51" s="16"/>
      <c r="N51" s="16"/>
      <c r="O51" s="16"/>
      <c r="P51" s="16"/>
      <c r="Q51" s="889" t="str">
        <f ca="1">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957</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 ca="1">C42</f>
        <v>Raw Data</v>
      </c>
      <c r="D58" s="112"/>
      <c r="E58" s="112"/>
      <c r="F58" s="47"/>
      <c r="G58" s="16"/>
      <c r="H58" s="16"/>
      <c r="I58" s="16"/>
      <c r="J58" s="16"/>
      <c r="K58" s="16"/>
      <c r="L58" s="16"/>
      <c r="M58" s="16"/>
      <c r="N58" s="16"/>
      <c r="O58" s="883" t="str">
        <f ca="1">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 ca="1">C44</f>
        <v>LOW</v>
      </c>
      <c r="D60" s="890">
        <f ca="1">Comparables!V10</f>
        <v>17.846255042276262</v>
      </c>
      <c r="E60" s="886"/>
      <c r="F60" s="16"/>
      <c r="G60" s="16"/>
      <c r="H60" s="16"/>
      <c r="I60" s="16"/>
      <c r="J60" s="16"/>
      <c r="K60" s="16"/>
      <c r="L60" s="16"/>
      <c r="M60" s="16"/>
      <c r="N60" s="16"/>
      <c r="O60" s="884" t="str">
        <f t="shared" ref="O60:P60" si="21" ca="1">C60</f>
        <v>LOW</v>
      </c>
      <c r="P60" s="891">
        <f ca="1">D60</f>
        <v>17.846255042276262</v>
      </c>
      <c r="Q60" s="886"/>
      <c r="R60" s="16"/>
      <c r="S60" s="16"/>
      <c r="T60" s="16"/>
      <c r="U60" s="16"/>
      <c r="V60" s="16"/>
      <c r="W60" s="16"/>
      <c r="X60" s="16"/>
      <c r="Y60" s="16"/>
      <c r="Z60" s="16"/>
    </row>
    <row r="61" ht="13.5" customHeight="1" spans="1:26" x14ac:dyDescent="0.25">
      <c r="A61" s="17"/>
      <c r="B61" s="641">
        <v>1</v>
      </c>
      <c r="C61" s="737" t="str">
        <f ca="1">C45</f>
        <v>AAPL</v>
      </c>
      <c r="D61" s="892">
        <f ca="1">Comparables!V12+RAND()/1000000</f>
        <v>26.184054326895637</v>
      </c>
      <c r="E61" s="893">
        <f ca="1">MEDIAN(D61:D65)</f>
        <v>28.40924841651245</v>
      </c>
      <c r="F61" s="16"/>
      <c r="G61" s="16"/>
      <c r="H61" s="16"/>
      <c r="I61" s="16"/>
      <c r="J61" s="16"/>
      <c r="K61" s="16"/>
      <c r="L61" s="16"/>
      <c r="M61" s="16"/>
      <c r="N61" s="16"/>
      <c r="O61" s="737" t="str">
        <f t="shared" ref="O61:O65" si="22" ca="1">INDEX($C$61:$C$65,MATCH(P61,$D$61:$D$65,0),1)</f>
        <v>SNAP</v>
      </c>
      <c r="P61" s="893">
        <f t="shared" ref="P61:P65" si="23" ca="1">LARGE($D$61:$D$65,B61)</f>
        <v>214.40286149729553</v>
      </c>
      <c r="Q61" s="893">
        <f t="shared" ref="Q61:Q65" si="24" ca="1">E61</f>
        <v>28.40924841651245</v>
      </c>
      <c r="R61" s="16"/>
      <c r="S61" s="16"/>
      <c r="T61" s="16"/>
      <c r="U61" s="16"/>
      <c r="V61" s="16"/>
      <c r="W61" s="16"/>
      <c r="X61" s="16"/>
      <c r="Y61" s="16"/>
      <c r="Z61" s="16"/>
    </row>
    <row r="62" ht="13.5" customHeight="1" spans="1:26" x14ac:dyDescent="0.25">
      <c r="A62" s="17"/>
      <c r="B62" s="16">
        <f t="shared" ref="B62:B65" si="25" ca="1">B61+1</f>
        <v>2</v>
      </c>
      <c r="C62" s="737" t="str">
        <f ca="1">C46</f>
        <v>FB</v>
      </c>
      <c r="D62" s="892">
        <f ca="1">Comparables!V13+RAND()/1000000</f>
        <v>25.962799879881945</v>
      </c>
      <c r="E62" s="893">
        <f t="shared" ref="E62:E65" si="26" ca="1">E61</f>
        <v>28.40924841651245</v>
      </c>
      <c r="F62" s="16"/>
      <c r="G62" s="16"/>
      <c r="H62" s="16"/>
      <c r="I62" s="16"/>
      <c r="J62" s="16"/>
      <c r="K62" s="16"/>
      <c r="L62" s="16"/>
      <c r="M62" s="16"/>
      <c r="N62" s="16"/>
      <c r="O62" s="737" t="str">
        <f ca="1">INDEX($C$61:$C$65,MATCH(P62,$D$61:$D$65,0),1)</f>
        <v>MSFT</v>
      </c>
      <c r="P62" s="893">
        <f ca="1">LARGE($D$61:$D$65,B62)</f>
        <v>33.97722254229018</v>
      </c>
      <c r="Q62" s="893">
        <f ca="1">E62</f>
        <v>28.40924841651245</v>
      </c>
      <c r="R62" s="16"/>
      <c r="S62" s="16"/>
      <c r="T62" s="16"/>
      <c r="U62" s="16"/>
      <c r="V62" s="16"/>
      <c r="W62" s="16"/>
      <c r="X62" s="16"/>
      <c r="Y62" s="16"/>
      <c r="Z62" s="16"/>
    </row>
    <row r="63" ht="13.5" customHeight="1" spans="1:26" x14ac:dyDescent="0.25">
      <c r="A63" s="17"/>
      <c r="B63" s="16">
        <f ca="1">B62+1</f>
        <v>3</v>
      </c>
      <c r="C63" s="737" t="str">
        <f ca="1">C47</f>
        <v>MSFT</v>
      </c>
      <c r="D63" s="892">
        <f ca="1">Comparables!V14+RAND()/1000000</f>
        <v>33.97722254229018</v>
      </c>
      <c r="E63" s="893">
        <f ca="1">E62</f>
        <v>28.40924841651245</v>
      </c>
      <c r="F63" s="16"/>
      <c r="G63" s="16"/>
      <c r="H63" s="16"/>
      <c r="I63" s="16"/>
      <c r="J63" s="16"/>
      <c r="K63" s="16"/>
      <c r="L63" s="16"/>
      <c r="M63" s="16"/>
      <c r="N63" s="16"/>
      <c r="O63" s="737" t="str">
        <f ca="1">INDEX($C$61:$C$65,MATCH(P63,$D$61:$D$65,0),1)</f>
        <v>GOOGL</v>
      </c>
      <c r="P63" s="893">
        <f ca="1">LARGE($D$61:$D$65,B63)</f>
        <v>28.40924841651245</v>
      </c>
      <c r="Q63" s="893">
        <f ca="1">E63</f>
        <v>28.40924841651245</v>
      </c>
      <c r="R63" s="16"/>
      <c r="S63" s="16"/>
      <c r="T63" s="16"/>
      <c r="U63" s="16"/>
      <c r="V63" s="16"/>
      <c r="W63" s="16"/>
      <c r="X63" s="16"/>
      <c r="Y63" s="16"/>
      <c r="Z63" s="16"/>
    </row>
    <row r="64" ht="13.5" customHeight="1" spans="1:26" x14ac:dyDescent="0.25">
      <c r="A64" s="17"/>
      <c r="B64" s="16">
        <f ca="1">B63+1</f>
        <v>4</v>
      </c>
      <c r="C64" s="737" t="str">
        <f ca="1">C48</f>
        <v>SNAP</v>
      </c>
      <c r="D64" s="892">
        <f ca="1">Comparables!V15+RAND()/1000000</f>
        <v>214.40286149729553</v>
      </c>
      <c r="E64" s="893">
        <f ca="1">E63</f>
        <v>28.40924841651245</v>
      </c>
      <c r="F64" s="16"/>
      <c r="G64" s="16"/>
      <c r="H64" s="16"/>
      <c r="I64" s="16"/>
      <c r="J64" s="16"/>
      <c r="K64" s="16"/>
      <c r="L64" s="16"/>
      <c r="M64" s="16"/>
      <c r="N64" s="16"/>
      <c r="O64" s="737" t="str">
        <f ca="1">INDEX($C$61:$C$65,MATCH(P64,$D$61:$D$65,0),1)</f>
        <v>AAPL</v>
      </c>
      <c r="P64" s="893">
        <f ca="1">LARGE($D$61:$D$65,B64)</f>
        <v>26.184054326895637</v>
      </c>
      <c r="Q64" s="893">
        <f ca="1">E64</f>
        <v>28.40924841651245</v>
      </c>
      <c r="R64" s="16"/>
      <c r="S64" s="16"/>
      <c r="T64" s="16"/>
      <c r="U64" s="16"/>
      <c r="V64" s="16"/>
      <c r="W64" s="16"/>
      <c r="X64" s="16"/>
      <c r="Y64" s="16"/>
      <c r="Z64" s="16"/>
    </row>
    <row r="65" ht="13.5" customHeight="1" spans="1:26" x14ac:dyDescent="0.25">
      <c r="A65" s="17"/>
      <c r="B65" s="16">
        <f ca="1">B64+1</f>
        <v>5</v>
      </c>
      <c r="C65" s="737" t="str">
        <f ca="1">C49</f>
        <v>GOOGL</v>
      </c>
      <c r="D65" s="892">
        <f ca="1">Comparables!V16+RAND()/1000000</f>
        <v>28.40924841651245</v>
      </c>
      <c r="E65" s="893">
        <f ca="1">E64</f>
        <v>28.40924841651245</v>
      </c>
      <c r="F65" s="16"/>
      <c r="G65" s="16"/>
      <c r="H65" s="16"/>
      <c r="I65" s="16"/>
      <c r="J65" s="16"/>
      <c r="K65" s="16"/>
      <c r="L65" s="16"/>
      <c r="M65" s="16"/>
      <c r="N65" s="16"/>
      <c r="O65" s="737" t="str">
        <f ca="1">INDEX($C$61:$C$65,MATCH(P65,$D$61:$D$65,0),1)</f>
        <v>FB</v>
      </c>
      <c r="P65" s="893">
        <f ca="1">LARGE($D$61:$D$65,B65)</f>
        <v>25.962799879881945</v>
      </c>
      <c r="Q65" s="893">
        <f ca="1">E65</f>
        <v>28.40924841651245</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 ca="1">"Median "&amp;TEXT(E61,"0.0x")</f>
        <v>Median 28.4x</v>
      </c>
      <c r="F67" s="16"/>
      <c r="G67" s="16"/>
      <c r="H67" s="16"/>
      <c r="I67" s="16"/>
      <c r="J67" s="16"/>
      <c r="K67" s="16"/>
      <c r="L67" s="16"/>
      <c r="M67" s="16"/>
      <c r="N67" s="16"/>
      <c r="O67" s="16"/>
      <c r="P67" s="16"/>
      <c r="Q67" s="889" t="str">
        <f ca="1">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958</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 ca="1">C58</f>
        <v>Raw Data</v>
      </c>
      <c r="D74" s="112"/>
      <c r="E74" s="112"/>
      <c r="F74" s="47"/>
      <c r="G74" s="16"/>
      <c r="H74" s="16"/>
      <c r="I74" s="16"/>
      <c r="J74" s="16"/>
      <c r="K74" s="16"/>
      <c r="L74" s="16"/>
      <c r="M74" s="16"/>
      <c r="N74" s="16"/>
      <c r="O74" s="883" t="str">
        <f ca="1">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 ca="1">C60</f>
        <v>LOW</v>
      </c>
      <c r="D76" s="890">
        <f ca="1">Comparables!N28</f>
        <v>1.9578</v>
      </c>
      <c r="E76" s="886"/>
      <c r="F76" s="16"/>
      <c r="G76" s="16"/>
      <c r="H76" s="16"/>
      <c r="I76" s="16"/>
      <c r="J76" s="16"/>
      <c r="K76" s="16"/>
      <c r="L76" s="16"/>
      <c r="M76" s="16"/>
      <c r="N76" s="16"/>
      <c r="O76" s="884" t="str">
        <f t="shared" ref="O76:P76" si="28" ca="1">C76</f>
        <v>LOW</v>
      </c>
      <c r="P76" s="891">
        <f ca="1">D76</f>
        <v>1.9578</v>
      </c>
      <c r="Q76" s="886"/>
      <c r="R76" s="16"/>
      <c r="S76" s="16"/>
      <c r="T76" s="16"/>
      <c r="U76" s="16"/>
      <c r="V76" s="16"/>
      <c r="W76" s="16"/>
      <c r="X76" s="16"/>
      <c r="Y76" s="16"/>
      <c r="Z76" s="16"/>
    </row>
    <row r="77" ht="13.5" customHeight="1" spans="1:26" x14ac:dyDescent="0.25">
      <c r="A77" s="17"/>
      <c r="B77" s="641">
        <v>1</v>
      </c>
      <c r="C77" s="737" t="str">
        <f ca="1">C61</f>
        <v>AAPL</v>
      </c>
      <c r="D77" s="892">
        <f ca="1">Comparables!N30+RAND()/1000000</f>
        <v>1.3872505469744167</v>
      </c>
      <c r="E77" s="893">
        <f ca="1">MEDIAN(D77:D81)</f>
        <v>0.5794714227079178</v>
      </c>
      <c r="F77" s="16"/>
      <c r="G77" s="16"/>
      <c r="H77" s="16"/>
      <c r="I77" s="16"/>
      <c r="J77" s="16"/>
      <c r="K77" s="16"/>
      <c r="L77" s="16"/>
      <c r="M77" s="16"/>
      <c r="N77" s="16"/>
      <c r="O77" s="737" t="str">
        <f t="shared" ref="O77:O81" si="29" ca="1">INDEX($C$77:$C$81,MATCH(P77,$D$77:$D$81,0),1)</f>
        <v>AAPL</v>
      </c>
      <c r="P77" s="893">
        <f t="shared" ref="P77:P81" si="30" ca="1">LARGE($D$77:$D$81,B77)</f>
        <v>1.3872505469744167</v>
      </c>
      <c r="Q77" s="893">
        <f t="shared" ref="Q77:Q81" si="31" ca="1">E77</f>
        <v>0.5794714227079178</v>
      </c>
      <c r="R77" s="16"/>
      <c r="S77" s="16"/>
      <c r="T77" s="16"/>
      <c r="U77" s="16"/>
      <c r="V77" s="16"/>
      <c r="W77" s="16"/>
      <c r="X77" s="16"/>
      <c r="Y77" s="16"/>
      <c r="Z77" s="16"/>
    </row>
    <row r="78" ht="13.5" customHeight="1" spans="1:26" x14ac:dyDescent="0.25">
      <c r="A78" s="17"/>
      <c r="B78" s="16">
        <f t="shared" ref="B78:B81" si="32" ca="1">B77+1</f>
        <v>2</v>
      </c>
      <c r="C78" s="737" t="str">
        <f ca="1">C62</f>
        <v>FB</v>
      </c>
      <c r="D78" s="892">
        <f ca="1">Comparables!O31+RAND()/1000000</f>
        <v>0.08712241324222007</v>
      </c>
      <c r="E78" s="893">
        <f t="shared" ref="E78:E81" si="33" ca="1">E77</f>
        <v>0.5794714227079178</v>
      </c>
      <c r="F78" s="16"/>
      <c r="G78" s="16"/>
      <c r="H78" s="16"/>
      <c r="I78" s="16"/>
      <c r="J78" s="16"/>
      <c r="K78" s="16"/>
      <c r="L78" s="16"/>
      <c r="M78" s="16"/>
      <c r="N78" s="16"/>
      <c r="O78" s="737" t="str">
        <f ca="1">INDEX($C$77:$C$81,MATCH(P78,$D$77:$D$81,0),1)</f>
        <v>SNAP</v>
      </c>
      <c r="P78" s="893">
        <f ca="1">LARGE($D$77:$D$81,B78)</f>
        <v>0.8598969427854092</v>
      </c>
      <c r="Q78" s="893">
        <f ca="1">E78</f>
        <v>0.5794714227079178</v>
      </c>
      <c r="R78" s="16"/>
      <c r="S78" s="16"/>
      <c r="T78" s="16"/>
      <c r="U78" s="16"/>
      <c r="V78" s="16"/>
      <c r="W78" s="16"/>
      <c r="X78" s="16"/>
      <c r="Y78" s="16"/>
      <c r="Z78" s="16"/>
    </row>
    <row r="79" ht="13.5" customHeight="1" spans="1:26" x14ac:dyDescent="0.25">
      <c r="A79" s="17"/>
      <c r="B79" s="16">
        <f ca="1">B78+1</f>
        <v>3</v>
      </c>
      <c r="C79" s="737" t="str">
        <f ca="1">C63</f>
        <v>MSFT</v>
      </c>
      <c r="D79" s="892">
        <f ca="1">Comparables!O32+RAND()/1000000</f>
        <v>0.5794714227079178</v>
      </c>
      <c r="E79" s="893">
        <f ca="1">E78</f>
        <v>0.5794714227079178</v>
      </c>
      <c r="F79" s="16"/>
      <c r="G79" s="16"/>
      <c r="H79" s="16"/>
      <c r="I79" s="16"/>
      <c r="J79" s="16"/>
      <c r="K79" s="16"/>
      <c r="L79" s="16"/>
      <c r="M79" s="16"/>
      <c r="N79" s="16"/>
      <c r="O79" s="737" t="str">
        <f ca="1">INDEX($C$77:$C$81,MATCH(P79,$D$77:$D$81,0),1)</f>
        <v>MSFT</v>
      </c>
      <c r="P79" s="893">
        <f ca="1">LARGE($D$77:$D$81,B79)</f>
        <v>0.5794714227079178</v>
      </c>
      <c r="Q79" s="893">
        <f ca="1">E79</f>
        <v>0.5794714227079178</v>
      </c>
      <c r="R79" s="16"/>
      <c r="S79" s="16"/>
      <c r="T79" s="16"/>
      <c r="U79" s="16"/>
      <c r="V79" s="16"/>
      <c r="W79" s="16"/>
      <c r="X79" s="16"/>
      <c r="Y79" s="16"/>
      <c r="Z79" s="16"/>
    </row>
    <row r="80" ht="13.5" customHeight="1" spans="1:26" x14ac:dyDescent="0.25">
      <c r="A80" s="17"/>
      <c r="B80" s="16">
        <f ca="1">B79+1</f>
        <v>4</v>
      </c>
      <c r="C80" s="737" t="str">
        <f ca="1">C64</f>
        <v>SNAP</v>
      </c>
      <c r="D80" s="892">
        <f ca="1">Comparables!O33+RAND()/1000000</f>
        <v>0.8598969427854092</v>
      </c>
      <c r="E80" s="893">
        <f ca="1">E79</f>
        <v>0.5794714227079178</v>
      </c>
      <c r="F80" s="16"/>
      <c r="G80" s="16"/>
      <c r="H80" s="16"/>
      <c r="I80" s="16"/>
      <c r="J80" s="16"/>
      <c r="K80" s="16"/>
      <c r="L80" s="16"/>
      <c r="M80" s="16"/>
      <c r="N80" s="16"/>
      <c r="O80" s="737" t="str">
        <f ca="1">INDEX($C$77:$C$81,MATCH(P80,$D$77:$D$81,0),1)</f>
        <v>GOOGL</v>
      </c>
      <c r="P80" s="893">
        <f ca="1">LARGE($D$77:$D$81,B80)</f>
        <v>0.12524209306602177</v>
      </c>
      <c r="Q80" s="893">
        <f ca="1">E80</f>
        <v>0.5794714227079178</v>
      </c>
      <c r="R80" s="16"/>
      <c r="S80" s="16"/>
      <c r="T80" s="16"/>
      <c r="U80" s="16"/>
      <c r="V80" s="16"/>
      <c r="W80" s="16"/>
      <c r="X80" s="16"/>
      <c r="Y80" s="16"/>
      <c r="Z80" s="16"/>
    </row>
    <row r="81" ht="13.5" customHeight="1" spans="1:26" x14ac:dyDescent="0.25">
      <c r="A81" s="17"/>
      <c r="B81" s="16">
        <f ca="1">B80+1</f>
        <v>5</v>
      </c>
      <c r="C81" s="737" t="str">
        <f ca="1">C65</f>
        <v>GOOGL</v>
      </c>
      <c r="D81" s="892">
        <f ca="1">Comparables!O34+RAND()/1000000</f>
        <v>0.12524209306602177</v>
      </c>
      <c r="E81" s="893">
        <f ca="1">E80</f>
        <v>0.5794714227079178</v>
      </c>
      <c r="F81" s="16"/>
      <c r="G81" s="16"/>
      <c r="H81" s="16"/>
      <c r="I81" s="16"/>
      <c r="J81" s="16"/>
      <c r="K81" s="16"/>
      <c r="L81" s="16"/>
      <c r="M81" s="16"/>
      <c r="N81" s="16"/>
      <c r="O81" s="737" t="str">
        <f ca="1">INDEX($C$77:$C$81,MATCH(P81,$D$77:$D$81,0),1)</f>
        <v>FB</v>
      </c>
      <c r="P81" s="893">
        <f ca="1">LARGE($D$77:$D$81,B81)</f>
        <v>0.08712241324222007</v>
      </c>
      <c r="Q81" s="893">
        <f ca="1">E81</f>
        <v>0.5794714227079178</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 ca="1">"Median "&amp;TEXT(E77,"0.0x")</f>
        <v>Median 0.6x</v>
      </c>
      <c r="F83" s="16"/>
      <c r="G83" s="16"/>
      <c r="H83" s="16"/>
      <c r="I83" s="16"/>
      <c r="J83" s="16"/>
      <c r="K83" s="16"/>
      <c r="L83" s="16"/>
      <c r="M83" s="16"/>
      <c r="N83" s="16"/>
      <c r="O83" s="16"/>
      <c r="P83" s="16"/>
      <c r="Q83" s="889" t="str">
        <f ca="1">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 ca="1">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 ca="1">C74</f>
        <v>Raw Data</v>
      </c>
      <c r="D90" s="112"/>
      <c r="E90" s="112"/>
      <c r="F90" s="47"/>
      <c r="G90" s="16"/>
      <c r="H90" s="16"/>
      <c r="I90" s="16"/>
      <c r="J90" s="16"/>
      <c r="K90" s="16"/>
      <c r="L90" s="16"/>
      <c r="M90" s="16"/>
      <c r="N90" s="16"/>
      <c r="O90" s="883" t="str">
        <f ca="1">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 ca="1">C76</f>
        <v>LOW</v>
      </c>
      <c r="D92" s="890">
        <f ca="1">Comparables!P28</f>
        <v>15.35321</v>
      </c>
      <c r="E92" s="886"/>
      <c r="F92" s="16"/>
      <c r="G92" s="16"/>
      <c r="H92" s="16"/>
      <c r="I92" s="16"/>
      <c r="J92" s="16"/>
      <c r="K92" s="16"/>
      <c r="L92" s="16"/>
      <c r="M92" s="16"/>
      <c r="N92" s="16"/>
      <c r="O92" s="884" t="str">
        <f t="shared" ref="O92:P92" si="35" ca="1">C92</f>
        <v>LOW</v>
      </c>
      <c r="P92" s="891">
        <f ca="1">D92</f>
        <v>15.35321</v>
      </c>
      <c r="Q92" s="886"/>
      <c r="R92" s="16"/>
      <c r="S92" s="16"/>
      <c r="T92" s="16"/>
      <c r="U92" s="16"/>
      <c r="V92" s="16"/>
      <c r="W92" s="16"/>
      <c r="X92" s="16"/>
      <c r="Y92" s="16"/>
      <c r="Z92" s="16"/>
    </row>
    <row r="93" ht="13.5" customHeight="1" spans="1:26" x14ac:dyDescent="0.25">
      <c r="A93" s="17"/>
      <c r="B93" s="641">
        <v>1</v>
      </c>
      <c r="C93" s="737" t="str">
        <f ca="1">C77</f>
        <v>AAPL</v>
      </c>
      <c r="D93" s="892">
        <f ca="1">Comparables!P30+RAND()/1000000</f>
        <v>30.680130282715144</v>
      </c>
      <c r="E93" s="893">
        <f ca="1">MEDIAN(D93:D97)</f>
      </c>
      <c r="F93" s="16"/>
      <c r="G93" s="16"/>
      <c r="H93" s="16"/>
      <c r="I93" s="16"/>
      <c r="J93" s="16"/>
      <c r="K93" s="16"/>
      <c r="L93" s="16"/>
      <c r="M93" s="16"/>
      <c r="N93" s="16"/>
      <c r="O93" s="737">
        <f ca="1">INDEX($C$93:$C$97,MATCH(P93,$D$93:$D$97,0),1)</f>
      </c>
      <c r="P93" s="893">
        <f ca="1">LARGE($D$93:$D$97,B93)</f>
      </c>
      <c r="Q93" s="893">
        <f ca="1">E93</f>
        <v>1e-12</v>
      </c>
      <c r="R93" s="16"/>
      <c r="S93" s="16"/>
      <c r="T93" s="16"/>
      <c r="U93" s="16"/>
      <c r="V93" s="16"/>
      <c r="W93" s="16"/>
      <c r="X93" s="16"/>
      <c r="Y93" s="16"/>
      <c r="Z93" s="16"/>
    </row>
    <row r="94" ht="13.5" customHeight="1" spans="1:26" x14ac:dyDescent="0.25">
      <c r="A94" s="17"/>
      <c r="B94" s="16">
        <f t="shared" ref="B94:B97" si="36" ca="1">B93+1</f>
        <v>2</v>
      </c>
      <c r="C94" s="737" t="str">
        <f ca="1">C78</f>
        <v>FB</v>
      </c>
      <c r="D94" s="892">
        <f ca="1">Comparables!P31+RAND()/1000000</f>
        <v>1.5561594283567848e-7</v>
      </c>
      <c r="E94" s="893">
        <f ca="1">E93</f>
        <v>1e-12</v>
      </c>
      <c r="F94" s="16"/>
      <c r="G94" s="16"/>
      <c r="H94" s="16"/>
      <c r="I94" s="16"/>
      <c r="J94" s="16"/>
      <c r="K94" s="16"/>
      <c r="L94" s="16"/>
      <c r="M94" s="16"/>
      <c r="N94" s="16"/>
      <c r="O94" s="737">
        <f ca="1">INDEX($C$93:$C$97,MATCH(P94,$D$93:$D$97,0),1)</f>
      </c>
      <c r="P94" s="893">
        <f ca="1">LARGE($D$93:$D$97,B94)</f>
      </c>
      <c r="Q94" s="893">
        <f ca="1">E94</f>
        <v>1e-12</v>
      </c>
      <c r="R94" s="16"/>
      <c r="S94" s="16"/>
      <c r="T94" s="16"/>
      <c r="U94" s="16"/>
      <c r="V94" s="16"/>
      <c r="W94" s="16"/>
      <c r="X94" s="16"/>
      <c r="Y94" s="16"/>
      <c r="Z94" s="16"/>
    </row>
    <row r="95" ht="13.5" customHeight="1" spans="1:26" x14ac:dyDescent="0.25">
      <c r="A95" s="17"/>
      <c r="B95" s="16">
        <f ca="1">B94+1</f>
        <v>3</v>
      </c>
      <c r="C95" s="737" t="str">
        <f ca="1">C79</f>
        <v>MSFT</v>
      </c>
      <c r="D95" s="892">
        <f ca="1">Comparables!P32+RAND()/1000000</f>
        <v>35.597850694960236</v>
      </c>
      <c r="E95" s="893">
        <f ca="1">E94</f>
        <v>1e-12</v>
      </c>
      <c r="F95" s="16"/>
      <c r="G95" s="16"/>
      <c r="H95" s="16"/>
      <c r="I95" s="16"/>
      <c r="J95" s="16"/>
      <c r="K95" s="16"/>
      <c r="L95" s="16"/>
      <c r="M95" s="16"/>
      <c r="N95" s="16"/>
      <c r="O95" s="737">
        <f ca="1">INDEX($C$93:$C$97,MATCH(P95,$D$93:$D$97,0),1)</f>
      </c>
      <c r="P95" s="893">
        <f ca="1">LARGE($D$93:$D$97,B95)</f>
      </c>
      <c r="Q95" s="893">
        <f ca="1">E95</f>
        <v>1e-12</v>
      </c>
      <c r="R95" s="16"/>
      <c r="S95" s="16"/>
      <c r="T95" s="16"/>
      <c r="U95" s="16"/>
      <c r="V95" s="16"/>
      <c r="W95" s="16"/>
      <c r="X95" s="16"/>
      <c r="Y95" s="16"/>
      <c r="Z95" s="16"/>
    </row>
    <row r="96" ht="13.5" customHeight="1" spans="1:26" x14ac:dyDescent="0.25">
      <c r="A96" s="17"/>
      <c r="B96" s="16">
        <f ca="1">B95+1</f>
        <v>4</v>
      </c>
      <c r="C96" s="737" t="str">
        <f ca="1">C80</f>
        <v>SNAP</v>
      </c>
      <c r="D96" s="892">
        <f ca="1">Comparables!P33+RAND()/1000000</f>
      </c>
      <c r="E96" s="893">
        <f ca="1">E95</f>
        <v>1e-12</v>
      </c>
      <c r="F96" s="16"/>
      <c r="G96" s="16"/>
      <c r="H96" s="16"/>
      <c r="I96" s="16"/>
      <c r="J96" s="16"/>
      <c r="K96" s="16"/>
      <c r="L96" s="16"/>
      <c r="M96" s="16"/>
      <c r="N96" s="16"/>
      <c r="O96" s="737">
        <f ca="1">INDEX($C$93:$C$97,MATCH(P96,$D$93:$D$97,0),1)</f>
      </c>
      <c r="P96" s="893">
        <f ca="1">LARGE($D$93:$D$97,B96)</f>
      </c>
      <c r="Q96" s="893">
        <f ca="1">E96</f>
        <v>1e-12</v>
      </c>
      <c r="R96" s="16"/>
      <c r="S96" s="16"/>
      <c r="T96" s="16"/>
      <c r="U96" s="16"/>
      <c r="V96" s="16"/>
      <c r="W96" s="16"/>
      <c r="X96" s="16"/>
      <c r="Y96" s="16"/>
      <c r="Z96" s="16"/>
    </row>
    <row r="97" ht="13.5" customHeight="1" spans="1:26" x14ac:dyDescent="0.25">
      <c r="A97" s="17"/>
      <c r="B97" s="16">
        <f ca="1">B96+1</f>
        <v>5</v>
      </c>
      <c r="C97" s="737" t="str">
        <f ca="1">C81</f>
        <v>GOOGL</v>
      </c>
      <c r="D97" s="892">
        <f ca="1">Comparables!P34+RAND()/1000000</f>
        <v>428.0666702618593</v>
      </c>
      <c r="E97" s="893">
        <f ca="1">E96</f>
        <v>1e-12</v>
      </c>
      <c r="F97" s="16"/>
      <c r="G97" s="16"/>
      <c r="H97" s="16"/>
      <c r="I97" s="16"/>
      <c r="J97" s="16"/>
      <c r="K97" s="16"/>
      <c r="L97" s="16"/>
      <c r="M97" s="16"/>
      <c r="N97" s="16"/>
      <c r="O97" s="737">
        <f ca="1">INDEX($C$93:$C$97,MATCH(P97,$D$93:$D$97,0),1)</f>
      </c>
      <c r="P97" s="893">
        <f ca="1">LARGE($D$93:$D$97,B97)</f>
      </c>
      <c r="Q97" s="893">
        <f ca="1">E97</f>
        <v>1e-12</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f ca="1">"Median "&amp;TEXT(E93,"0.0x")</f>
      </c>
      <c r="F99" s="16"/>
      <c r="G99" s="16"/>
      <c r="H99" s="16"/>
      <c r="I99" s="16"/>
      <c r="J99" s="16"/>
      <c r="K99" s="16"/>
      <c r="L99" s="16"/>
      <c r="M99" s="16"/>
      <c r="N99" s="16"/>
      <c r="O99" s="16"/>
      <c r="P99" s="16"/>
      <c r="Q99" s="889">
        <f ca="1">E99</f>
        <v>1e-12</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959</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 ca="1">C90</f>
        <v>Raw Data</v>
      </c>
      <c r="D106" s="112"/>
      <c r="E106" s="112"/>
      <c r="F106" s="47"/>
      <c r="G106" s="16"/>
      <c r="H106" s="16"/>
      <c r="I106" s="16"/>
      <c r="J106" s="16"/>
      <c r="K106" s="16"/>
      <c r="L106" s="16"/>
      <c r="M106" s="16"/>
      <c r="N106" s="16"/>
      <c r="O106" s="883" t="str">
        <f ca="1">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37" ca="1">C92</f>
        <v>LOW</v>
      </c>
      <c r="D108" s="885">
        <f ca="1">Comparables!M10</f>
        <v>0.14957700000000002</v>
      </c>
      <c r="E108" s="886"/>
      <c r="F108" s="16"/>
      <c r="G108" s="16"/>
      <c r="H108" s="16"/>
      <c r="I108" s="16"/>
      <c r="J108" s="16"/>
      <c r="K108" s="16"/>
      <c r="L108" s="16"/>
      <c r="M108" s="16"/>
      <c r="N108" s="16"/>
      <c r="O108" s="884" t="str">
        <f t="shared" ref="O108:P108" si="38" ca="1">C108</f>
        <v>LOW</v>
      </c>
      <c r="P108" s="886">
        <f ca="1">D108</f>
        <v>0.14957700000000002</v>
      </c>
      <c r="Q108" s="886"/>
      <c r="R108" s="16"/>
      <c r="S108" s="16"/>
      <c r="T108" s="16"/>
      <c r="U108" s="16"/>
      <c r="V108" s="16"/>
      <c r="W108" s="16"/>
      <c r="X108" s="16"/>
      <c r="Y108" s="16"/>
      <c r="Z108" s="16"/>
    </row>
    <row r="109" ht="13.5" customHeight="1" spans="1:26" x14ac:dyDescent="0.25">
      <c r="A109" s="17"/>
      <c r="B109" s="641">
        <v>1</v>
      </c>
      <c r="C109" s="737" t="str">
        <f ca="1">C93</f>
        <v>AAPL</v>
      </c>
      <c r="D109" s="887">
        <f ca="1">Comparables!M12+RAND()/1000000</f>
        <v>0.3195546689922927</v>
      </c>
      <c r="E109" s="888">
        <f ca="1">MEDIAN(D109:D113)</f>
        <v>0.3430091765421167</v>
      </c>
      <c r="F109" s="16"/>
      <c r="G109" s="16"/>
      <c r="H109" s="16"/>
      <c r="I109" s="16"/>
      <c r="J109" s="16"/>
      <c r="K109" s="16"/>
      <c r="L109" s="16"/>
      <c r="M109" s="16"/>
      <c r="N109" s="16"/>
      <c r="O109" s="737" t="str">
        <f t="shared" ref="O109:O113" si="39" ca="1">INDEX($C$109:$C$113,MATCH(P109,$D$109:$D$113,0),1)</f>
        <v>FB</v>
      </c>
      <c r="P109" s="888">
        <f t="shared" ref="P109:P113" si="40" ca="1">LARGE($D$109:$D$113,B109)</f>
        <v>0.49698476113265205</v>
      </c>
      <c r="Q109" s="888">
        <f t="shared" ref="Q109:Q113" si="41" ca="1">E109</f>
        <v>0.3430091765421167</v>
      </c>
      <c r="R109" s="16"/>
      <c r="S109" s="16"/>
      <c r="T109" s="16"/>
      <c r="U109" s="16"/>
      <c r="V109" s="16"/>
      <c r="W109" s="16"/>
      <c r="X109" s="16"/>
      <c r="Y109" s="16"/>
      <c r="Z109" s="16"/>
    </row>
    <row r="110" ht="13.5" customHeight="1" spans="1:26" x14ac:dyDescent="0.25">
      <c r="A110" s="17"/>
      <c r="B110" s="16">
        <f t="shared" ref="B110:B113" si="42" ca="1">B109+1</f>
        <v>2</v>
      </c>
      <c r="C110" s="737" t="str">
        <f ca="1">C94</f>
        <v>FB</v>
      </c>
      <c r="D110" s="887">
        <f ca="1">Comparables!M13+RAND()/1000000</f>
        <v>0.49698476113265205</v>
      </c>
      <c r="E110" s="888">
        <f t="shared" ref="E110:E113" si="43" ca="1">E109</f>
        <v>0.3430091765421167</v>
      </c>
      <c r="F110" s="16"/>
      <c r="G110" s="16"/>
      <c r="H110" s="16"/>
      <c r="I110" s="16"/>
      <c r="J110" s="16"/>
      <c r="K110" s="16"/>
      <c r="L110" s="16"/>
      <c r="M110" s="16"/>
      <c r="N110" s="16"/>
      <c r="O110" s="737" t="str">
        <f ca="1">INDEX($C$109:$C$113,MATCH(P110,$D$109:$D$113,0),1)</f>
        <v>MSFT</v>
      </c>
      <c r="P110" s="888">
        <f ca="1">LARGE($D$109:$D$113,B110)</f>
        <v>0.4807955183887844</v>
      </c>
      <c r="Q110" s="888">
        <f ca="1">E110</f>
        <v>0.3430091765421167</v>
      </c>
      <c r="R110" s="16"/>
      <c r="S110" s="16"/>
      <c r="T110" s="16"/>
      <c r="U110" s="16"/>
      <c r="V110" s="16"/>
      <c r="W110" s="16"/>
      <c r="X110" s="16"/>
      <c r="Y110" s="16"/>
      <c r="Z110" s="16"/>
    </row>
    <row r="111" ht="13.5" customHeight="1" spans="1:26" x14ac:dyDescent="0.25">
      <c r="A111" s="17"/>
      <c r="B111" s="16">
        <f ca="1">B110+1</f>
        <v>3</v>
      </c>
      <c r="C111" s="737" t="str">
        <f ca="1">C95</f>
        <v>MSFT</v>
      </c>
      <c r="D111" s="887">
        <f ca="1">Comparables!M14+RAND()/1000000</f>
        <v>0.4807955183887844</v>
      </c>
      <c r="E111" s="888">
        <f ca="1">E110</f>
        <v>0.3430091765421167</v>
      </c>
      <c r="F111" s="16"/>
      <c r="G111" s="16"/>
      <c r="H111" s="16"/>
      <c r="I111" s="16"/>
      <c r="J111" s="16"/>
      <c r="K111" s="16"/>
      <c r="L111" s="16"/>
      <c r="M111" s="16"/>
      <c r="N111" s="16"/>
      <c r="O111" s="737" t="str">
        <f ca="1">INDEX($C$109:$C$113,MATCH(P111,$D$109:$D$113,0),1)</f>
        <v>GOOGL</v>
      </c>
      <c r="P111" s="888">
        <f ca="1">LARGE($D$109:$D$113,B111)</f>
        <v>0.3430091765421167</v>
      </c>
      <c r="Q111" s="888">
        <f ca="1">E111</f>
        <v>0.3430091765421167</v>
      </c>
      <c r="R111" s="16"/>
      <c r="S111" s="16"/>
      <c r="T111" s="16"/>
      <c r="U111" s="16"/>
      <c r="V111" s="16"/>
      <c r="W111" s="16"/>
      <c r="X111" s="16"/>
      <c r="Y111" s="16"/>
      <c r="Z111" s="16"/>
    </row>
    <row r="112" ht="13.5" customHeight="1" spans="1:26" x14ac:dyDescent="0.25">
      <c r="A112" s="17"/>
      <c r="B112" s="16">
        <f ca="1">B111+1</f>
        <v>4</v>
      </c>
      <c r="C112" s="737" t="str">
        <f ca="1">C96</f>
        <v>SNAP</v>
      </c>
      <c r="D112" s="887">
        <f ca="1">Comparables!M15+RAND()/1000000</f>
        <v>-0.19595847131410862</v>
      </c>
      <c r="E112" s="888">
        <f ca="1">E111</f>
        <v>0.3430091765421167</v>
      </c>
      <c r="F112" s="16"/>
      <c r="G112" s="16"/>
      <c r="H112" s="16"/>
      <c r="I112" s="16"/>
      <c r="J112" s="16"/>
      <c r="K112" s="16"/>
      <c r="L112" s="16"/>
      <c r="M112" s="16"/>
      <c r="N112" s="16"/>
      <c r="O112" s="737" t="str">
        <f ca="1">INDEX($C$109:$C$113,MATCH(P112,$D$109:$D$113,0),1)</f>
        <v>AAPL</v>
      </c>
      <c r="P112" s="888">
        <f ca="1">LARGE($D$109:$D$113,B112)</f>
        <v>0.3195546689922927</v>
      </c>
      <c r="Q112" s="888">
        <f ca="1">E112</f>
        <v>0.3430091765421167</v>
      </c>
      <c r="R112" s="16"/>
      <c r="S112" s="16"/>
      <c r="T112" s="16"/>
      <c r="U112" s="16"/>
      <c r="V112" s="16"/>
      <c r="W112" s="16"/>
      <c r="X112" s="16"/>
      <c r="Y112" s="16"/>
      <c r="Z112" s="16"/>
    </row>
    <row r="113" ht="13.5" customHeight="1" spans="1:26" x14ac:dyDescent="0.25">
      <c r="A113" s="17"/>
      <c r="B113" s="16">
        <f ca="1">B112+1</f>
        <v>5</v>
      </c>
      <c r="C113" s="737" t="str">
        <f ca="1">C97</f>
        <v>GOOGL</v>
      </c>
      <c r="D113" s="887">
        <f ca="1">Comparables!M16+RAND()/1000000</f>
        <v>0.3430091765421167</v>
      </c>
      <c r="E113" s="888">
        <f ca="1">E112</f>
        <v>0.3430091765421167</v>
      </c>
      <c r="F113" s="16"/>
      <c r="G113" s="16"/>
      <c r="H113" s="16"/>
      <c r="I113" s="16"/>
      <c r="J113" s="16"/>
      <c r="K113" s="16"/>
      <c r="L113" s="16"/>
      <c r="M113" s="16"/>
      <c r="N113" s="16"/>
      <c r="O113" s="737" t="str">
        <f ca="1">INDEX($C$109:$C$113,MATCH(P113,$D$109:$D$113,0),1)</f>
        <v>SNAP</v>
      </c>
      <c r="P113" s="888">
        <f ca="1">LARGE($D$109:$D$113,B113)</f>
        <v>-0.19595847131410862</v>
      </c>
      <c r="Q113" s="888">
        <f ca="1">E113</f>
        <v>0.3430091765421167</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 ca="1">"Median "&amp;TEXT(E109,"0.0%")</f>
        <v>Median 34.3%</v>
      </c>
      <c r="F115" s="16"/>
      <c r="G115" s="16"/>
      <c r="H115" s="16"/>
      <c r="I115" s="16"/>
      <c r="J115" s="16"/>
      <c r="K115" s="16"/>
      <c r="L115" s="16"/>
      <c r="M115" s="16"/>
      <c r="N115" s="16"/>
      <c r="O115" s="16"/>
      <c r="P115" s="16"/>
      <c r="Q115" s="889" t="str">
        <f ca="1">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 ca="1">C106</f>
        <v>Raw Data</v>
      </c>
      <c r="D122" s="112"/>
      <c r="E122" s="112"/>
      <c r="F122" s="47"/>
      <c r="G122" s="16"/>
      <c r="H122" s="16"/>
      <c r="I122" s="16"/>
      <c r="J122" s="16"/>
      <c r="K122" s="16"/>
      <c r="L122" s="16"/>
      <c r="M122" s="16"/>
      <c r="N122" s="16"/>
      <c r="O122" s="883" t="str">
        <f ca="1">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4" ca="1">C108</f>
        <v>LOW</v>
      </c>
      <c r="D124" s="885">
        <f ca="1">Comparables!I28</f>
        <v>0.015541000000000001</v>
      </c>
      <c r="E124" s="886"/>
      <c r="F124" s="16"/>
      <c r="G124" s="16"/>
      <c r="H124" s="16"/>
      <c r="I124" s="16"/>
      <c r="J124" s="16"/>
      <c r="K124" s="16"/>
      <c r="L124" s="16"/>
      <c r="M124" s="16"/>
      <c r="N124" s="16"/>
      <c r="O124" s="884" t="str">
        <f t="shared" ref="O124:P124" si="45" ca="1">C124</f>
        <v>LOW</v>
      </c>
      <c r="P124" s="886">
        <f ca="1">D124</f>
        <v>0.015541000000000001</v>
      </c>
      <c r="Q124" s="886"/>
      <c r="R124" s="16"/>
      <c r="S124" s="16"/>
      <c r="T124" s="16"/>
      <c r="U124" s="16"/>
      <c r="V124" s="16"/>
      <c r="W124" s="16"/>
      <c r="X124" s="16"/>
      <c r="Y124" s="16"/>
      <c r="Z124" s="16"/>
    </row>
    <row r="125" ht="13.5" customHeight="1" spans="1:26" x14ac:dyDescent="0.25">
      <c r="A125" s="17"/>
      <c r="B125" s="641">
        <v>1</v>
      </c>
      <c r="C125" s="737" t="str">
        <f ca="1">C109</f>
        <v>AAPL</v>
      </c>
      <c r="D125" s="887">
        <f ca="1">Comparables!I30</f>
        <v>0.005920999999999999</v>
      </c>
      <c r="E125" s="888">
        <f ca="1">MEDIAN(D125:D129)</f>
        <v>0</v>
      </c>
      <c r="F125" s="16"/>
      <c r="G125" s="16"/>
      <c r="H125" s="16"/>
      <c r="I125" s="16"/>
      <c r="J125" s="16"/>
      <c r="K125" s="16"/>
      <c r="L125" s="16"/>
      <c r="M125" s="16"/>
      <c r="N125" s="16"/>
      <c r="O125" s="737" t="str">
        <f t="shared" ref="O125:O129" si="46" ca="1">INDEX($C$125:$C$129,MATCH(P125,$D$125:$D$129,0),1)</f>
        <v>MSFT</v>
      </c>
      <c r="P125" s="888">
        <f t="shared" ref="P125:P129" si="47" ca="1">LARGE($D$125:$D$129,B125)</f>
        <v>0.007473</v>
      </c>
      <c r="Q125" s="888">
        <f t="shared" ref="Q125:Q129" si="48" ca="1">E125</f>
        <v>1e-12</v>
      </c>
      <c r="R125" s="16"/>
      <c r="S125" s="16"/>
      <c r="T125" s="16"/>
      <c r="U125" s="16"/>
      <c r="V125" s="16"/>
      <c r="W125" s="16"/>
      <c r="X125" s="16"/>
      <c r="Y125" s="16"/>
      <c r="Z125" s="16"/>
    </row>
    <row r="126" ht="13.5" customHeight="1" spans="1:26" x14ac:dyDescent="0.25">
      <c r="A126" s="17"/>
      <c r="B126" s="16">
        <f t="shared" ref="B126:B129" si="49" ca="1">B125+1</f>
        <v>2</v>
      </c>
      <c r="C126" s="737" t="str">
        <f ca="1">C110</f>
        <v>FB</v>
      </c>
      <c r="D126" s="887">
        <f ca="1">IF(ISNUMBER(Comparables!I31),Comparables!I31,0)</f>
        <v>0</v>
      </c>
      <c r="E126" s="888">
        <f t="shared" ref="E126:E129" si="50" ca="1">E125</f>
        <v>1e-12</v>
      </c>
      <c r="F126" s="16"/>
      <c r="G126" s="16"/>
      <c r="H126" s="16"/>
      <c r="I126" s="16"/>
      <c r="J126" s="16"/>
      <c r="K126" s="16"/>
      <c r="L126" s="16"/>
      <c r="M126" s="16"/>
      <c r="N126" s="16"/>
      <c r="O126" s="737" t="str">
        <f ca="1">INDEX($C$125:$C$129,MATCH(P126,$D$125:$D$129,0),1)</f>
        <v>AAPL</v>
      </c>
      <c r="P126" s="888">
        <f ca="1">LARGE($D$125:$D$129,B126)</f>
        <v>0.005920999999999999</v>
      </c>
      <c r="Q126" s="888">
        <f ca="1">E126</f>
        <v>1e-12</v>
      </c>
      <c r="R126" s="16"/>
      <c r="S126" s="16"/>
      <c r="T126" s="16"/>
      <c r="U126" s="16"/>
      <c r="V126" s="16"/>
      <c r="W126" s="16"/>
      <c r="X126" s="16"/>
      <c r="Y126" s="16"/>
      <c r="Z126" s="16"/>
    </row>
    <row r="127" ht="13.5" customHeight="1" spans="1:26" x14ac:dyDescent="0.25">
      <c r="A127" s="17"/>
      <c r="B127" s="16">
        <f ca="1">B126+1</f>
        <v>3</v>
      </c>
      <c r="C127" s="737" t="str">
        <f ca="1">C111</f>
        <v>MSFT</v>
      </c>
      <c r="D127" s="887">
        <f ca="1">Comparables!I32</f>
        <v>0.007473</v>
      </c>
      <c r="E127" s="888">
        <f ca="1">E126</f>
        <v>1e-12</v>
      </c>
      <c r="F127" s="16"/>
      <c r="G127" s="16"/>
      <c r="H127" s="16"/>
      <c r="I127" s="16"/>
      <c r="J127" s="16"/>
      <c r="K127" s="16"/>
      <c r="L127" s="16"/>
      <c r="M127" s="16"/>
      <c r="N127" s="16"/>
      <c r="O127" s="737" t="str">
        <f ca="1">INDEX($C$125:$C$129,MATCH(P127,$D$125:$D$129,0),1)</f>
        <v>FB</v>
      </c>
      <c r="P127" s="888">
        <f ca="1">LARGE($D$125:$D$129,B127)</f>
      </c>
      <c r="Q127" s="888">
        <f ca="1">E127</f>
        <v>1e-12</v>
      </c>
      <c r="R127" s="16"/>
      <c r="S127" s="16"/>
      <c r="T127" s="16"/>
      <c r="U127" s="16"/>
      <c r="V127" s="16"/>
      <c r="W127" s="16"/>
      <c r="X127" s="16"/>
      <c r="Y127" s="16"/>
      <c r="Z127" s="16"/>
    </row>
    <row r="128" ht="13.5" customHeight="1" spans="1:26" x14ac:dyDescent="0.25">
      <c r="A128" s="17"/>
      <c r="B128" s="16">
        <f ca="1">B127+1</f>
        <v>4</v>
      </c>
      <c r="C128" s="737" t="str">
        <f ca="1">C112</f>
        <v>SNAP</v>
      </c>
      <c r="D128" s="887">
        <f ca="1">Comparables!I33</f>
        <v>1e-12</v>
      </c>
      <c r="E128" s="888">
        <f ca="1">E127</f>
        <v>1e-12</v>
      </c>
      <c r="F128" s="16"/>
      <c r="G128" s="16"/>
      <c r="H128" s="16"/>
      <c r="I128" s="16"/>
      <c r="J128" s="16"/>
      <c r="K128" s="16"/>
      <c r="L128" s="16"/>
      <c r="M128" s="16"/>
      <c r="N128" s="16"/>
      <c r="O128" s="737" t="str">
        <f ca="1">INDEX($C$125:$C$129,MATCH(P128,$D$125:$D$129,0),1)</f>
        <v>FB</v>
      </c>
      <c r="P128" s="888">
        <f ca="1">LARGE($D$125:$D$129,B128)</f>
      </c>
      <c r="Q128" s="888">
        <f ca="1">E128</f>
        <v>1e-12</v>
      </c>
      <c r="R128" s="16"/>
      <c r="S128" s="16"/>
      <c r="T128" s="16"/>
      <c r="U128" s="16"/>
      <c r="V128" s="16"/>
      <c r="W128" s="16"/>
      <c r="X128" s="16"/>
      <c r="Y128" s="16"/>
      <c r="Z128" s="16"/>
    </row>
    <row r="129" ht="13.5" customHeight="1" spans="1:26" x14ac:dyDescent="0.25">
      <c r="A129" s="17"/>
      <c r="B129" s="16">
        <f ca="1">B128+1</f>
        <v>5</v>
      </c>
      <c r="C129" s="737" t="str">
        <f ca="1">C113</f>
        <v>GOOGL</v>
      </c>
      <c r="D129" s="887">
        <f ca="1">Comparables!I34</f>
        <v>1e-12</v>
      </c>
      <c r="E129" s="888">
        <f ca="1">E128</f>
        <v>1e-12</v>
      </c>
      <c r="F129" s="16"/>
      <c r="G129" s="16"/>
      <c r="H129" s="16"/>
      <c r="I129" s="16"/>
      <c r="J129" s="16"/>
      <c r="K129" s="16"/>
      <c r="L129" s="16"/>
      <c r="M129" s="16"/>
      <c r="N129" s="16"/>
      <c r="O129" s="737" t="str">
        <f ca="1">INDEX($C$125:$C$129,MATCH(P129,$D$125:$D$129,0),1)</f>
        <v>FB</v>
      </c>
      <c r="P129" s="888">
        <f ca="1">LARGE($D$125:$D$129,B129)</f>
      </c>
      <c r="Q129" s="888">
        <f ca="1">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 ca="1">"Median "&amp;TEXT(E125,"0.0%")</f>
        <v>Median 0.0%</v>
      </c>
      <c r="F131" s="16"/>
      <c r="G131" s="16"/>
      <c r="H131" s="16"/>
      <c r="I131" s="16"/>
      <c r="J131" s="16"/>
      <c r="K131" s="16"/>
      <c r="L131" s="16"/>
      <c r="M131" s="16"/>
      <c r="N131" s="16"/>
      <c r="O131" s="16"/>
      <c r="P131" s="16"/>
      <c r="Q131" s="889" t="str">
        <f ca="1">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960</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 ca="1">C122</f>
        <v>Raw Data</v>
      </c>
      <c r="D138" s="112"/>
      <c r="E138" s="112"/>
      <c r="F138" s="4"/>
      <c r="G138" s="4"/>
      <c r="H138" s="4"/>
      <c r="I138" s="4"/>
      <c r="J138" s="4"/>
      <c r="K138" s="4"/>
      <c r="L138" s="4"/>
      <c r="M138" s="4"/>
      <c r="N138" s="4"/>
      <c r="O138" s="883" t="str">
        <f ca="1">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1" ca="1">C124</f>
        <v>LOW</v>
      </c>
      <c r="D140" s="894">
        <v>0.2828</v>
      </c>
      <c r="E140" s="4"/>
      <c r="F140" s="4"/>
      <c r="G140" s="4"/>
      <c r="H140" s="4"/>
      <c r="I140" s="4"/>
      <c r="J140" s="4"/>
      <c r="K140" s="4"/>
      <c r="L140" s="4"/>
      <c r="M140" s="4"/>
      <c r="N140" s="4"/>
      <c r="O140" s="737" t="str">
        <f t="shared" ref="O140:O145" si="52" ca="1">INDEX($C$140:$C$145,MATCH(P140,$D$140:$D$145,0),1)</f>
        <v>LOW</v>
      </c>
      <c r="P140" s="888">
        <f t="shared" ref="P140:P145" si="53" ca="1">LARGE($D$140:$D$145,B140)</f>
        <v>0.2828</v>
      </c>
      <c r="Q140" s="4"/>
      <c r="R140" s="4"/>
      <c r="S140" s="4"/>
      <c r="T140" s="4"/>
      <c r="U140" s="4"/>
      <c r="V140" s="4"/>
      <c r="W140" s="4"/>
      <c r="X140" s="4"/>
      <c r="Y140" s="4"/>
      <c r="Z140" s="4"/>
    </row>
    <row r="141" ht="13.5" customHeight="1" spans="1:26" x14ac:dyDescent="0.25">
      <c r="A141" s="4"/>
      <c r="B141" s="641">
        <f t="shared" ref="B141:B145" si="54" ca="1">B140+1</f>
        <v>2</v>
      </c>
      <c r="C141" s="737" t="str">
        <f ca="1">C125</f>
        <v>AAPL</v>
      </c>
      <c r="D141" s="894">
        <v>0.2175</v>
      </c>
      <c r="E141" s="888"/>
      <c r="F141" s="4"/>
      <c r="G141" s="4"/>
      <c r="H141" s="4"/>
      <c r="I141" s="4"/>
      <c r="J141" s="4"/>
      <c r="K141" s="4"/>
      <c r="L141" s="4"/>
      <c r="M141" s="4"/>
      <c r="N141" s="4"/>
      <c r="O141" s="737" t="str">
        <f ca="1">INDEX($C$140:$C$145,MATCH(P141,$D$140:$D$145,0),1)</f>
        <v>AAPL</v>
      </c>
      <c r="P141" s="888">
        <f ca="1">LARGE($D$140:$D$145,B141)</f>
        <v>0.2175</v>
      </c>
      <c r="Q141" s="4"/>
      <c r="R141" s="4"/>
      <c r="S141" s="4"/>
      <c r="T141" s="4"/>
      <c r="U141" s="4"/>
      <c r="V141" s="4"/>
      <c r="W141" s="4"/>
      <c r="X141" s="4"/>
      <c r="Y141" s="4"/>
      <c r="Z141" s="4"/>
    </row>
    <row r="142" ht="13.5" customHeight="1" spans="1:26" x14ac:dyDescent="0.25">
      <c r="A142" s="4"/>
      <c r="B142" s="641">
        <f ca="1">B141+1</f>
        <v>3</v>
      </c>
      <c r="C142" s="737" t="str">
        <f ca="1">C126</f>
        <v>FB</v>
      </c>
      <c r="D142" s="894">
        <v>0</v>
      </c>
      <c r="E142" s="888"/>
      <c r="F142" s="4"/>
      <c r="G142" s="4"/>
      <c r="H142" s="4"/>
      <c r="I142" s="4"/>
      <c r="J142" s="4"/>
      <c r="K142" s="4"/>
      <c r="L142" s="4"/>
      <c r="M142" s="4"/>
      <c r="N142" s="4"/>
      <c r="O142" s="737" t="str">
        <f ca="1">INDEX($C$140:$C$145,MATCH(P142,$D$140:$D$145,0),1)</f>
        <v>FB</v>
      </c>
      <c r="P142" s="888">
        <f ca="1">LARGE($D$140:$D$145,B142)</f>
      </c>
      <c r="Q142" s="4"/>
      <c r="R142" s="4"/>
      <c r="S142" s="4"/>
      <c r="T142" s="4"/>
      <c r="U142" s="4"/>
      <c r="V142" s="4"/>
      <c r="W142" s="4"/>
      <c r="X142" s="4"/>
      <c r="Y142" s="4"/>
      <c r="Z142" s="4"/>
    </row>
    <row r="143" ht="13.5" customHeight="1" spans="1:26" x14ac:dyDescent="0.25">
      <c r="A143" s="4"/>
      <c r="B143" s="641">
        <f ca="1">B142+1</f>
        <v>4</v>
      </c>
      <c r="C143" s="737" t="str">
        <f ca="1">C127</f>
        <v>MSFT</v>
      </c>
      <c r="D143" s="894">
        <v>0</v>
      </c>
      <c r="E143" s="888"/>
      <c r="F143" s="4"/>
      <c r="G143" s="4"/>
      <c r="H143" s="4"/>
      <c r="I143" s="4"/>
      <c r="J143" s="4"/>
      <c r="K143" s="4"/>
      <c r="L143" s="4"/>
      <c r="M143" s="4"/>
      <c r="N143" s="4"/>
      <c r="O143" s="737" t="str">
        <f ca="1">INDEX($C$140:$C$145,MATCH(P143,$D$140:$D$145,0),1)</f>
        <v>FB</v>
      </c>
      <c r="P143" s="888">
        <f ca="1">LARGE($D$140:$D$145,B143)</f>
      </c>
      <c r="Q143" s="4"/>
      <c r="R143" s="4"/>
      <c r="S143" s="4"/>
      <c r="T143" s="4"/>
      <c r="U143" s="4"/>
      <c r="V143" s="4"/>
      <c r="W143" s="4"/>
      <c r="X143" s="4"/>
      <c r="Y143" s="4"/>
      <c r="Z143" s="4"/>
    </row>
    <row r="144" ht="13.5" customHeight="1" spans="1:26" x14ac:dyDescent="0.25">
      <c r="A144" s="4"/>
      <c r="B144" s="641">
        <f ca="1">B143+1</f>
        <v>5</v>
      </c>
      <c r="C144" s="737" t="str">
        <f ca="1">C128</f>
        <v>SNAP</v>
      </c>
      <c r="D144" s="894">
        <v>0</v>
      </c>
      <c r="E144" s="888"/>
      <c r="F144" s="4"/>
      <c r="G144" s="4"/>
      <c r="H144" s="4"/>
      <c r="I144" s="4"/>
      <c r="J144" s="4"/>
      <c r="K144" s="4"/>
      <c r="L144" s="4"/>
      <c r="M144" s="4"/>
      <c r="N144" s="4"/>
      <c r="O144" s="737" t="str">
        <f ca="1">INDEX($C$140:$C$145,MATCH(P144,$D$140:$D$145,0),1)</f>
        <v>FB</v>
      </c>
      <c r="P144" s="888">
        <f ca="1">LARGE($D$140:$D$145,B144)</f>
      </c>
      <c r="Q144" s="4"/>
      <c r="R144" s="4"/>
      <c r="S144" s="4"/>
      <c r="T144" s="4"/>
      <c r="U144" s="4"/>
      <c r="V144" s="4"/>
      <c r="W144" s="4"/>
      <c r="X144" s="4"/>
      <c r="Y144" s="4"/>
      <c r="Z144" s="4"/>
    </row>
    <row r="145" ht="13.5" customHeight="1" spans="1:26" x14ac:dyDescent="0.25">
      <c r="A145" s="4"/>
      <c r="B145" s="641">
        <f ca="1">B144+1</f>
        <v>6</v>
      </c>
      <c r="C145" s="737" t="str">
        <f ca="1">C129</f>
        <v>GOOGL</v>
      </c>
      <c r="D145" s="894">
        <v>0</v>
      </c>
      <c r="E145" s="888"/>
      <c r="F145" s="4"/>
      <c r="G145" s="4"/>
      <c r="H145" s="4"/>
      <c r="I145" s="4"/>
      <c r="J145" s="4"/>
      <c r="K145" s="4"/>
      <c r="L145" s="4"/>
      <c r="M145" s="4"/>
      <c r="N145" s="4"/>
      <c r="O145" s="737" t="str">
        <f ca="1">INDEX($C$140:$C$145,MATCH(P145,$D$140:$D$145,0),1)</f>
        <v>FB</v>
      </c>
      <c r="P145" s="888">
        <f ca="1">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961</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 ca="1">C138</f>
        <v>Raw Data</v>
      </c>
      <c r="D154" s="112"/>
      <c r="E154" s="112"/>
      <c r="F154" s="4"/>
      <c r="G154" s="4"/>
      <c r="H154" s="4"/>
      <c r="I154" s="4"/>
      <c r="J154" s="4"/>
      <c r="K154" s="4"/>
      <c r="L154" s="4"/>
      <c r="M154" s="4"/>
      <c r="N154" s="4"/>
      <c r="O154" s="883" t="str">
        <f ca="1">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5" ca="1">C140</f>
        <v>LOW</v>
      </c>
      <c r="D156" s="894">
        <v>0.244</v>
      </c>
      <c r="E156" s="4"/>
      <c r="F156" s="4"/>
      <c r="G156" s="4"/>
      <c r="H156" s="4"/>
      <c r="I156" s="4"/>
      <c r="J156" s="4"/>
      <c r="K156" s="4"/>
      <c r="L156" s="4"/>
      <c r="M156" s="4"/>
      <c r="N156" s="4"/>
      <c r="O156" s="737" t="str">
        <f t="shared" ref="O156:O161" si="56" ca="1">INDEX($C$156:$C$161,MATCH(P156,$D$156:$D$161,0),1)</f>
        <v>LOW</v>
      </c>
      <c r="P156" s="888">
        <f t="shared" ref="P156:P161" si="57" ca="1">LARGE($D$156:$D$161,B156)</f>
        <v>0.244</v>
      </c>
      <c r="Q156" s="4"/>
      <c r="R156" s="4"/>
      <c r="S156" s="4"/>
      <c r="T156" s="4"/>
      <c r="U156" s="4"/>
      <c r="V156" s="4"/>
      <c r="W156" s="4"/>
      <c r="X156" s="4"/>
      <c r="Y156" s="4"/>
      <c r="Z156" s="4"/>
    </row>
    <row r="157" ht="13.5" customHeight="1" spans="1:26" x14ac:dyDescent="0.25">
      <c r="A157" s="4"/>
      <c r="B157" s="641">
        <f t="shared" ref="B157:B161" si="58" ca="1">B156+1</f>
        <v>2</v>
      </c>
      <c r="C157" s="737" t="str">
        <f ca="1">C141</f>
        <v>AAPL</v>
      </c>
      <c r="D157" s="894">
        <v>0.1296</v>
      </c>
      <c r="E157" s="4"/>
      <c r="F157" s="4"/>
      <c r="G157" s="4"/>
      <c r="H157" s="4"/>
      <c r="I157" s="4"/>
      <c r="J157" s="4"/>
      <c r="K157" s="4"/>
      <c r="L157" s="4"/>
      <c r="M157" s="4"/>
      <c r="N157" s="4"/>
      <c r="O157" s="737" t="str">
        <f ca="1">INDEX($C$156:$C$161,MATCH(P157,$D$156:$D$161,0),1)</f>
        <v>AAPL</v>
      </c>
      <c r="P157" s="888">
        <f ca="1">LARGE($D$156:$D$161,B157)</f>
        <v>0.1296</v>
      </c>
      <c r="Q157" s="4"/>
      <c r="R157" s="4"/>
      <c r="S157" s="4"/>
      <c r="T157" s="4"/>
      <c r="U157" s="4"/>
      <c r="V157" s="4"/>
      <c r="W157" s="4"/>
      <c r="X157" s="4"/>
      <c r="Y157" s="4"/>
      <c r="Z157" s="4"/>
    </row>
    <row r="158" ht="13.5" customHeight="1" spans="1:26" x14ac:dyDescent="0.25">
      <c r="A158" s="4"/>
      <c r="B158" s="641">
        <f ca="1">B157+1</f>
        <v>3</v>
      </c>
      <c r="C158" s="737" t="str">
        <f ca="1">C142</f>
        <v>FB</v>
      </c>
      <c r="D158" s="894">
        <v>0</v>
      </c>
      <c r="E158" s="4"/>
      <c r="F158" s="4"/>
      <c r="G158" s="4"/>
      <c r="H158" s="4"/>
      <c r="I158" s="4"/>
      <c r="J158" s="4"/>
      <c r="K158" s="4"/>
      <c r="L158" s="4"/>
      <c r="M158" s="4"/>
      <c r="N158" s="4"/>
      <c r="O158" s="737" t="str">
        <f ca="1">INDEX($C$156:$C$161,MATCH(P158,$D$156:$D$161,0),1)</f>
        <v>FB</v>
      </c>
      <c r="P158" s="888">
        <f ca="1">LARGE($D$156:$D$161,B158)</f>
      </c>
      <c r="Q158" s="4"/>
      <c r="R158" s="4"/>
      <c r="S158" s="4"/>
      <c r="T158" s="4"/>
      <c r="U158" s="4"/>
      <c r="V158" s="4"/>
      <c r="W158" s="4"/>
      <c r="X158" s="4"/>
      <c r="Y158" s="4"/>
      <c r="Z158" s="4"/>
    </row>
    <row r="159" ht="13.5" customHeight="1" spans="1:26" x14ac:dyDescent="0.25">
      <c r="A159" s="4"/>
      <c r="B159" s="641">
        <f ca="1">B158+1</f>
        <v>4</v>
      </c>
      <c r="C159" s="737" t="str">
        <f ca="1">C143</f>
        <v>MSFT</v>
      </c>
      <c r="D159" s="894">
        <v>0</v>
      </c>
      <c r="E159" s="4"/>
      <c r="F159" s="4"/>
      <c r="G159" s="4"/>
      <c r="H159" s="4"/>
      <c r="I159" s="4"/>
      <c r="J159" s="4"/>
      <c r="K159" s="4"/>
      <c r="L159" s="4"/>
      <c r="M159" s="4"/>
      <c r="N159" s="4"/>
      <c r="O159" s="737" t="str">
        <f ca="1">INDEX($C$156:$C$161,MATCH(P159,$D$156:$D$161,0),1)</f>
        <v>FB</v>
      </c>
      <c r="P159" s="888">
        <f ca="1">LARGE($D$156:$D$161,B159)</f>
      </c>
      <c r="Q159" s="4"/>
      <c r="R159" s="4"/>
      <c r="S159" s="4"/>
      <c r="T159" s="4"/>
      <c r="U159" s="4"/>
      <c r="V159" s="4"/>
      <c r="W159" s="4"/>
      <c r="X159" s="4"/>
      <c r="Y159" s="4"/>
      <c r="Z159" s="4"/>
    </row>
    <row r="160" ht="13.5" customHeight="1" spans="1:26" x14ac:dyDescent="0.25">
      <c r="A160" s="4"/>
      <c r="B160" s="641">
        <f ca="1">B159+1</f>
        <v>5</v>
      </c>
      <c r="C160" s="737" t="str">
        <f ca="1">C144</f>
        <v>SNAP</v>
      </c>
      <c r="D160" s="894">
        <v>0</v>
      </c>
      <c r="E160" s="4"/>
      <c r="F160" s="4"/>
      <c r="G160" s="4"/>
      <c r="H160" s="4"/>
      <c r="I160" s="4"/>
      <c r="J160" s="4"/>
      <c r="K160" s="4"/>
      <c r="L160" s="4"/>
      <c r="M160" s="4"/>
      <c r="N160" s="4"/>
      <c r="O160" s="737" t="str">
        <f ca="1">INDEX($C$156:$C$161,MATCH(P160,$D$156:$D$161,0),1)</f>
        <v>FB</v>
      </c>
      <c r="P160" s="888">
        <f ca="1">LARGE($D$156:$D$161,B160)</f>
      </c>
      <c r="Q160" s="4"/>
      <c r="R160" s="4"/>
      <c r="S160" s="4"/>
      <c r="T160" s="4"/>
      <c r="U160" s="4"/>
      <c r="V160" s="4"/>
      <c r="W160" s="4"/>
      <c r="X160" s="4"/>
      <c r="Y160" s="4"/>
      <c r="Z160" s="4"/>
    </row>
    <row r="161" ht="13.5" customHeight="1" spans="1:26" x14ac:dyDescent="0.25">
      <c r="A161" s="4"/>
      <c r="B161" s="641">
        <f ca="1">B160+1</f>
        <v>6</v>
      </c>
      <c r="C161" s="737" t="str">
        <f ca="1">C145</f>
        <v>GOOGL</v>
      </c>
      <c r="D161" s="894">
        <v>0</v>
      </c>
      <c r="E161" s="4"/>
      <c r="F161" s="4"/>
      <c r="G161" s="4"/>
      <c r="H161" s="4"/>
      <c r="I161" s="4"/>
      <c r="J161" s="4"/>
      <c r="K161" s="4"/>
      <c r="L161" s="4"/>
      <c r="M161" s="4"/>
      <c r="N161" s="4"/>
      <c r="O161" s="737" t="str">
        <f ca="1">INDEX($C$156:$C$161,MATCH(P161,$D$156:$D$161,0),1)</f>
        <v>FB</v>
      </c>
      <c r="P161" s="888">
        <f ca="1">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 ca="1">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962</v>
      </c>
      <c r="D4" s="16"/>
      <c r="E4" s="16"/>
      <c r="F4" s="16"/>
      <c r="G4" s="16"/>
      <c r="H4" s="53" t="s">
        <v>963</v>
      </c>
      <c r="I4" s="16"/>
      <c r="J4" s="16"/>
      <c r="K4" s="16"/>
      <c r="L4" s="16"/>
      <c r="M4" s="16"/>
      <c r="N4" s="16"/>
      <c r="O4" s="16"/>
      <c r="P4" s="16"/>
      <c r="Q4" s="4"/>
      <c r="R4" s="4"/>
      <c r="S4" s="4"/>
      <c r="T4" s="4"/>
      <c r="U4" s="4"/>
      <c r="V4" s="4"/>
      <c r="W4" s="4"/>
      <c r="X4" s="4"/>
      <c r="Y4" s="4"/>
      <c r="Z4" s="4"/>
    </row>
    <row r="5" ht="14.25" customHeight="1" spans="1:26" x14ac:dyDescent="0.25">
      <c r="A5" s="16"/>
      <c r="B5" s="16"/>
      <c r="C5" s="16" t="s">
        <v>964</v>
      </c>
      <c r="D5" s="16"/>
      <c r="E5" s="16"/>
      <c r="F5" s="16"/>
      <c r="G5" s="16"/>
      <c r="H5" s="895">
        <f ca="1">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965</v>
      </c>
      <c r="D6" s="16"/>
      <c r="E6" s="16"/>
      <c r="F6" s="16"/>
      <c r="G6" s="16"/>
      <c r="H6" s="896" t="str">
        <f ca="1">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966</v>
      </c>
      <c r="D7" s="16"/>
      <c r="E7" s="16"/>
      <c r="F7" s="16"/>
      <c r="G7" s="16"/>
      <c r="H7" s="895">
        <f ca="1">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967</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 ca="1">Ticker&amp;" "&amp;H4&amp;RIGHT(H5,2)&amp;" Operating Expectations"</f>
        <v>LOW 4Q26 Operating Expectations</v>
      </c>
      <c r="D10" s="110"/>
      <c r="E10" s="110"/>
      <c r="F10" s="110"/>
      <c r="G10" s="110"/>
      <c r="H10" s="111" t="s">
        <v>968</v>
      </c>
      <c r="I10" s="111" t="s">
        <v>969</v>
      </c>
      <c r="J10" s="111" t="str">
        <f ca="1">H4&amp;RIGHT(H7,2)&amp;"a"</f>
        <v>4Q25a</v>
      </c>
      <c r="K10" s="111" t="str">
        <f ca="1">IF(H4="1Q",Last_FQR&amp;RIGHT(H7,2)&amp;"a",Last_FQR&amp;RIGHT(H5,2)&amp;"a")</f>
        <v>2Q26a</v>
      </c>
      <c r="L10" s="897" t="str">
        <f t="shared" ref="L10:N10" si="0" ca="1">"v. "&amp;I10</f>
        <v>v. Consensus</v>
      </c>
      <c r="M10" s="111" t="str">
        <f ca="1">"v. "&amp;J10</f>
        <v>v. 4Q25a</v>
      </c>
      <c r="N10" s="111" t="str">
        <f ca="1">"v.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9">
        <v>19670.3</v>
      </c>
      <c r="J12" s="898">
        <f t="array" ref="J12" ca="1">INDEX(Data,MATCH($C12,Line_Items,0),MATCH(LEFT(J$10,4),Fiscal_Periods,0))</f>
        <v>20311</v>
      </c>
      <c r="K12" s="898">
        <f t="array" ref="K12" ca="1">INDEX(Data,MATCH($C12,Line_Items,0),MATCH(LEFT(K$10,4),Fiscal_Periods,0))</f>
        <v>27570</v>
      </c>
      <c r="L12" s="900">
        <f t="shared" ref="L12:N12" si="1" ca="1">IFERROR($H12/I12-1,"N/A")</f>
        <v>0.1068514460887735</v>
      </c>
      <c r="M12" s="595">
        <f ca="1">IFERROR($H12/J12-1,"N/A")</f>
        <v>0.07193638914873701</v>
      </c>
      <c r="N12" s="595">
        <f ca="1">IFERROR($H12/K12-1,"N/A")</f>
        <v>-0.21029742473703306</v>
      </c>
      <c r="O12" s="16"/>
      <c r="P12" s="16"/>
      <c r="Q12" s="4"/>
      <c r="R12" s="4"/>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2">
        <v>3968.1</v>
      </c>
      <c r="J13" s="901">
        <f t="array" ref="J13" ca="1">INDEX(Data,MATCH($C13,Line_Items,0),MATCH(LEFT(J$10,4),Fiscal_Periods,0))</f>
        <v>6466</v>
      </c>
      <c r="K13" s="901">
        <f t="array" ref="K13" ca="1">INDEX(Data,MATCH($C13,Line_Items,0),MATCH(LEFT(K$10,4),Fiscal_Periods,0))</f>
        <v>9312</v>
      </c>
      <c r="L13" s="900">
        <f t="shared" ref="L13:N13" si="2" ca="1">IFERROR($H13/I13-1,"N/A")</f>
        <v>-0.28671832867115254</v>
      </c>
      <c r="M13" s="595">
        <f ca="1">IFERROR($H13/J13-1,"N/A")</f>
        <v>-0.5622683266316115</v>
      </c>
      <c r="N13" s="595">
        <f ca="1">IFERROR($H13/K13-1,"N/A")</f>
        <v>-0.6960510094501718</v>
      </c>
      <c r="O13" s="16"/>
      <c r="P13" s="16"/>
      <c r="Q13" s="4"/>
      <c r="R13" s="4"/>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4">
        <v>0.202</v>
      </c>
      <c r="J14" s="903">
        <f t="array" ref="J14" ca="1">INDEX(Data,MATCH($C14,Line_Items,0),MATCH(LEFT(J$10,4),Fiscal_Periods,0))</f>
        <v>0.31834966274432575</v>
      </c>
      <c r="K14" s="903">
        <f t="array" ref="K14" ca="1">INDEX(Data,MATCH($C14,Line_Items,0),MATCH(LEFT(K$10,4),Fiscal_Periods,0))</f>
        <v>0.33775843307943415</v>
      </c>
      <c r="L14" s="905">
        <f t="shared" ref="L14:N14" si="3" ca="1">$H14-I14</f>
        <v>-0.07200000000000001</v>
      </c>
      <c r="M14" s="906">
        <f ca="1">$H14-J14</f>
        <v>-0.18834966274432574</v>
      </c>
      <c r="N14" s="906">
        <f ca="1">$H14-K14</f>
        <v>-0.20775843307943415</v>
      </c>
      <c r="O14" s="16"/>
      <c r="P14" s="16"/>
      <c r="Q14" s="4"/>
      <c r="R14" s="4"/>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2">
        <v>2224.4</v>
      </c>
      <c r="J15" s="901">
        <f t="array" ref="J15" ca="1">INDEX(Data,MATCH($C15,Line_Items,0),MATCH(LEFT(J$10,4),Fiscal_Periods,0))</f>
        <v>3159</v>
      </c>
      <c r="K15" s="901">
        <f t="array" ref="K15" ca="1">INDEX(Data,MATCH($C15,Line_Items,0),MATCH(LEFT(K$10,4),Fiscal_Periods,0))</f>
        <v>4619</v>
      </c>
      <c r="L15" s="900" t="str">
        <f t="shared" ref="L15:N15" si="4" ca="1">IFERROR($H15/I15-1,"N/A")</f>
        <v>N/A</v>
      </c>
      <c r="M15" s="595" t="str">
        <f ca="1">IFERROR($H15/J15-1,"N/A")</f>
        <v>N/A</v>
      </c>
      <c r="N15" s="595" t="str">
        <f ca="1">IFERROR($H15/K15-1,"N/A")</f>
        <v>N/A</v>
      </c>
      <c r="O15" s="16"/>
      <c r="P15" s="16"/>
      <c r="Q15" s="4"/>
      <c r="R15" s="4"/>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4">
        <v>0.113</v>
      </c>
      <c r="J16" s="907">
        <f t="shared" ref="J16:K16" si="5" ca="1">J15/$H$12</f>
        <v>0.1450939505146495</v>
      </c>
      <c r="K16" s="907">
        <f ca="1">K15/$H$12</f>
        <v>0.212152249897805</v>
      </c>
      <c r="L16" s="905">
        <f ca="1">$H16-I16</f>
        <v>-0.113</v>
      </c>
      <c r="M16" s="906">
        <f ca="1">$H16-J16</f>
        <v>-0.1450939505146495</v>
      </c>
      <c r="N16" s="906">
        <f ca="1">$H16-K16</f>
        <v>-0.212152249897805</v>
      </c>
      <c r="O16" s="16"/>
      <c r="P16" s="16"/>
      <c r="Q16" s="4"/>
      <c r="R16" s="4"/>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2">
        <v>1952.8</v>
      </c>
      <c r="J17" s="901">
        <f t="array" ref="J17" ca="1">INDEX(Data,MATCH($C17,Line_Items,0),MATCH(LEFT(J$10,4),Fiscal_Periods,0))</f>
        <v>2769</v>
      </c>
      <c r="K17" s="901">
        <f t="array" ref="K17" ca="1">INDEX(Data,MATCH($C17,Line_Items,0),MATCH(LEFT(K$10,4),Fiscal_Periods,0))</f>
        <v>4210</v>
      </c>
      <c r="L17" s="900">
        <f t="shared" ref="L17:N17" si="6" ca="1">IFERROR($H17/I17-1,"N/A")</f>
        <v>-2.1730215587873825</v>
      </c>
      <c r="M17" s="595">
        <f ca="1">IFERROR($H17/J17-1,"N/A")</f>
        <v>-1.8272576742506321</v>
      </c>
      <c r="N17" s="595">
        <f ca="1">IFERROR($H17/K17-1,"N/A")</f>
        <v>-1.5441036817102138</v>
      </c>
      <c r="O17" s="16"/>
      <c r="P17" s="16"/>
      <c r="Q17" s="4"/>
      <c r="R17" s="4"/>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ca="1">H17/$H$12</f>
        <v>-0.10521155515545128</v>
      </c>
      <c r="I18" s="904">
        <v>0.099</v>
      </c>
      <c r="J18" s="907">
        <f t="shared" ref="J18:K18" si="7" ca="1">J17/$H$12</f>
        <v>0.12718111711777919</v>
      </c>
      <c r="K18" s="907">
        <f ca="1">K17/$H$12</f>
        <v>0.19336674000211282</v>
      </c>
      <c r="L18" s="905">
        <f t="shared" ref="L18:N18" si="8" ca="1">$H18-I18</f>
        <v>-0.20421155515545128</v>
      </c>
      <c r="M18" s="906">
        <f ca="1">$H18-J18</f>
        <v>-0.23239267227323046</v>
      </c>
      <c r="N18" s="906">
        <f ca="1">$H18-K18</f>
        <v>-0.29857829515756407</v>
      </c>
      <c r="O18" s="16"/>
      <c r="P18" s="16"/>
      <c r="Q18" s="4"/>
      <c r="R18" s="4"/>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2">
        <v>1379.1</v>
      </c>
      <c r="J19" s="901">
        <f t="array" ref="J19" ca="1">INDEX(Data,MATCH($C19,Line_Items,0),MATCH(LEFT(J$10,4),Fiscal_Periods,0))</f>
        <v>978</v>
      </c>
      <c r="K19" s="901">
        <f t="array" ref="K19" ca="1">INDEX(Data,MATCH($C19,Line_Items,0),MATCH(LEFT(K$10,4),Fiscal_Periods,0))</f>
        <v>3018</v>
      </c>
      <c r="L19" s="900" t="str">
        <f t="shared" ref="L19:N19" si="9" ca="1">IFERROR($H19/I19-1,"N/A")</f>
        <v>N/A</v>
      </c>
      <c r="M19" s="595" t="str">
        <f ca="1">IFERROR($H19/J19-1,"N/A")</f>
        <v>N/A</v>
      </c>
      <c r="N19" s="595" t="str">
        <f ca="1">IFERROR($H19/K19-1,"N/A")</f>
        <v>N/A</v>
      </c>
      <c r="O19" s="16"/>
      <c r="P19" s="16"/>
      <c r="Q19" s="4"/>
      <c r="R19" s="4"/>
      <c r="S19" s="4"/>
      <c r="T19" s="4"/>
      <c r="U19" s="4"/>
      <c r="V19" s="4"/>
      <c r="W19" s="4"/>
      <c r="X19" s="4"/>
      <c r="Y19" s="4"/>
      <c r="Z19" s="4"/>
    </row>
    <row r="20" ht="14.25" customHeight="1" spans="1:26" x14ac:dyDescent="0.25">
      <c r="A20" s="16"/>
      <c r="B20" s="16"/>
      <c r="C20" s="120" t="s">
        <v>497</v>
      </c>
      <c r="D20" s="16"/>
      <c r="E20" s="16"/>
      <c r="F20" s="16"/>
      <c r="G20" s="16"/>
      <c r="H20" s="903">
        <f ca="1">H19/H12</f>
        <v>1e-12</v>
      </c>
      <c r="I20" s="904">
        <v>0.07</v>
      </c>
      <c r="J20" s="903">
        <f t="shared" ref="J20:K20" si="10" ca="1">J19/J12</f>
        <v>0.04815124809216681</v>
      </c>
      <c r="K20" s="903">
        <f ca="1">K19/K12</f>
        <v>0.10946681175190424</v>
      </c>
      <c r="L20" s="905">
        <f ca="1">$H20-I20</f>
        <v>-0.07</v>
      </c>
      <c r="M20" s="906">
        <f ca="1">$H20-J20</f>
        <v>-0.04815124809216681</v>
      </c>
      <c r="N20" s="906">
        <f ca="1">$H20-K20</f>
        <v>-0.10946681175190424</v>
      </c>
      <c r="O20" s="16"/>
      <c r="P20" s="16"/>
      <c r="Q20" s="4"/>
      <c r="R20" s="4"/>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9">
        <v>2.15</v>
      </c>
      <c r="J21" s="908">
        <f t="array" ref="J21" ca="1">INDEX(Data,MATCH($C21,Line_Items,0),MATCH(LEFT(J$10,4),Fiscal_Periods,0))</f>
        <v>1.304</v>
      </c>
      <c r="K21" s="908">
        <f t="array" ref="K21" ca="1">INDEX(Data,MATCH($C21,Line_Items,0),MATCH(LEFT(K$10,4),Fiscal_Periods,0))</f>
        <v>4.2687411598302685</v>
      </c>
      <c r="L21" s="900" t="str">
        <f t="shared" ref="L21:N21" si="11" ca="1">IFERROR($H21/I21-1,"N/A")</f>
        <v>N/A</v>
      </c>
      <c r="M21" s="595" t="str">
        <f ca="1">IFERROR($H21/J21-1,"N/A")</f>
        <v>N/A</v>
      </c>
      <c r="N21" s="595" t="str">
        <f ca="1">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 ca="1">Ticker&amp;" "&amp;H4&amp;RIGHT(H5,2)&amp;" Segment Expectations"</f>
        <v>LOW 4Q26 Segment Expectations</v>
      </c>
      <c r="D24" s="110"/>
      <c r="E24" s="110"/>
      <c r="F24" s="110"/>
      <c r="G24" s="110"/>
      <c r="H24" s="111" t="str">
        <f t="shared" ref="H24:N24" si="12" ca="1">H10</f>
        <v>OFe</v>
      </c>
      <c r="I24" s="111" t="str">
        <f ca="1">I10</f>
        <v>Consensus</v>
      </c>
      <c r="J24" s="111" t="str">
        <f ca="1">J10</f>
        <v>4Q25a</v>
      </c>
      <c r="K24" s="111" t="str">
        <f ca="1">K10</f>
        <v>2Q26a</v>
      </c>
      <c r="L24" s="897" t="str">
        <f ca="1">L10</f>
        <v>v. Consensus</v>
      </c>
      <c r="M24" s="111" t="str">
        <f ca="1">M10</f>
        <v>v. 4Q25a</v>
      </c>
      <c r="N24" s="111" t="str">
        <f ca="1">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9">
        <v>6520.1</v>
      </c>
      <c r="J26" s="898">
        <f ca="1">INDEX(Data,MATCH($C26,Line_Items,0),MATCH(LEFT(J$24,4),Fiscal_Periods,0))</f>
      </c>
      <c r="K26" s="898">
        <f ca="1">INDEX(Data,MATCH($C26,Line_Items,0),MATCH(LEFT(K$24,4),Fiscal_Periods,0))</f>
      </c>
      <c r="L26" s="900" t="str">
        <f t="shared" ref="L26:N26" si="13" ca="1">IFERROR($H26/I26-1,"N/A")</f>
        <v>N/A</v>
      </c>
      <c r="M26" s="595" t="str">
        <f ca="1">IFERROR($H26/J26-1,"N/A")</f>
        <v>N/A</v>
      </c>
      <c r="N26" s="595" t="str">
        <f ca="1">IFERROR($H26/K26-1,"N/A")</f>
        <v>N/A</v>
      </c>
      <c r="O26" s="16"/>
      <c r="P26" s="16"/>
      <c r="Q26" s="4"/>
      <c r="R26" s="4"/>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2">
        <v>11000.3</v>
      </c>
      <c r="J27" s="901">
        <f ca="1">INDEX(Data,MATCH($C27,Line_Items,0),MATCH(LEFT(J$24,4),Fiscal_Periods,0))</f>
      </c>
      <c r="K27" s="901">
        <f ca="1">INDEX(Data,MATCH($C27,Line_Items,0),MATCH(LEFT(K$24,4),Fiscal_Periods,0))</f>
      </c>
      <c r="L27" s="900" t="str">
        <f t="shared" ref="L27:N27" si="14" ca="1">IFERROR($H27/I27-1,"N/A")</f>
        <v>N/A</v>
      </c>
      <c r="M27" s="595" t="str">
        <f ca="1">IFERROR($H27/J27-1,"N/A")</f>
        <v>N/A</v>
      </c>
      <c r="N27" s="595" t="str">
        <f ca="1">IFERROR($H27/K27-1,"N/A")</f>
        <v>N/A</v>
      </c>
      <c r="O27" s="16"/>
      <c r="P27" s="16"/>
      <c r="Q27" s="4"/>
      <c r="R27" s="4"/>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2">
        <v>75</v>
      </c>
      <c r="J28" s="901">
        <f ca="1">INDEX(Data,MATCH($C28,Line_Items,0),MATCH(LEFT(J$24,4),Fiscal_Periods,0))</f>
      </c>
      <c r="K28" s="901">
        <f ca="1">INDEX(Data,MATCH($C28,Line_Items,0),MATCH(LEFT(K$24,4),Fiscal_Periods,0))</f>
      </c>
      <c r="L28" s="900" t="str">
        <f t="shared" ref="L28:N28" si="15" ca="1">IFERROR($H28/I28-1,"N/A")</f>
        <v>N/A</v>
      </c>
      <c r="M28" s="595" t="str">
        <f ca="1">IFERROR($H28/J28-1,"N/A")</f>
        <v>N/A</v>
      </c>
      <c r="N28" s="595" t="str">
        <f ca="1">IFERROR($H28/K28-1,"N/A")</f>
        <v>N/A</v>
      </c>
      <c r="O28" s="16"/>
      <c r="P28" s="16"/>
      <c r="Q28" s="4"/>
      <c r="R28" s="4"/>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2">
        <v>-200</v>
      </c>
      <c r="J29" s="901">
        <f ca="1">INDEX(Data,MATCH($C29,Line_Items,0),MATCH(LEFT(J$24,4),Fiscal_Periods,0))</f>
      </c>
      <c r="K29" s="901">
        <f ca="1">INDEX(Data,MATCH($C29,Line_Items,0),MATCH(LEFT(K$24,4),Fiscal_Periods,0))</f>
      </c>
      <c r="L29" s="900" t="str">
        <f t="shared" ref="L29:N29" si="16" ca="1">IFERROR($H29/I29-1,"N/A")</f>
        <v>N/A</v>
      </c>
      <c r="M29" s="595" t="str">
        <f ca="1">IFERROR($H29/J29-1,"N/A")</f>
        <v>N/A</v>
      </c>
      <c r="N29" s="595" t="str">
        <f ca="1">IFERROR($H29/K29-1,"N/A")</f>
        <v>N/A</v>
      </c>
      <c r="O29" s="16"/>
      <c r="P29" s="16"/>
      <c r="Q29" s="4"/>
      <c r="R29" s="4"/>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1">
        <v>5000</v>
      </c>
      <c r="J30" s="910">
        <f ca="1">INDEX(Data,MATCH($C30,Line_Items,0),MATCH(LEFT(J$24,4),Fiscal_Periods,0))</f>
      </c>
      <c r="K30" s="910">
        <f ca="1">INDEX(Data,MATCH($C30,Line_Items,0),MATCH(LEFT(K$24,4),Fiscal_Periods,0))</f>
      </c>
      <c r="L30" s="912" t="str">
        <f t="shared" ref="L30:N30" si="17" ca="1">IFERROR($H30/I30-1,"N/A")</f>
        <v>N/A</v>
      </c>
      <c r="M30" s="591" t="str">
        <f ca="1">IFERROR($H30/J30-1,"N/A")</f>
        <v>N/A</v>
      </c>
      <c r="N30" s="591" t="str">
        <f ca="1">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4">
        <f ca="1">INDEX(Data,MATCH($C31,Line_Items,0),MATCH($H$6,Fiscal_Periods,0))</f>
      </c>
      <c r="J31" s="913">
        <f ca="1">INDEX(Data,MATCH($C31,Line_Items,0),MATCH(LEFT(J$24,4),Fiscal_Periods,0))</f>
      </c>
      <c r="K31" s="913">
        <f ca="1">INDEX(Data,MATCH($C31,Line_Items,0),MATCH(LEFT(K$24,4),Fiscal_Periods,0))</f>
      </c>
      <c r="L31" s="912" t="str">
        <f t="shared" ref="L31:N31" si="18" ca="1">IFERROR($H31/I31-1,"N/A")</f>
        <v>N/A</v>
      </c>
      <c r="M31" s="591" t="str">
        <f ca="1">IFERROR($H31/J31-1,"N/A")</f>
        <v>N/A</v>
      </c>
      <c r="N31" s="591" t="str">
        <f ca="1">IFERROR($H31/K31-1,"N/A")</f>
        <v>N/A</v>
      </c>
      <c r="O31" s="16"/>
      <c r="P31" s="16"/>
      <c r="Q31" s="4"/>
      <c r="R31" s="4"/>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9">
        <v>820</v>
      </c>
      <c r="J32" s="898">
        <f ca="1">INDEX(Data,MATCH($C32,Line_Items,0),MATCH(LEFT(J$24,4),Fiscal_Periods,0))</f>
      </c>
      <c r="K32" s="898">
        <f ca="1">INDEX(Data,MATCH($C32,Line_Items,0),MATCH(LEFT(K$24,4),Fiscal_Periods,0))</f>
      </c>
      <c r="L32" s="900" t="str">
        <f t="shared" ref="L32:N32" si="19" ca="1">IFERROR($H32/I32-1,"N/A")</f>
        <v>N/A</v>
      </c>
      <c r="M32" s="595" t="str">
        <f ca="1">IFERROR($H32/J32-1,"N/A")</f>
        <v>N/A</v>
      </c>
      <c r="N32" s="595" t="str">
        <f ca="1">IFERROR($H32/K32-1,"N/A")</f>
        <v>N/A</v>
      </c>
      <c r="O32" s="16"/>
      <c r="P32" s="16"/>
      <c r="Q32" s="4"/>
      <c r="R32" s="4"/>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2">
        <v>1400</v>
      </c>
      <c r="J33" s="901">
        <f ca="1">INDEX(Data,MATCH($C33,Line_Items,0),MATCH(LEFT(J$24,4),Fiscal_Periods,0))</f>
      </c>
      <c r="K33" s="901">
        <f ca="1">INDEX(Data,MATCH($C33,Line_Items,0),MATCH(LEFT(K$24,4),Fiscal_Periods,0))</f>
      </c>
      <c r="L33" s="900" t="str">
        <f t="shared" ref="L33:N33" si="20" ca="1">IFERROR($H33/I33-1,"N/A")</f>
        <v>N/A</v>
      </c>
      <c r="M33" s="595" t="str">
        <f ca="1">IFERROR($H33/J33-1,"N/A")</f>
        <v>N/A</v>
      </c>
      <c r="N33" s="595" t="str">
        <f ca="1">IFERROR($H33/K33-1,"N/A")</f>
        <v>N/A</v>
      </c>
      <c r="O33" s="16"/>
      <c r="P33" s="16"/>
      <c r="Q33" s="4"/>
      <c r="R33" s="4"/>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2">
        <v>10</v>
      </c>
      <c r="J34" s="901">
        <f ca="1">INDEX(Data,MATCH($C34,Line_Items,0),MATCH(LEFT(J$24,4),Fiscal_Periods,0))</f>
      </c>
      <c r="K34" s="901">
        <f ca="1">INDEX(Data,MATCH($C34,Line_Items,0),MATCH(LEFT(K$24,4),Fiscal_Periods,0))</f>
      </c>
      <c r="L34" s="900" t="str">
        <f t="shared" ref="L34:N34" si="21" ca="1">IFERROR($H34/I34-1,"N/A")</f>
        <v>N/A</v>
      </c>
      <c r="M34" s="595" t="str">
        <f ca="1">IFERROR($H34/J34-1,"N/A")</f>
        <v>N/A</v>
      </c>
      <c r="N34" s="595" t="str">
        <f ca="1">IFERROR($H34/K34-1,"N/A")</f>
        <v>N/A</v>
      </c>
      <c r="O34" s="16"/>
      <c r="P34" s="16"/>
      <c r="Q34" s="4"/>
      <c r="R34" s="4"/>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2">
        <v>-23</v>
      </c>
      <c r="J35" s="901">
        <f ca="1">INDEX(Data,MATCH($C35,Line_Items,0),MATCH(LEFT(J$24,4),Fiscal_Periods,0))</f>
      </c>
      <c r="K35" s="901">
        <f ca="1">INDEX(Data,MATCH($C35,Line_Items,0),MATCH(LEFT(K$24,4),Fiscal_Periods,0))</f>
      </c>
      <c r="L35" s="900" t="str">
        <f t="shared" ref="L35:N35" si="22" ca="1">IFERROR($H35/I35-1,"N/A")</f>
        <v>N/A</v>
      </c>
      <c r="M35" s="595" t="str">
        <f ca="1">IFERROR($H35/J35-1,"N/A")</f>
        <v>N/A</v>
      </c>
      <c r="N35" s="595" t="str">
        <f ca="1">IFERROR($H35/K35-1,"N/A")</f>
        <v>N/A</v>
      </c>
      <c r="O35" s="16"/>
      <c r="P35" s="16"/>
      <c r="Q35" s="4"/>
      <c r="R35" s="4"/>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2">
        <v>650</v>
      </c>
      <c r="J36" s="901">
        <f ca="1">INDEX(Data,MATCH($C36,Line_Items,0),MATCH(LEFT(J$24,4),Fiscal_Periods,0))</f>
      </c>
      <c r="K36" s="901">
        <f ca="1">INDEX(Data,MATCH($C36,Line_Items,0),MATCH(LEFT(K$24,4),Fiscal_Periods,0))</f>
      </c>
      <c r="L36" s="900" t="str">
        <f t="shared" ref="L36:N36" si="23" ca="1">IFERROR($H36/I36-1,"N/A")</f>
        <v>N/A</v>
      </c>
      <c r="M36" s="595" t="str">
        <f ca="1">IFERROR($H36/J36-1,"N/A")</f>
        <v>N/A</v>
      </c>
      <c r="N36" s="595" t="str">
        <f ca="1">IFERROR($H36/K36-1,"N/A")</f>
        <v>N/A</v>
      </c>
      <c r="O36" s="16"/>
      <c r="P36" s="16"/>
      <c r="Q36" s="4"/>
      <c r="R36" s="4"/>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2">
        <v>300</v>
      </c>
      <c r="J37" s="901">
        <f ca="1">INDEX(Data,MATCH($C37,Line_Items,0),MATCH(LEFT(J$24,4),Fiscal_Periods,0))</f>
      </c>
      <c r="K37" s="901">
        <f ca="1">INDEX(Data,MATCH($C37,Line_Items,0),MATCH(LEFT(K$24,4),Fiscal_Periods,0))</f>
      </c>
      <c r="L37" s="900" t="str">
        <f t="shared" ref="L37:N37" si="24" ca="1">IFERROR($H37/I37-1,"N/A")</f>
        <v>N/A</v>
      </c>
      <c r="M37" s="595" t="str">
        <f ca="1">IFERROR($H37/J37-1,"N/A")</f>
        <v>N/A</v>
      </c>
      <c r="N37" s="595" t="str">
        <f ca="1">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 ca="1">Ticker&amp;" "&amp;H4&amp;RIGHT(H5,2)&amp;" Cash Flow Expectations"</f>
        <v>LOW 4Q26 Cash Flow Expectations</v>
      </c>
      <c r="D40" s="110"/>
      <c r="E40" s="110"/>
      <c r="F40" s="110"/>
      <c r="G40" s="110"/>
      <c r="H40" s="111" t="str">
        <f t="shared" ref="H40:N40" si="25" ca="1">H10</f>
        <v>OFe</v>
      </c>
      <c r="I40" s="111" t="str">
        <f ca="1">I10</f>
        <v>Consensus</v>
      </c>
      <c r="J40" s="111" t="str">
        <f ca="1">J10</f>
        <v>4Q25a</v>
      </c>
      <c r="K40" s="111" t="str">
        <f ca="1">K10</f>
        <v>2Q26a</v>
      </c>
      <c r="L40" s="897" t="str">
        <f ca="1">L10</f>
        <v>v. Consensus</v>
      </c>
      <c r="M40" s="111" t="str">
        <f ca="1">M10</f>
        <v>v. 4Q25a</v>
      </c>
      <c r="N40" s="111" t="str">
        <f ca="1">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9">
        <v>50</v>
      </c>
      <c r="J42" s="898">
        <f t="array" ref="J42" ca="1">INDEX(Data,MATCH($C42,Line_Items,0),MATCH(LEFT(J$40,4),Fiscal_Periods,0))</f>
        <v>0</v>
      </c>
      <c r="K42" s="898">
        <f t="array" ref="K42" ca="1">INDEX(Data,MATCH($C42,Line_Items,0),MATCH(LEFT(K$40,4),Fiscal_Periods,0))</f>
        <v>0</v>
      </c>
      <c r="L42" s="900" t="str">
        <f t="shared" ref="L42:N42" si="26" ca="1">IFERROR($H42/I42-1,"N/A")</f>
        <v>N/A</v>
      </c>
      <c r="M42" s="595" t="str">
        <f ca="1">IFERROR($H42/J42-1,"N/A")</f>
        <v>N/A</v>
      </c>
      <c r="N42" s="595" t="str">
        <f ca="1">IFERROR($H42/K42-1,"N/A")</f>
        <v>N/A</v>
      </c>
      <c r="O42" s="16"/>
      <c r="P42" s="16"/>
      <c r="Q42" s="4"/>
      <c r="R42" s="4"/>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2">
        <v>-668</v>
      </c>
      <c r="J43" s="901">
        <f t="array" ref="J43" ca="1">INDEX(Data,MATCH($C43,Line_Items,0),MATCH(LEFT(J$40,4),Fiscal_Periods,0))</f>
        <v>0</v>
      </c>
      <c r="K43" s="901">
        <f t="array" ref="K43" ca="1">INDEX(Data,MATCH($C43,Line_Items,0),MATCH(LEFT(K$40,4),Fiscal_Periods,0))</f>
        <v>0</v>
      </c>
      <c r="L43" s="900">
        <f t="shared" ref="L43:N43" si="27" ca="1">IFERROR($H43/I43-1,"N/A")</f>
        <v>-0.4459196107784431</v>
      </c>
      <c r="M43" s="595" t="str">
        <f ca="1">IFERROR($H43/J43-1,"N/A")</f>
        <v>N/A</v>
      </c>
      <c r="N43" s="595" t="str">
        <f ca="1">IFERROR($H43/K43-1,"N/A")</f>
        <v>N/A</v>
      </c>
      <c r="O43" s="16"/>
      <c r="P43" s="16"/>
      <c r="Q43" s="4"/>
      <c r="R43" s="4"/>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2">
        <v>1412.6</v>
      </c>
      <c r="J44" s="901">
        <f t="array" ref="J44" ca="1">INDEX(Data,MATCH($C44,Line_Items,0),MATCH(LEFT(J$40,4),Fiscal_Periods,0))</f>
        <v>-1545</v>
      </c>
      <c r="K44" s="901">
        <f t="array" ref="K44" ca="1">INDEX(Data,MATCH($C44,Line_Items,0),MATCH(LEFT(K$40,4),Fiscal_Periods,0))</f>
        <v>2149</v>
      </c>
      <c r="L44" s="900" t="str">
        <f t="shared" ref="L44:N44" si="28" ca="1">IFERROR($H44/I44-1,"N/A")</f>
        <v>N/A</v>
      </c>
      <c r="M44" s="595" t="str">
        <f ca="1">IFERROR($H44/J44-1,"N/A")</f>
        <v>N/A</v>
      </c>
      <c r="N44" s="595" t="str">
        <f ca="1">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 ca="1">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962</v>
      </c>
      <c r="D4" s="16"/>
      <c r="E4" s="16"/>
      <c r="F4" s="16"/>
      <c r="G4" s="16"/>
      <c r="H4" s="53" t="s">
        <v>963</v>
      </c>
      <c r="I4" s="16"/>
      <c r="J4" s="915" t="s">
        <v>912</v>
      </c>
      <c r="K4" s="16"/>
      <c r="L4" s="16"/>
      <c r="M4" s="16"/>
      <c r="N4" s="16"/>
      <c r="O4" s="16"/>
      <c r="P4" s="16"/>
      <c r="Q4" s="16"/>
      <c r="R4" s="16"/>
      <c r="S4" s="4"/>
      <c r="T4" s="4"/>
      <c r="U4" s="4"/>
      <c r="V4" s="4"/>
      <c r="W4" s="4"/>
      <c r="X4" s="4"/>
      <c r="Y4" s="4"/>
      <c r="Z4" s="4"/>
    </row>
    <row r="5" ht="14.25" customHeight="1" spans="1:26" x14ac:dyDescent="0.25">
      <c r="A5" s="16"/>
      <c r="B5" s="16"/>
      <c r="C5" s="16" t="s">
        <v>964</v>
      </c>
      <c r="D5" s="16"/>
      <c r="E5" s="16"/>
      <c r="F5" s="16"/>
      <c r="G5" s="16"/>
      <c r="H5" s="895">
        <f ca="1">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965</v>
      </c>
      <c r="D6" s="16"/>
      <c r="E6" s="16"/>
      <c r="F6" s="16"/>
      <c r="G6" s="16"/>
      <c r="H6" s="896" t="str">
        <f ca="1">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966</v>
      </c>
      <c r="D7" s="16"/>
      <c r="E7" s="16"/>
      <c r="F7" s="16"/>
      <c r="G7" s="16"/>
      <c r="H7" s="895">
        <f ca="1">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967</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 ca="1">Ticker&amp;" "&amp;H4&amp;RIGHT(H5,2)&amp;" Operating Results"</f>
        <v>LOW 4Q26 Operating Results</v>
      </c>
      <c r="D10" s="110"/>
      <c r="E10" s="110"/>
      <c r="F10" s="110"/>
      <c r="G10" s="110"/>
      <c r="H10" s="111" t="str">
        <f ca="1">H4&amp;RIGHT(H5,2)&amp;"a"</f>
        <v>4Q26a</v>
      </c>
      <c r="I10" s="111" t="s">
        <v>968</v>
      </c>
      <c r="J10" s="111" t="s">
        <v>969</v>
      </c>
      <c r="K10" s="111" t="str">
        <f ca="1">H4&amp;RIGHT(H7,2)&amp;"a"</f>
        <v>4Q25a</v>
      </c>
      <c r="L10" s="111" t="str">
        <f ca="1">Last_FQR&amp;RIGHT(H5,2)&amp;"a"</f>
        <v>2Q26a</v>
      </c>
      <c r="M10" s="897" t="str">
        <f t="shared" ref="M10:P10" si="0" ca="1">"v. "&amp;I10</f>
        <v>v. OFe</v>
      </c>
      <c r="N10" s="111" t="str">
        <f ca="1">"v. "&amp;J10</f>
        <v>v. Consensus</v>
      </c>
      <c r="O10" s="111" t="str">
        <f ca="1">"v. "&amp;K10</f>
        <v>v. 4Q25a</v>
      </c>
      <c r="P10" s="111" t="str">
        <f ca="1">"v.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8">
        <f t="array" ref="I12" ca="1">INDEX(Data,MATCH($C12,Line_Items,0),MATCH($H$6,Fiscal_Periods,0))</f>
        <v>21772.1</v>
      </c>
      <c r="J12" s="899">
        <v>19670.3</v>
      </c>
      <c r="K12" s="898">
        <f t="array" ref="K12" ca="1">INDEX(Data,MATCH($C12,Line_Items,0),MATCH(LEFT(K$10,4),Fiscal_Periods,0))</f>
        <v>20311</v>
      </c>
      <c r="L12" s="898">
        <f t="array" ref="L12" ca="1">INDEX(Data,MATCH($C12,Line_Items,0),MATCH(LEFT(L$10,4),Fiscal_Periods,0))</f>
        <v>27570</v>
      </c>
      <c r="M12" s="900">
        <f t="shared" ref="M12:N12" si="1" ca="1">IFERROR($H12/I12-1,"N/A")</f>
        <v>0</v>
      </c>
      <c r="N12" s="595">
        <f ca="1">IFERROR($H12/J12-1,"N/A")</f>
        <v>0.1068514460887735</v>
      </c>
      <c r="O12" s="595">
        <f t="shared" ref="O12:P12" si="2" ca="1">IFERROR($I12/K12-1,"N/A")</f>
        <v>0.07193638914873701</v>
      </c>
      <c r="P12" s="595">
        <f ca="1">IFERROR($I12/L12-1,"N/A")</f>
        <v>-0.21029742473703306</v>
      </c>
      <c r="Q12" s="16"/>
      <c r="R12" s="16"/>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1">
        <f t="array" ref="I13" ca="1">INDEX(Data,MATCH($C13,Line_Items,0),MATCH($H$6,Fiscal_Periods,0))</f>
        <v>2830.3729999999996</v>
      </c>
      <c r="J13" s="902">
        <v>3968.1</v>
      </c>
      <c r="K13" s="901">
        <f t="array" ref="K13" ca="1">INDEX(Data,MATCH($C13,Line_Items,0),MATCH(LEFT(K$10,4),Fiscal_Periods,0))</f>
        <v>6466</v>
      </c>
      <c r="L13" s="901">
        <f t="array" ref="L13" ca="1">INDEX(Data,MATCH($C13,Line_Items,0),MATCH(LEFT(L$10,4),Fiscal_Periods,0))</f>
        <v>9312</v>
      </c>
      <c r="M13" s="900">
        <f t="shared" ref="M13:P13" si="3" ca="1">IFERROR($H13/I13-1,"N/A")</f>
        <v>0</v>
      </c>
      <c r="N13" s="595">
        <f ca="1">IFERROR($H13/J13-1,"N/A")</f>
        <v>-0.28671832867115254</v>
      </c>
      <c r="O13" s="595">
        <f ca="1">IFERROR($H13/K13-1,"N/A")</f>
        <v>-0.5622683266316115</v>
      </c>
      <c r="P13" s="595">
        <f ca="1">IFERROR($H13/L13-1,"N/A")</f>
        <v>-0.6960510094501718</v>
      </c>
      <c r="Q13" s="16"/>
      <c r="R13" s="16"/>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3">
        <f t="array" ref="I14" ca="1">INDEX(Data,MATCH($C14,Line_Items,0),MATCH($H$6,Fiscal_Periods,0))</f>
        <v>0.13</v>
      </c>
      <c r="J14" s="904">
        <v>0.202</v>
      </c>
      <c r="K14" s="903">
        <f t="array" ref="K14" ca="1">INDEX(Data,MATCH($C14,Line_Items,0),MATCH(LEFT(K$10,4),Fiscal_Periods,0))</f>
        <v>0.31834966274432575</v>
      </c>
      <c r="L14" s="903">
        <f t="array" ref="L14" ca="1">INDEX(Data,MATCH($C14,Line_Items,0),MATCH(LEFT(L$10,4),Fiscal_Periods,0))</f>
        <v>0.33775843307943415</v>
      </c>
      <c r="M14" s="905">
        <f t="shared" ref="M14:P14" si="4" ca="1">$H14-I14</f>
        <v>1e-12</v>
      </c>
      <c r="N14" s="906">
        <f ca="1">$H14-J14</f>
        <v>-0.07200000000000001</v>
      </c>
      <c r="O14" s="906">
        <f ca="1">$H14-K14</f>
        <v>-0.18834966274432574</v>
      </c>
      <c r="P14" s="906">
        <f ca="1">$H14-L14</f>
        <v>-0.20775843307943415</v>
      </c>
      <c r="Q14" s="16"/>
      <c r="R14" s="16"/>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1">
        <f ca="1">INDEX(Data,MATCH($C15,Line_Items,0),MATCH($H$6,Fiscal_Periods,0))</f>
      </c>
      <c r="J15" s="902">
        <v>2224.4</v>
      </c>
      <c r="K15" s="901">
        <f t="array" ref="K15" ca="1">INDEX(Data,MATCH($C15,Line_Items,0),MATCH(LEFT(K$10,4),Fiscal_Periods,0))</f>
        <v>3159</v>
      </c>
      <c r="L15" s="901">
        <f t="array" ref="L15" ca="1">INDEX(Data,MATCH($C15,Line_Items,0),MATCH(LEFT(L$10,4),Fiscal_Periods,0))</f>
        <v>4619</v>
      </c>
      <c r="M15" s="900" t="str">
        <f t="shared" ref="M15:P15" si="5" ca="1">IFERROR($H15/I15-1,"N/A")</f>
        <v>N/A</v>
      </c>
      <c r="N15" s="595" t="str">
        <f ca="1">IFERROR($H15/J15-1,"N/A")</f>
        <v>N/A</v>
      </c>
      <c r="O15" s="595" t="str">
        <f ca="1">IFERROR($H15/K15-1,"N/A")</f>
        <v>N/A</v>
      </c>
      <c r="P15" s="595" t="str">
        <f ca="1">IFERROR($H15/L15-1,"N/A")</f>
        <v>N/A</v>
      </c>
      <c r="Q15" s="16"/>
      <c r="R15" s="16"/>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7">
        <f ca="1">I15/$H$12</f>
        <v>1e-12</v>
      </c>
      <c r="J16" s="904">
        <v>0.113</v>
      </c>
      <c r="K16" s="907">
        <f t="shared" ref="K16:L16" si="6" ca="1">K15/$H$12</f>
        <v>0.1450939505146495</v>
      </c>
      <c r="L16" s="907">
        <f ca="1">L15/$H$12</f>
        <v>0.212152249897805</v>
      </c>
      <c r="M16" s="905">
        <f ca="1">$H16-I16</f>
        <v>1e-12</v>
      </c>
      <c r="N16" s="906">
        <f ca="1">$H16-J16</f>
        <v>-0.113</v>
      </c>
      <c r="O16" s="906">
        <f ca="1">$H16-K16</f>
        <v>-0.1450939505146495</v>
      </c>
      <c r="P16" s="906">
        <f ca="1">$H16-L16</f>
        <v>-0.212152249897805</v>
      </c>
      <c r="Q16" s="16"/>
      <c r="R16" s="16"/>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1">
        <f t="array" ref="I17" ca="1">INDEX(Data,MATCH($C17,Line_Items,0),MATCH($H$6,Fiscal_Periods,0))</f>
        <v>-2290.6765000000005</v>
      </c>
      <c r="J17" s="902">
        <v>1952.8</v>
      </c>
      <c r="K17" s="901">
        <f t="array" ref="K17" ca="1">INDEX(Data,MATCH($C17,Line_Items,0),MATCH(LEFT(K$10,4),Fiscal_Periods,0))</f>
        <v>2769</v>
      </c>
      <c r="L17" s="901">
        <f t="array" ref="L17" ca="1">INDEX(Data,MATCH($C17,Line_Items,0),MATCH(LEFT(L$10,4),Fiscal_Periods,0))</f>
        <v>4210</v>
      </c>
      <c r="M17" s="900">
        <f t="shared" ref="M17:P17" si="7" ca="1">IFERROR($H17/I17-1,"N/A")</f>
        <v>0</v>
      </c>
      <c r="N17" s="595">
        <f ca="1">IFERROR($H17/J17-1,"N/A")</f>
        <v>-2.1730215587873825</v>
      </c>
      <c r="O17" s="595">
        <f ca="1">IFERROR($H17/K17-1,"N/A")</f>
        <v>-1.8272576742506321</v>
      </c>
      <c r="P17" s="595">
        <f ca="1">IFERROR($H17/L17-1,"N/A")</f>
        <v>-1.5441036817102138</v>
      </c>
      <c r="Q17" s="16"/>
      <c r="R17" s="16"/>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t="shared" ref="H18:I18" si="8" ca="1">H17/$H$12</f>
        <v>-0.10521155515545128</v>
      </c>
      <c r="I18" s="907">
        <f ca="1">I17/$H$12</f>
        <v>-0.10521155515545128</v>
      </c>
      <c r="J18" s="904">
        <v>0.099</v>
      </c>
      <c r="K18" s="907">
        <f t="shared" ref="K18:L18" si="9" ca="1">K17/$H$12</f>
        <v>0.12718111711777919</v>
      </c>
      <c r="L18" s="907">
        <f ca="1">L17/$H$12</f>
        <v>0.19336674000211282</v>
      </c>
      <c r="M18" s="905">
        <f t="shared" ref="M18:P18" si="10" ca="1">$H18-I18</f>
        <v>1e-12</v>
      </c>
      <c r="N18" s="906">
        <f ca="1">$H18-J18</f>
        <v>-0.20421155515545128</v>
      </c>
      <c r="O18" s="906">
        <f ca="1">$H18-K18</f>
        <v>-0.23239267227323046</v>
      </c>
      <c r="P18" s="906">
        <f ca="1">$H18-L18</f>
        <v>-0.29857829515756407</v>
      </c>
      <c r="Q18" s="16"/>
      <c r="R18" s="16"/>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1">
        <f ca="1">INDEX(Data,MATCH($C19,Line_Items,0),MATCH($H$6,Fiscal_Periods,0))</f>
      </c>
      <c r="J19" s="902">
        <v>1379.1</v>
      </c>
      <c r="K19" s="901">
        <f t="array" ref="K19" ca="1">INDEX(Data,MATCH($C19,Line_Items,0),MATCH(LEFT(K$10,4),Fiscal_Periods,0))</f>
        <v>978</v>
      </c>
      <c r="L19" s="901">
        <f t="array" ref="L19" ca="1">INDEX(Data,MATCH($C19,Line_Items,0),MATCH(LEFT(L$10,4),Fiscal_Periods,0))</f>
        <v>3018</v>
      </c>
      <c r="M19" s="900" t="str">
        <f t="shared" ref="M19:P19" si="11" ca="1">IFERROR($H19/I19-1,"N/A")</f>
        <v>N/A</v>
      </c>
      <c r="N19" s="595" t="str">
        <f ca="1">IFERROR($H19/J19-1,"N/A")</f>
        <v>N/A</v>
      </c>
      <c r="O19" s="595" t="str">
        <f ca="1">IFERROR($H19/K19-1,"N/A")</f>
        <v>N/A</v>
      </c>
      <c r="P19" s="595" t="str">
        <f ca="1">IFERROR($H19/L19-1,"N/A")</f>
        <v>N/A</v>
      </c>
      <c r="Q19" s="16"/>
      <c r="R19" s="16"/>
      <c r="S19" s="4"/>
      <c r="T19" s="4"/>
      <c r="U19" s="4"/>
      <c r="V19" s="4"/>
      <c r="W19" s="4"/>
      <c r="X19" s="4"/>
      <c r="Y19" s="4"/>
      <c r="Z19" s="4"/>
    </row>
    <row r="20" ht="14.25" customHeight="1" spans="1:26" x14ac:dyDescent="0.25">
      <c r="A20" s="16"/>
      <c r="B20" s="16"/>
      <c r="C20" s="120" t="s">
        <v>497</v>
      </c>
      <c r="D20" s="16"/>
      <c r="E20" s="16"/>
      <c r="F20" s="16"/>
      <c r="G20" s="16"/>
      <c r="H20" s="903">
        <f ca="1">H19/H12</f>
        <v>1e-12</v>
      </c>
      <c r="I20" s="903">
        <f ca="1">I19/I12</f>
        <v>1e-12</v>
      </c>
      <c r="J20" s="904">
        <v>0.07</v>
      </c>
      <c r="K20" s="903">
        <f t="shared" ref="K20:L20" si="12" ca="1">K19/K12</f>
        <v>0.04815124809216681</v>
      </c>
      <c r="L20" s="903">
        <f ca="1">L19/L12</f>
        <v>0.10946681175190424</v>
      </c>
      <c r="M20" s="905">
        <f ca="1">$H20-I20</f>
        <v>1e-12</v>
      </c>
      <c r="N20" s="906">
        <f ca="1">$H20-J20</f>
        <v>-0.07</v>
      </c>
      <c r="O20" s="906">
        <f ca="1">$H20-K20</f>
        <v>-0.04815124809216681</v>
      </c>
      <c r="P20" s="906">
        <f ca="1">$H20-L20</f>
        <v>-0.10946681175190424</v>
      </c>
      <c r="Q20" s="16"/>
      <c r="R20" s="16"/>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8">
        <f ca="1">INDEX(Data,MATCH($C21,Line_Items,0),MATCH($H$6,Fiscal_Periods,0))</f>
      </c>
      <c r="J21" s="909">
        <v>2.15</v>
      </c>
      <c r="K21" s="908">
        <f t="array" ref="K21" ca="1">INDEX(Data,MATCH($C21,Line_Items,0),MATCH(LEFT(K$10,4),Fiscal_Periods,0))</f>
        <v>1.304</v>
      </c>
      <c r="L21" s="908">
        <f t="array" ref="L21" ca="1">INDEX(Data,MATCH($C21,Line_Items,0),MATCH(LEFT(L$10,4),Fiscal_Periods,0))</f>
        <v>4.2687411598302685</v>
      </c>
      <c r="M21" s="900" t="str">
        <f t="shared" ref="M21:P21" si="13" ca="1">IFERROR($H21/I21-1,"N/A")</f>
        <v>N/A</v>
      </c>
      <c r="N21" s="595" t="str">
        <f ca="1">IFERROR($H21/J21-1,"N/A")</f>
        <v>N/A</v>
      </c>
      <c r="O21" s="595" t="str">
        <f ca="1">IFERROR($H21/K21-1,"N/A")</f>
        <v>N/A</v>
      </c>
      <c r="P21" s="595" t="str">
        <f ca="1">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 ca="1">Ticker&amp;" "&amp;H4&amp;RIGHT(H5,2)&amp;" Segment Results"</f>
        <v>LOW 4Q26 Segment Results</v>
      </c>
      <c r="D24" s="110"/>
      <c r="E24" s="110"/>
      <c r="F24" s="110"/>
      <c r="G24" s="110"/>
      <c r="H24" s="111" t="str">
        <f t="shared" ref="H24:P24" si="14" ca="1">H10</f>
        <v>4Q26a</v>
      </c>
      <c r="I24" s="111" t="str">
        <f ca="1">I10</f>
        <v>OFe</v>
      </c>
      <c r="J24" s="111" t="str">
        <f ca="1">J10</f>
        <v>Consensus</v>
      </c>
      <c r="K24" s="111" t="str">
        <f ca="1">K10</f>
        <v>4Q25a</v>
      </c>
      <c r="L24" s="111" t="str">
        <f ca="1">L10</f>
        <v>2Q26a</v>
      </c>
      <c r="M24" s="897" t="str">
        <f ca="1">M10</f>
        <v>v. OFe</v>
      </c>
      <c r="N24" s="111" t="str">
        <f ca="1">N10</f>
        <v>v. Consensus</v>
      </c>
      <c r="O24" s="111" t="str">
        <f ca="1">O10</f>
        <v>v. 4Q25a</v>
      </c>
      <c r="P24" s="111" t="str">
        <f ca="1">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8">
        <f ca="1">INDEX(Data,MATCH($C26,Line_Items,0),MATCH($H$6,Fiscal_Periods,0))</f>
      </c>
      <c r="J26" s="899">
        <v>6520.1</v>
      </c>
      <c r="K26" s="898">
        <f ca="1">INDEX(Data,MATCH($C26,Line_Items,0),MATCH(LEFT(K$24,4),Fiscal_Periods,0))</f>
      </c>
      <c r="L26" s="898">
        <f ca="1">INDEX(Data,MATCH($C26,Line_Items,0),MATCH(LEFT(L$24,4),Fiscal_Periods,0))</f>
      </c>
      <c r="M26" s="900" t="str">
        <f t="shared" ref="M26:N26" si="15" ca="1">IFERROR($H26/I26-1,"N/A")</f>
        <v>N/A</v>
      </c>
      <c r="N26" s="595" t="str">
        <f ca="1">IFERROR($H26/J26-1,"N/A")</f>
        <v>N/A</v>
      </c>
      <c r="O26" s="595" t="str">
        <f t="shared" ref="O26:P26" si="16" ca="1">IFERROR($I26/K26-1,"N/A")</f>
        <v>N/A</v>
      </c>
      <c r="P26" s="595" t="str">
        <f ca="1">IFERROR($I26/L26-1,"N/A")</f>
        <v>N/A</v>
      </c>
      <c r="Q26" s="16"/>
      <c r="R26" s="16"/>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1">
        <f ca="1">INDEX(Data,MATCH($C27,Line_Items,0),MATCH($H$6,Fiscal_Periods,0))</f>
      </c>
      <c r="J27" s="902">
        <v>11000.3</v>
      </c>
      <c r="K27" s="901">
        <f ca="1">INDEX(Data,MATCH($C27,Line_Items,0),MATCH(LEFT(K$24,4),Fiscal_Periods,0))</f>
      </c>
      <c r="L27" s="901">
        <f ca="1">INDEX(Data,MATCH($C27,Line_Items,0),MATCH(LEFT(L$24,4),Fiscal_Periods,0))</f>
      </c>
      <c r="M27" s="900" t="str">
        <f t="shared" ref="M27:N27" si="17" ca="1">IFERROR($H27/I27-1,"N/A")</f>
        <v>N/A</v>
      </c>
      <c r="N27" s="595" t="str">
        <f ca="1">IFERROR($H27/J27-1,"N/A")</f>
        <v>N/A</v>
      </c>
      <c r="O27" s="595" t="str">
        <f t="shared" ref="O27:P27" si="18" ca="1">IFERROR($I27/K27-1,"N/A")</f>
        <v>N/A</v>
      </c>
      <c r="P27" s="595" t="str">
        <f ca="1">IFERROR($I27/L27-1,"N/A")</f>
        <v>N/A</v>
      </c>
      <c r="Q27" s="16"/>
      <c r="R27" s="16"/>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1">
        <f ca="1">INDEX(Data,MATCH($C28,Line_Items,0),MATCH($H$6,Fiscal_Periods,0))</f>
      </c>
      <c r="J28" s="902">
        <v>75</v>
      </c>
      <c r="K28" s="901">
        <f ca="1">INDEX(Data,MATCH($C28,Line_Items,0),MATCH(LEFT(K$24,4),Fiscal_Periods,0))</f>
      </c>
      <c r="L28" s="901">
        <f ca="1">INDEX(Data,MATCH($C28,Line_Items,0),MATCH(LEFT(L$24,4),Fiscal_Periods,0))</f>
      </c>
      <c r="M28" s="900" t="str">
        <f t="shared" ref="M28:N28" si="19" ca="1">IFERROR($H28/I28-1,"N/A")</f>
        <v>N/A</v>
      </c>
      <c r="N28" s="595" t="str">
        <f ca="1">IFERROR($H28/J28-1,"N/A")</f>
        <v>N/A</v>
      </c>
      <c r="O28" s="595" t="str">
        <f t="shared" ref="O28:P28" si="20" ca="1">IFERROR($I28/K28-1,"N/A")</f>
        <v>N/A</v>
      </c>
      <c r="P28" s="595" t="str">
        <f ca="1">IFERROR($I28/L28-1,"N/A")</f>
        <v>N/A</v>
      </c>
      <c r="Q28" s="16"/>
      <c r="R28" s="16"/>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1">
        <f ca="1">INDEX(Data,MATCH($C29,Line_Items,0),MATCH($H$6,Fiscal_Periods,0))</f>
      </c>
      <c r="J29" s="902">
        <v>-200</v>
      </c>
      <c r="K29" s="901">
        <f ca="1">INDEX(Data,MATCH($C29,Line_Items,0),MATCH(LEFT(K$24,4),Fiscal_Periods,0))</f>
      </c>
      <c r="L29" s="901">
        <f ca="1">INDEX(Data,MATCH($C29,Line_Items,0),MATCH(LEFT(L$24,4),Fiscal_Periods,0))</f>
      </c>
      <c r="M29" s="900" t="str">
        <f t="shared" ref="M29:N29" si="21" ca="1">IFERROR($H29/I29-1,"N/A")</f>
        <v>N/A</v>
      </c>
      <c r="N29" s="595" t="str">
        <f ca="1">IFERROR($H29/J29-1,"N/A")</f>
        <v>N/A</v>
      </c>
      <c r="O29" s="595" t="str">
        <f t="shared" ref="O29:P29" si="22" ca="1">IFERROR($I29/K29-1,"N/A")</f>
        <v>N/A</v>
      </c>
      <c r="P29" s="595" t="str">
        <f ca="1">IFERROR($I29/L29-1,"N/A")</f>
        <v>N/A</v>
      </c>
      <c r="Q29" s="16"/>
      <c r="R29" s="16"/>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0">
        <f ca="1">INDEX(Data,MATCH($C30,Line_Items,0),MATCH($H$6,Fiscal_Periods,0))</f>
      </c>
      <c r="J30" s="911">
        <v>5000</v>
      </c>
      <c r="K30" s="910">
        <f ca="1">INDEX(Data,MATCH($C30,Line_Items,0),MATCH(LEFT(K$24,4),Fiscal_Periods,0))</f>
      </c>
      <c r="L30" s="910">
        <f ca="1">INDEX(Data,MATCH($C30,Line_Items,0),MATCH(LEFT(L$24,4),Fiscal_Periods,0))</f>
      </c>
      <c r="M30" s="912" t="str">
        <f t="shared" ref="M30:N30" si="23" ca="1">IFERROR($H30/I30-1,"N/A")</f>
        <v>N/A</v>
      </c>
      <c r="N30" s="591" t="str">
        <f ca="1">IFERROR($H30/J30-1,"N/A")</f>
        <v>N/A</v>
      </c>
      <c r="O30" s="591" t="str">
        <f t="shared" ref="O30:P30" si="24" ca="1">IFERROR($I30/K30-1,"N/A")</f>
        <v>N/A</v>
      </c>
      <c r="P30" s="591" t="str">
        <f ca="1">IFERROR($I30/L30-1,"N/A")</f>
        <v>N/A</v>
      </c>
      <c r="Q30" s="16"/>
      <c r="R30" s="16"/>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3">
        <f ca="1">INDEX(Data,MATCH($C31,Line_Items,0),MATCH($H$6,Fiscal_Periods,0))</f>
      </c>
      <c r="J31" s="914">
        <f ca="1">INDEX(Data,MATCH($C31,Line_Items,0),MATCH($H$6,Fiscal_Periods,0))</f>
      </c>
      <c r="K31" s="913">
        <f ca="1">INDEX(Data,MATCH($C31,Line_Items,0),MATCH(LEFT(K$24,4),Fiscal_Periods,0))</f>
      </c>
      <c r="L31" s="913">
        <f ca="1">INDEX(Data,MATCH($C31,Line_Items,0),MATCH(LEFT(L$24,4),Fiscal_Periods,0))</f>
      </c>
      <c r="M31" s="916" t="str">
        <f t="shared" ref="M31:N31" si="25" ca="1">IFERROR($H31/I31-1,"N/A")</f>
        <v>N/A</v>
      </c>
      <c r="N31" s="917" t="str">
        <f ca="1">IFERROR($H31/J31-1,"N/A")</f>
        <v>N/A</v>
      </c>
      <c r="O31" s="917" t="str">
        <f t="shared" ref="O31:P31" si="26" ca="1">IFERROR($I31/K31-1,"N/A")</f>
        <v>N/A</v>
      </c>
      <c r="P31" s="917" t="str">
        <f ca="1">IFERROR($I31/L31-1,"N/A")</f>
        <v>N/A</v>
      </c>
      <c r="Q31" s="16"/>
      <c r="R31" s="16"/>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8">
        <f ca="1">INDEX(Data,MATCH($C32,Line_Items,0),MATCH($H$6,Fiscal_Periods,0))</f>
      </c>
      <c r="J32" s="899">
        <v>820</v>
      </c>
      <c r="K32" s="898">
        <f ca="1">INDEX(Data,MATCH($C32,Line_Items,0),MATCH(LEFT(K$24,4),Fiscal_Periods,0))</f>
      </c>
      <c r="L32" s="898">
        <f ca="1">INDEX(Data,MATCH($C32,Line_Items,0),MATCH(LEFT(L$24,4),Fiscal_Periods,0))</f>
      </c>
      <c r="M32" s="900" t="str">
        <f t="shared" ref="M32:N32" si="27" ca="1">IFERROR($H32/I32-1,"N/A")</f>
        <v>N/A</v>
      </c>
      <c r="N32" s="595" t="str">
        <f ca="1">IFERROR($H32/J32-1,"N/A")</f>
        <v>N/A</v>
      </c>
      <c r="O32" s="595" t="str">
        <f t="shared" ref="O32:P32" si="28" ca="1">IFERROR($I32/K32-1,"N/A")</f>
        <v>N/A</v>
      </c>
      <c r="P32" s="595" t="str">
        <f ca="1">IFERROR($I32/L32-1,"N/A")</f>
        <v>N/A</v>
      </c>
      <c r="Q32" s="16"/>
      <c r="R32" s="16"/>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1">
        <f ca="1">INDEX(Data,MATCH($C33,Line_Items,0),MATCH($H$6,Fiscal_Periods,0))</f>
      </c>
      <c r="J33" s="902">
        <v>1400</v>
      </c>
      <c r="K33" s="901">
        <f ca="1">INDEX(Data,MATCH($C33,Line_Items,0),MATCH(LEFT(K$24,4),Fiscal_Periods,0))</f>
      </c>
      <c r="L33" s="901">
        <f ca="1">INDEX(Data,MATCH($C33,Line_Items,0),MATCH(LEFT(L$24,4),Fiscal_Periods,0))</f>
      </c>
      <c r="M33" s="900" t="str">
        <f t="shared" ref="M33:N33" si="29" ca="1">IFERROR($H33/I33-1,"N/A")</f>
        <v>N/A</v>
      </c>
      <c r="N33" s="595" t="str">
        <f ca="1">IFERROR($H33/J33-1,"N/A")</f>
        <v>N/A</v>
      </c>
      <c r="O33" s="595" t="str">
        <f t="shared" ref="O33:P33" si="30" ca="1">IFERROR($I33/K33-1,"N/A")</f>
        <v>N/A</v>
      </c>
      <c r="P33" s="595" t="str">
        <f ca="1">IFERROR($I33/L33-1,"N/A")</f>
        <v>N/A</v>
      </c>
      <c r="Q33" s="16"/>
      <c r="R33" s="16"/>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1">
        <f ca="1">INDEX(Data,MATCH($C34,Line_Items,0),MATCH($H$6,Fiscal_Periods,0))</f>
      </c>
      <c r="J34" s="902">
        <v>10</v>
      </c>
      <c r="K34" s="901">
        <f ca="1">INDEX(Data,MATCH($C34,Line_Items,0),MATCH(LEFT(K$24,4),Fiscal_Periods,0))</f>
      </c>
      <c r="L34" s="901">
        <f ca="1">INDEX(Data,MATCH($C34,Line_Items,0),MATCH(LEFT(L$24,4),Fiscal_Periods,0))</f>
      </c>
      <c r="M34" s="900" t="str">
        <f t="shared" ref="M34:N34" si="31" ca="1">IFERROR($H34/I34-1,"N/A")</f>
        <v>N/A</v>
      </c>
      <c r="N34" s="595" t="str">
        <f ca="1">IFERROR($H34/J34-1,"N/A")</f>
        <v>N/A</v>
      </c>
      <c r="O34" s="595" t="str">
        <f t="shared" ref="O34:P34" si="32" ca="1">IFERROR($I34/K34-1,"N/A")</f>
        <v>N/A</v>
      </c>
      <c r="P34" s="595" t="str">
        <f ca="1">IFERROR($I34/L34-1,"N/A")</f>
        <v>N/A</v>
      </c>
      <c r="Q34" s="16"/>
      <c r="R34" s="16"/>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1">
        <f ca="1">INDEX(Data,MATCH($C35,Line_Items,0),MATCH($H$6,Fiscal_Periods,0))</f>
      </c>
      <c r="J35" s="902">
        <v>-23</v>
      </c>
      <c r="K35" s="901">
        <f ca="1">INDEX(Data,MATCH($C35,Line_Items,0),MATCH(LEFT(K$24,4),Fiscal_Periods,0))</f>
      </c>
      <c r="L35" s="901">
        <f ca="1">INDEX(Data,MATCH($C35,Line_Items,0),MATCH(LEFT(L$24,4),Fiscal_Periods,0))</f>
      </c>
      <c r="M35" s="900" t="str">
        <f t="shared" ref="M35:N35" si="33" ca="1">IFERROR($H35/I35-1,"N/A")</f>
        <v>N/A</v>
      </c>
      <c r="N35" s="595" t="str">
        <f ca="1">IFERROR($H35/J35-1,"N/A")</f>
        <v>N/A</v>
      </c>
      <c r="O35" s="595" t="str">
        <f t="shared" ref="O35:P35" si="34" ca="1">IFERROR($I35/K35-1,"N/A")</f>
        <v>N/A</v>
      </c>
      <c r="P35" s="595" t="str">
        <f ca="1">IFERROR($I35/L35-1,"N/A")</f>
        <v>N/A</v>
      </c>
      <c r="Q35" s="16"/>
      <c r="R35" s="16"/>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1">
        <f ca="1">INDEX(Data,MATCH($C36,Line_Items,0),MATCH($H$6,Fiscal_Periods,0))</f>
      </c>
      <c r="J36" s="902">
        <v>650</v>
      </c>
      <c r="K36" s="901">
        <f ca="1">INDEX(Data,MATCH($C36,Line_Items,0),MATCH(LEFT(K$24,4),Fiscal_Periods,0))</f>
      </c>
      <c r="L36" s="901">
        <f ca="1">INDEX(Data,MATCH($C36,Line_Items,0),MATCH(LEFT(L$24,4),Fiscal_Periods,0))</f>
      </c>
      <c r="M36" s="900" t="str">
        <f t="shared" ref="M36:N36" si="35" ca="1">IFERROR($H36/I36-1,"N/A")</f>
        <v>N/A</v>
      </c>
      <c r="N36" s="595" t="str">
        <f ca="1">IFERROR($H36/J36-1,"N/A")</f>
        <v>N/A</v>
      </c>
      <c r="O36" s="595" t="str">
        <f t="shared" ref="O36:P36" si="36" ca="1">IFERROR($I36/K36-1,"N/A")</f>
        <v>N/A</v>
      </c>
      <c r="P36" s="595" t="str">
        <f ca="1">IFERROR($I36/L36-1,"N/A")</f>
        <v>N/A</v>
      </c>
      <c r="Q36" s="16"/>
      <c r="R36" s="16"/>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1">
        <f ca="1">INDEX(Data,MATCH($C37,Line_Items,0),MATCH($H$6,Fiscal_Periods,0))</f>
      </c>
      <c r="J37" s="902">
        <v>300</v>
      </c>
      <c r="K37" s="901">
        <f ca="1">INDEX(Data,MATCH($C37,Line_Items,0),MATCH(LEFT(K$24,4),Fiscal_Periods,0))</f>
      </c>
      <c r="L37" s="901">
        <f ca="1">INDEX(Data,MATCH($C37,Line_Items,0),MATCH(LEFT(L$24,4),Fiscal_Periods,0))</f>
      </c>
      <c r="M37" s="900" t="str">
        <f t="shared" ref="M37:N37" si="37" ca="1">IFERROR($H37/I37-1,"N/A")</f>
        <v>N/A</v>
      </c>
      <c r="N37" s="595" t="str">
        <f ca="1">IFERROR($H37/J37-1,"N/A")</f>
        <v>N/A</v>
      </c>
      <c r="O37" s="595" t="str">
        <f t="shared" ref="O37:P37" si="38" ca="1">IFERROR($I37/K37-1,"N/A")</f>
        <v>N/A</v>
      </c>
      <c r="P37" s="595" t="str">
        <f ca="1">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 ca="1">Ticker&amp;" "&amp;H4&amp;RIGHT(H5,2)&amp;" Cash Flow Results"</f>
        <v>LOW 4Q26 Cash Flow Results</v>
      </c>
      <c r="D40" s="110"/>
      <c r="E40" s="110"/>
      <c r="F40" s="110"/>
      <c r="G40" s="110"/>
      <c r="H40" s="111" t="str">
        <f t="shared" ref="H40:P40" si="39" ca="1">H10</f>
        <v>4Q26a</v>
      </c>
      <c r="I40" s="111" t="str">
        <f ca="1">I10</f>
        <v>OFe</v>
      </c>
      <c r="J40" s="111" t="str">
        <f ca="1">J10</f>
        <v>Consensus</v>
      </c>
      <c r="K40" s="111" t="str">
        <f ca="1">K10</f>
        <v>4Q25a</v>
      </c>
      <c r="L40" s="111" t="str">
        <f ca="1">L10</f>
        <v>2Q26a</v>
      </c>
      <c r="M40" s="897" t="str">
        <f ca="1">M10</f>
        <v>v. OFe</v>
      </c>
      <c r="N40" s="111" t="str">
        <f ca="1">N10</f>
        <v>v. Consensus</v>
      </c>
      <c r="O40" s="111" t="str">
        <f ca="1">O10</f>
        <v>v. 4Q25a</v>
      </c>
      <c r="P40" s="111" t="str">
        <f ca="1">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8">
        <f ca="1">INDEX(Data,MATCH($C42,Line_Items,0),MATCH($H$6,Fiscal_Periods,0))</f>
      </c>
      <c r="J42" s="899">
        <v>50</v>
      </c>
      <c r="K42" s="898">
        <f t="array" ref="K42" ca="1">INDEX(Data,MATCH($C42,Line_Items,0),MATCH(LEFT(K$40,4),Fiscal_Periods,0))</f>
        <v>0</v>
      </c>
      <c r="L42" s="898">
        <f t="array" ref="L42" ca="1">INDEX(Data,MATCH($C42,Line_Items,0),MATCH(LEFT(L$40,4),Fiscal_Periods,0))</f>
        <v>0</v>
      </c>
      <c r="M42" s="900" t="str">
        <f t="shared" ref="M42:N42" si="40" ca="1">IFERROR($H42/I42-1,"N/A")</f>
        <v>N/A</v>
      </c>
      <c r="N42" s="595" t="str">
        <f ca="1">IFERROR($H42/J42-1,"N/A")</f>
        <v>N/A</v>
      </c>
      <c r="O42" s="595" t="str">
        <f t="shared" ref="O42:P42" si="41" ca="1">IFERROR($I42/K42-1,"N/A")</f>
        <v>N/A</v>
      </c>
      <c r="P42" s="595" t="str">
        <f ca="1">IFERROR($I42/L42-1,"N/A")</f>
        <v>N/A</v>
      </c>
      <c r="Q42" s="16"/>
      <c r="R42" s="16"/>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1">
        <f t="array" ref="I43" ca="1">INDEX(Data,MATCH($C43,Line_Items,0),MATCH($H$6,Fiscal_Periods,0))</f>
        <v>-370.1257</v>
      </c>
      <c r="J43" s="902">
        <v>-668</v>
      </c>
      <c r="K43" s="901">
        <f t="array" ref="K43" ca="1">INDEX(Data,MATCH($C43,Line_Items,0),MATCH(LEFT(K$40,4),Fiscal_Periods,0))</f>
        <v>0</v>
      </c>
      <c r="L43" s="901">
        <f t="array" ref="L43" ca="1">INDEX(Data,MATCH($C43,Line_Items,0),MATCH(LEFT(L$40,4),Fiscal_Periods,0))</f>
        <v>0</v>
      </c>
      <c r="M43" s="900">
        <f t="shared" ref="M43:N43" si="42" ca="1">IFERROR($H43/I43-1,"N/A")</f>
        <v>0</v>
      </c>
      <c r="N43" s="595">
        <f ca="1">IFERROR($H43/J43-1,"N/A")</f>
        <v>-0.4459196107784431</v>
      </c>
      <c r="O43" s="595" t="str">
        <f t="shared" ref="O43:P43" si="43" ca="1">IFERROR($I43/K43-1,"N/A")</f>
        <v>N/A</v>
      </c>
      <c r="P43" s="595" t="str">
        <f ca="1">IFERROR($I43/L43-1,"N/A")</f>
        <v>N/A</v>
      </c>
      <c r="Q43" s="16"/>
      <c r="R43" s="16"/>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1">
        <f ca="1">INDEX(Data,MATCH($C44,Line_Items,0),MATCH($H$6,Fiscal_Periods,0))</f>
      </c>
      <c r="J44" s="902">
        <v>1412.6</v>
      </c>
      <c r="K44" s="901">
        <f t="array" ref="K44" ca="1">INDEX(Data,MATCH($C44,Line_Items,0),MATCH(LEFT(K$40,4),Fiscal_Periods,0))</f>
        <v>-1545</v>
      </c>
      <c r="L44" s="901">
        <f t="array" ref="L44" ca="1">INDEX(Data,MATCH($C44,Line_Items,0),MATCH(LEFT(L$40,4),Fiscal_Periods,0))</f>
        <v>2149</v>
      </c>
      <c r="M44" s="900" t="str">
        <f t="shared" ref="M44:N44" si="44" ca="1">IFERROR($H44/I44-1,"N/A")</f>
        <v>N/A</v>
      </c>
      <c r="N44" s="595" t="str">
        <f ca="1">IFERROR($H44/J44-1,"N/A")</f>
        <v>N/A</v>
      </c>
      <c r="O44" s="595" t="str">
        <f t="shared" ref="O44:P44" si="45" ca="1">IFERROR($I44/K44-1,"N/A")</f>
        <v>N/A</v>
      </c>
      <c r="P44" s="595" t="str">
        <f ca="1">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12" customWidth="1"/>
    <col min="4" max="4" width="16" customWidth="1"/>
    <col min="5" max="5" width="18" customWidth="1"/>
    <col min="6" max="6" width="20" customWidth="1"/>
    <col min="7" max="7" width="26" customWidth="1"/>
    <col min="8" max="8" width="14" customWidth="1"/>
  </cols>
  <sheetData>
    <row r="1" spans="1:8" s="918" customFormat="1" x14ac:dyDescent="0.25">
      <c r="A1" s="918" t="s">
        <v>970</v>
      </c>
      <c r="B1" s="918" t="s">
        <v>971</v>
      </c>
      <c r="C1" s="918" t="s">
        <v>972</v>
      </c>
      <c r="D1" s="918" t="s">
        <v>973</v>
      </c>
      <c r="E1" s="918" t="s">
        <v>974</v>
      </c>
      <c r="F1" s="918" t="s">
        <v>975</v>
      </c>
      <c r="G1" s="918" t="s">
        <v>976</v>
      </c>
      <c r="H1" s="918" t="s">
        <v>977</v>
      </c>
    </row>
    <row r="2" spans="1:8" x14ac:dyDescent="0.25">
      <c r="A2" t="s">
        <v>978</v>
      </c>
      <c r="B2" t="s">
        <v>979</v>
      </c>
      <c r="C2" t="s">
        <v>980</v>
      </c>
      <c r="D2" t="s">
        <v>981</v>
      </c>
      <c r="E2" t="s">
        <v>982</v>
      </c>
      <c r="F2" t="s">
        <v>983</v>
      </c>
      <c r="G2" t="s">
        <v>984</v>
      </c>
      <c r="H2" t="s">
        <v>985</v>
      </c>
    </row>
    <row r="3" spans="1:8" x14ac:dyDescent="0.25">
      <c r="A3" t="s">
        <v>986</v>
      </c>
      <c r="B3" t="s">
        <v>987</v>
      </c>
      <c r="C3" t="s">
        <v>980</v>
      </c>
      <c r="D3" t="s">
        <v>988</v>
      </c>
      <c r="E3" t="s">
        <v>982</v>
      </c>
      <c r="F3" t="s">
        <v>989</v>
      </c>
      <c r="G3" t="s">
        <v>990</v>
      </c>
      <c r="H3" t="s">
        <v>991</v>
      </c>
    </row>
    <row r="4" spans="1:8" x14ac:dyDescent="0.25">
      <c r="A4" t="s">
        <v>992</v>
      </c>
      <c r="B4" t="s">
        <v>993</v>
      </c>
      <c r="C4" t="s">
        <v>980</v>
      </c>
      <c r="D4" t="s">
        <v>994</v>
      </c>
      <c r="E4" t="s">
        <v>982</v>
      </c>
      <c r="F4" t="s">
        <v>995</v>
      </c>
      <c r="G4" t="s">
        <v>996</v>
      </c>
      <c r="H4" t="s">
        <v>997</v>
      </c>
    </row>
    <row r="5" spans="1:8" x14ac:dyDescent="0.25">
      <c r="A5" t="s">
        <v>998</v>
      </c>
      <c r="B5" t="s">
        <v>999</v>
      </c>
      <c r="C5" t="s">
        <v>1000</v>
      </c>
      <c r="D5" t="s">
        <v>1001</v>
      </c>
      <c r="E5" t="s">
        <v>982</v>
      </c>
      <c r="F5" t="s">
        <v>1002</v>
      </c>
      <c r="G5" t="s">
        <v>1003</v>
      </c>
      <c r="H5" t="s">
        <v>1004</v>
      </c>
    </row>
    <row r="6" spans="1:8" x14ac:dyDescent="0.25">
      <c r="A6" t="s">
        <v>982</v>
      </c>
      <c r="B6" t="s">
        <v>1005</v>
      </c>
      <c r="C6" t="s">
        <v>1000</v>
      </c>
      <c r="D6" t="s">
        <v>1001</v>
      </c>
      <c r="E6" t="s">
        <v>982</v>
      </c>
      <c r="F6" t="s">
        <v>1002</v>
      </c>
      <c r="G6" t="s">
        <v>1003</v>
      </c>
      <c r="H6" t="s">
        <v>1004</v>
      </c>
    </row>
    <row r="7" spans="1:8" x14ac:dyDescent="0.25">
      <c r="A7" t="s">
        <v>1006</v>
      </c>
      <c r="B7" t="s">
        <v>1007</v>
      </c>
      <c r="C7" t="s">
        <v>1008</v>
      </c>
      <c r="D7" t="s">
        <v>1009</v>
      </c>
      <c r="E7" t="s">
        <v>1010</v>
      </c>
      <c r="F7" t="s">
        <v>983</v>
      </c>
      <c r="G7" t="s">
        <v>1011</v>
      </c>
      <c r="H7" t="s">
        <v>1012</v>
      </c>
    </row>
    <row r="8" spans="1:8" x14ac:dyDescent="0.25">
      <c r="A8" t="s">
        <v>1013</v>
      </c>
      <c r="B8" t="s">
        <v>1014</v>
      </c>
      <c r="C8" t="s">
        <v>980</v>
      </c>
      <c r="D8" t="s">
        <v>1015</v>
      </c>
      <c r="E8" t="s">
        <v>1010</v>
      </c>
      <c r="F8" t="s">
        <v>989</v>
      </c>
      <c r="G8" t="s">
        <v>1016</v>
      </c>
      <c r="H8" t="s">
        <v>1017</v>
      </c>
    </row>
    <row r="9" spans="1:8" x14ac:dyDescent="0.25">
      <c r="A9" t="s">
        <v>1018</v>
      </c>
      <c r="B9" t="s">
        <v>1019</v>
      </c>
      <c r="C9" t="s">
        <v>980</v>
      </c>
      <c r="D9" t="s">
        <v>1020</v>
      </c>
      <c r="E9" t="s">
        <v>1010</v>
      </c>
      <c r="F9" t="s">
        <v>995</v>
      </c>
      <c r="G9" t="s">
        <v>1021</v>
      </c>
      <c r="H9" t="s">
        <v>1022</v>
      </c>
    </row>
    <row r="10" spans="1:8" x14ac:dyDescent="0.25">
      <c r="A10" t="s">
        <v>1023</v>
      </c>
      <c r="B10" t="s">
        <v>1024</v>
      </c>
      <c r="C10" t="s">
        <v>1000</v>
      </c>
      <c r="D10" t="s">
        <v>1025</v>
      </c>
      <c r="E10" t="s">
        <v>1010</v>
      </c>
      <c r="F10" t="s">
        <v>1002</v>
      </c>
      <c r="G10" t="s">
        <v>1026</v>
      </c>
      <c r="H10" t="s">
        <v>1027</v>
      </c>
    </row>
    <row r="11" spans="1:8" x14ac:dyDescent="0.25">
      <c r="A11" t="s">
        <v>1010</v>
      </c>
      <c r="B11" t="s">
        <v>1028</v>
      </c>
      <c r="C11" t="s">
        <v>1000</v>
      </c>
      <c r="D11" t="s">
        <v>1025</v>
      </c>
      <c r="E11" t="s">
        <v>1010</v>
      </c>
      <c r="F11" t="s">
        <v>1002</v>
      </c>
      <c r="G11" t="s">
        <v>1026</v>
      </c>
      <c r="H11" t="s">
        <v>1027</v>
      </c>
    </row>
    <row r="12" spans="1:8" x14ac:dyDescent="0.25">
      <c r="A12" t="s">
        <v>1029</v>
      </c>
      <c r="B12" t="s">
        <v>1030</v>
      </c>
      <c r="C12" t="s">
        <v>980</v>
      </c>
      <c r="D12" t="s">
        <v>1031</v>
      </c>
      <c r="E12" t="s">
        <v>1032</v>
      </c>
      <c r="F12" t="s">
        <v>983</v>
      </c>
      <c r="G12" t="s">
        <v>1033</v>
      </c>
      <c r="H12" t="s">
        <v>1034</v>
      </c>
    </row>
    <row r="13" spans="1:8" x14ac:dyDescent="0.25">
      <c r="A13" t="s">
        <v>1035</v>
      </c>
      <c r="B13" t="s">
        <v>1036</v>
      </c>
      <c r="C13" t="s">
        <v>980</v>
      </c>
      <c r="D13" t="s">
        <v>1037</v>
      </c>
      <c r="E13" t="s">
        <v>1032</v>
      </c>
      <c r="F13" t="s">
        <v>989</v>
      </c>
      <c r="G13" t="s">
        <v>1038</v>
      </c>
      <c r="H13" t="s">
        <v>1039</v>
      </c>
    </row>
    <row r="14" spans="1:8" x14ac:dyDescent="0.25">
      <c r="A14" t="s">
        <v>1040</v>
      </c>
      <c r="B14" t="s">
        <v>1041</v>
      </c>
      <c r="C14" t="s">
        <v>980</v>
      </c>
      <c r="D14" t="s">
        <v>1042</v>
      </c>
      <c r="E14" t="s">
        <v>1032</v>
      </c>
      <c r="F14" t="s">
        <v>995</v>
      </c>
      <c r="G14" t="s">
        <v>1043</v>
      </c>
      <c r="H14" t="s">
        <v>1044</v>
      </c>
    </row>
    <row r="15" spans="1:8" x14ac:dyDescent="0.25">
      <c r="A15" t="s">
        <v>1045</v>
      </c>
      <c r="B15" t="s">
        <v>1046</v>
      </c>
      <c r="C15" t="s">
        <v>1000</v>
      </c>
      <c r="D15" t="s">
        <v>1047</v>
      </c>
      <c r="E15" t="s">
        <v>1032</v>
      </c>
      <c r="F15" t="s">
        <v>1002</v>
      </c>
      <c r="G15" t="s">
        <v>1048</v>
      </c>
      <c r="H15" t="s">
        <v>1049</v>
      </c>
    </row>
    <row r="16" spans="1:8" x14ac:dyDescent="0.25">
      <c r="A16" t="s">
        <v>1032</v>
      </c>
      <c r="B16" t="s">
        <v>1050</v>
      </c>
      <c r="C16" t="s">
        <v>1000</v>
      </c>
      <c r="D16" t="s">
        <v>1047</v>
      </c>
      <c r="E16" t="s">
        <v>1032</v>
      </c>
      <c r="F16" t="s">
        <v>1002</v>
      </c>
      <c r="G16" t="s">
        <v>1048</v>
      </c>
      <c r="H16" t="s">
        <v>1049</v>
      </c>
    </row>
    <row r="17" spans="1:8" x14ac:dyDescent="0.25">
      <c r="A17" t="s">
        <v>1051</v>
      </c>
      <c r="B17" t="s">
        <v>1052</v>
      </c>
      <c r="C17" t="s">
        <v>980</v>
      </c>
      <c r="D17" t="s">
        <v>1053</v>
      </c>
      <c r="E17" t="s">
        <v>1054</v>
      </c>
      <c r="F17" t="s">
        <v>983</v>
      </c>
      <c r="G17" t="s">
        <v>1055</v>
      </c>
      <c r="H17" t="s">
        <v>1056</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673"/>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 min="25" max="25" width="44" customWidth="1"/>
    <col min="26" max="26" width="28" customWidth="1"/>
    <col min="27" max="27" width="36" customWidth="1"/>
    <col min="28" max="28" width="60" customWidth="1"/>
    <col min="29" max="29" width="20" customWidth="1"/>
    <col min="30" max="30" width="28" customWidth="1"/>
  </cols>
  <sheetData>
    <row r="1" spans="1:30" s="918" customFormat="1" x14ac:dyDescent="0.25">
      <c r="A1" s="918" t="s">
        <v>1057</v>
      </c>
      <c r="B1" s="918" t="s">
        <v>1058</v>
      </c>
      <c r="C1" s="918" t="s">
        <v>1059</v>
      </c>
      <c r="D1" s="918" t="s">
        <v>1060</v>
      </c>
      <c r="E1" s="918" t="s">
        <v>1061</v>
      </c>
      <c r="F1" s="918" t="s">
        <v>1062</v>
      </c>
      <c r="G1" s="918" t="s">
        <v>1063</v>
      </c>
      <c r="H1" s="918" t="s">
        <v>1064</v>
      </c>
      <c r="I1" s="918" t="s">
        <v>1065</v>
      </c>
      <c r="J1" s="918" t="s">
        <v>1066</v>
      </c>
      <c r="K1" s="918" t="s">
        <v>1067</v>
      </c>
      <c r="L1" s="918" t="s">
        <v>1068</v>
      </c>
      <c r="M1" s="918" t="s">
        <v>1069</v>
      </c>
      <c r="N1" s="918" t="s">
        <v>1070</v>
      </c>
      <c r="O1" s="918" t="s">
        <v>1071</v>
      </c>
      <c r="P1" s="918" t="s">
        <v>1072</v>
      </c>
      <c r="Q1" s="918" t="s">
        <v>1073</v>
      </c>
      <c r="R1" s="918" t="s">
        <v>1074</v>
      </c>
      <c r="S1" s="918" t="s">
        <v>1075</v>
      </c>
      <c r="T1" s="918" t="s">
        <v>1076</v>
      </c>
      <c r="U1" s="918" t="s">
        <v>1077</v>
      </c>
      <c r="V1" s="918" t="s">
        <v>1078</v>
      </c>
      <c r="W1" s="918" t="s">
        <v>1079</v>
      </c>
      <c r="X1" s="918" t="s">
        <v>1080</v>
      </c>
      <c r="Y1" s="918" t="s">
        <v>1081</v>
      </c>
      <c r="Z1" s="918" t="s">
        <v>1082</v>
      </c>
      <c r="AA1" s="918" t="s">
        <v>1083</v>
      </c>
      <c r="AB1" s="918" t="s">
        <v>1084</v>
      </c>
      <c r="AC1" s="918" t="s">
        <v>1085</v>
      </c>
      <c r="AD1" s="918" t="s">
        <v>1086</v>
      </c>
    </row>
    <row r="2" spans="1:24" x14ac:dyDescent="0.25">
      <c r="A2" t="s">
        <v>42</v>
      </c>
      <c r="B2" t="s">
        <v>1087</v>
      </c>
      <c r="C2" t="s">
        <v>267</v>
      </c>
      <c r="D2" t="s">
        <v>427</v>
      </c>
      <c r="E2" t="s">
        <v>978</v>
      </c>
      <c r="F2">
        <v>0</v>
      </c>
      <c r="G2" t="s">
        <v>1088</v>
      </c>
      <c r="H2" t="s">
        <v>446</v>
      </c>
      <c r="I2" t="s">
        <v>446</v>
      </c>
      <c r="J2" t="s">
        <v>1089</v>
      </c>
      <c r="K2" t="s">
        <v>446</v>
      </c>
      <c r="L2" t="s">
        <v>446</v>
      </c>
      <c r="M2" t="s">
        <v>446</v>
      </c>
      <c r="N2" t="s">
        <v>446</v>
      </c>
      <c r="O2" t="s">
        <v>446</v>
      </c>
      <c r="P2" t="s">
        <v>446</v>
      </c>
      <c r="Q2" t="b">
        <v>1</v>
      </c>
      <c r="R2" t="b">
        <v>0</v>
      </c>
      <c r="S2" t="s">
        <v>1090</v>
      </c>
      <c r="T2" t="s">
        <v>1091</v>
      </c>
      <c r="U2" t="s">
        <v>1092</v>
      </c>
      <c r="V2" t="s">
        <v>1093</v>
      </c>
      <c r="W2" t="s">
        <v>1088</v>
      </c>
      <c r="X2" t="s">
        <v>1094</v>
      </c>
    </row>
    <row r="3" spans="1:24" x14ac:dyDescent="0.25">
      <c r="A3" t="s">
        <v>42</v>
      </c>
      <c r="B3" t="s">
        <v>1095</v>
      </c>
      <c r="C3" t="s">
        <v>267</v>
      </c>
      <c r="D3" t="s">
        <v>427</v>
      </c>
      <c r="E3" t="s">
        <v>986</v>
      </c>
      <c r="F3">
        <v>0</v>
      </c>
      <c r="G3" t="s">
        <v>1088</v>
      </c>
      <c r="H3" t="s">
        <v>446</v>
      </c>
      <c r="I3" t="s">
        <v>446</v>
      </c>
      <c r="J3" t="s">
        <v>1089</v>
      </c>
      <c r="K3" t="s">
        <v>446</v>
      </c>
      <c r="L3" t="s">
        <v>446</v>
      </c>
      <c r="M3" t="s">
        <v>446</v>
      </c>
      <c r="N3" t="s">
        <v>446</v>
      </c>
      <c r="O3" t="s">
        <v>446</v>
      </c>
      <c r="P3" t="s">
        <v>446</v>
      </c>
      <c r="Q3" t="b">
        <v>1</v>
      </c>
      <c r="R3" t="b">
        <v>0</v>
      </c>
      <c r="S3" t="s">
        <v>1090</v>
      </c>
      <c r="T3" t="s">
        <v>1091</v>
      </c>
      <c r="U3" t="s">
        <v>1092</v>
      </c>
      <c r="V3" t="s">
        <v>1093</v>
      </c>
      <c r="W3" t="s">
        <v>1088</v>
      </c>
      <c r="X3" t="s">
        <v>1094</v>
      </c>
    </row>
    <row r="4" spans="1:24" x14ac:dyDescent="0.25">
      <c r="A4" t="s">
        <v>42</v>
      </c>
      <c r="B4" t="s">
        <v>1096</v>
      </c>
      <c r="C4" t="s">
        <v>267</v>
      </c>
      <c r="D4" t="s">
        <v>427</v>
      </c>
      <c r="E4" t="s">
        <v>992</v>
      </c>
      <c r="F4">
        <v>0</v>
      </c>
      <c r="G4" t="s">
        <v>1088</v>
      </c>
      <c r="H4" t="s">
        <v>446</v>
      </c>
      <c r="I4" t="s">
        <v>446</v>
      </c>
      <c r="J4" t="s">
        <v>1089</v>
      </c>
      <c r="K4" t="s">
        <v>446</v>
      </c>
      <c r="L4" t="s">
        <v>446</v>
      </c>
      <c r="M4" t="s">
        <v>446</v>
      </c>
      <c r="N4" t="s">
        <v>446</v>
      </c>
      <c r="O4" t="s">
        <v>446</v>
      </c>
      <c r="P4" t="s">
        <v>446</v>
      </c>
      <c r="Q4" t="b">
        <v>1</v>
      </c>
      <c r="R4" t="b">
        <v>0</v>
      </c>
      <c r="S4" t="s">
        <v>1090</v>
      </c>
      <c r="T4" t="s">
        <v>1097</v>
      </c>
      <c r="U4" t="s">
        <v>1092</v>
      </c>
      <c r="V4" t="s">
        <v>1093</v>
      </c>
      <c r="W4" t="s">
        <v>1088</v>
      </c>
      <c r="X4" t="s">
        <v>1094</v>
      </c>
    </row>
    <row r="5" spans="1:24" x14ac:dyDescent="0.25">
      <c r="A5" t="s">
        <v>42</v>
      </c>
      <c r="B5" t="s">
        <v>1098</v>
      </c>
      <c r="C5" t="s">
        <v>267</v>
      </c>
      <c r="D5" t="s">
        <v>427</v>
      </c>
      <c r="E5" t="s">
        <v>998</v>
      </c>
      <c r="F5">
        <v>0</v>
      </c>
      <c r="G5" t="s">
        <v>1088</v>
      </c>
      <c r="H5" t="s">
        <v>446</v>
      </c>
      <c r="I5" t="s">
        <v>446</v>
      </c>
      <c r="J5" t="s">
        <v>1089</v>
      </c>
      <c r="K5" t="s">
        <v>446</v>
      </c>
      <c r="L5" t="s">
        <v>446</v>
      </c>
      <c r="M5" t="s">
        <v>446</v>
      </c>
      <c r="N5" t="s">
        <v>446</v>
      </c>
      <c r="O5" t="s">
        <v>446</v>
      </c>
      <c r="P5" t="s">
        <v>446</v>
      </c>
      <c r="Q5" t="b">
        <v>1</v>
      </c>
      <c r="R5" t="b">
        <v>0</v>
      </c>
      <c r="S5" t="s">
        <v>1090</v>
      </c>
      <c r="T5" t="s">
        <v>1097</v>
      </c>
      <c r="U5" t="s">
        <v>1092</v>
      </c>
      <c r="V5" t="s">
        <v>1093</v>
      </c>
      <c r="W5" t="s">
        <v>1088</v>
      </c>
      <c r="X5" t="s">
        <v>1094</v>
      </c>
    </row>
    <row r="6" spans="1:24" x14ac:dyDescent="0.25">
      <c r="A6" t="s">
        <v>42</v>
      </c>
      <c r="B6" t="s">
        <v>1099</v>
      </c>
      <c r="C6" t="s">
        <v>267</v>
      </c>
      <c r="D6" t="s">
        <v>427</v>
      </c>
      <c r="E6" t="s">
        <v>1006</v>
      </c>
      <c r="F6">
        <v>0</v>
      </c>
      <c r="G6" t="s">
        <v>1088</v>
      </c>
      <c r="H6" t="s">
        <v>446</v>
      </c>
      <c r="I6" t="s">
        <v>446</v>
      </c>
      <c r="J6" t="s">
        <v>1089</v>
      </c>
      <c r="K6" t="s">
        <v>446</v>
      </c>
      <c r="L6" t="s">
        <v>446</v>
      </c>
      <c r="M6" t="s">
        <v>446</v>
      </c>
      <c r="N6" t="s">
        <v>446</v>
      </c>
      <c r="O6" t="s">
        <v>446</v>
      </c>
      <c r="P6" t="s">
        <v>446</v>
      </c>
      <c r="Q6" t="b">
        <v>1</v>
      </c>
      <c r="R6" t="b">
        <v>0</v>
      </c>
      <c r="S6" t="s">
        <v>1090</v>
      </c>
      <c r="T6" t="s">
        <v>1100</v>
      </c>
      <c r="U6" t="s">
        <v>1092</v>
      </c>
      <c r="V6" t="s">
        <v>1093</v>
      </c>
      <c r="W6" t="s">
        <v>1088</v>
      </c>
      <c r="X6" t="s">
        <v>1094</v>
      </c>
    </row>
    <row r="7" spans="1:24" x14ac:dyDescent="0.25">
      <c r="A7" t="s">
        <v>42</v>
      </c>
      <c r="B7" t="s">
        <v>1101</v>
      </c>
      <c r="C7" t="s">
        <v>267</v>
      </c>
      <c r="D7" t="s">
        <v>427</v>
      </c>
      <c r="E7" t="s">
        <v>1013</v>
      </c>
      <c r="F7">
        <v>0</v>
      </c>
      <c r="G7" t="s">
        <v>1088</v>
      </c>
      <c r="H7" t="s">
        <v>446</v>
      </c>
      <c r="I7" t="s">
        <v>446</v>
      </c>
      <c r="J7" t="s">
        <v>1089</v>
      </c>
      <c r="K7" t="s">
        <v>446</v>
      </c>
      <c r="L7" t="s">
        <v>446</v>
      </c>
      <c r="M7" t="s">
        <v>446</v>
      </c>
      <c r="N7" t="s">
        <v>446</v>
      </c>
      <c r="O7" t="s">
        <v>446</v>
      </c>
      <c r="P7" t="s">
        <v>446</v>
      </c>
      <c r="Q7" t="b">
        <v>1</v>
      </c>
      <c r="R7" t="b">
        <v>0</v>
      </c>
      <c r="S7" t="s">
        <v>1090</v>
      </c>
      <c r="T7" t="s">
        <v>1091</v>
      </c>
      <c r="U7" t="s">
        <v>1092</v>
      </c>
      <c r="V7" t="s">
        <v>1093</v>
      </c>
      <c r="W7" t="s">
        <v>1088</v>
      </c>
      <c r="X7" t="s">
        <v>1094</v>
      </c>
    </row>
    <row r="8" spans="1:24" x14ac:dyDescent="0.25">
      <c r="A8" t="s">
        <v>42</v>
      </c>
      <c r="B8" t="s">
        <v>1102</v>
      </c>
      <c r="C8" t="s">
        <v>267</v>
      </c>
      <c r="D8" t="s">
        <v>427</v>
      </c>
      <c r="E8" t="s">
        <v>1018</v>
      </c>
      <c r="F8">
        <v>0</v>
      </c>
      <c r="G8" t="s">
        <v>1088</v>
      </c>
      <c r="H8" t="s">
        <v>446</v>
      </c>
      <c r="I8" t="s">
        <v>446</v>
      </c>
      <c r="J8" t="s">
        <v>1089</v>
      </c>
      <c r="K8" t="s">
        <v>446</v>
      </c>
      <c r="L8" t="s">
        <v>446</v>
      </c>
      <c r="M8" t="s">
        <v>446</v>
      </c>
      <c r="N8" t="s">
        <v>446</v>
      </c>
      <c r="O8" t="s">
        <v>446</v>
      </c>
      <c r="P8" t="s">
        <v>446</v>
      </c>
      <c r="Q8" t="b">
        <v>1</v>
      </c>
      <c r="R8" t="b">
        <v>0</v>
      </c>
      <c r="S8" t="s">
        <v>1090</v>
      </c>
      <c r="T8" t="s">
        <v>1097</v>
      </c>
      <c r="U8" t="s">
        <v>1092</v>
      </c>
      <c r="V8" t="s">
        <v>1093</v>
      </c>
      <c r="W8" t="s">
        <v>1088</v>
      </c>
      <c r="X8" t="s">
        <v>1094</v>
      </c>
    </row>
    <row r="9" spans="1:24" x14ac:dyDescent="0.25">
      <c r="A9" t="s">
        <v>42</v>
      </c>
      <c r="B9" t="s">
        <v>1103</v>
      </c>
      <c r="C9" t="s">
        <v>267</v>
      </c>
      <c r="D9" t="s">
        <v>427</v>
      </c>
      <c r="E9" t="s">
        <v>1023</v>
      </c>
      <c r="F9">
        <v>0</v>
      </c>
      <c r="G9" t="s">
        <v>1088</v>
      </c>
      <c r="H9" t="s">
        <v>446</v>
      </c>
      <c r="I9" t="s">
        <v>446</v>
      </c>
      <c r="J9" t="s">
        <v>1089</v>
      </c>
      <c r="K9" t="s">
        <v>446</v>
      </c>
      <c r="L9" t="s">
        <v>446</v>
      </c>
      <c r="M9" t="s">
        <v>446</v>
      </c>
      <c r="N9" t="s">
        <v>446</v>
      </c>
      <c r="O9" t="s">
        <v>446</v>
      </c>
      <c r="P9" t="s">
        <v>446</v>
      </c>
      <c r="Q9" t="b">
        <v>1</v>
      </c>
      <c r="R9" t="b">
        <v>0</v>
      </c>
      <c r="S9" t="s">
        <v>1090</v>
      </c>
      <c r="T9" t="s">
        <v>1097</v>
      </c>
      <c r="U9" t="s">
        <v>1092</v>
      </c>
      <c r="V9" t="s">
        <v>1093</v>
      </c>
      <c r="W9" t="s">
        <v>1088</v>
      </c>
      <c r="X9" t="s">
        <v>1094</v>
      </c>
    </row>
    <row r="10" spans="1:24" x14ac:dyDescent="0.25">
      <c r="A10" t="s">
        <v>42</v>
      </c>
      <c r="B10" t="s">
        <v>1104</v>
      </c>
      <c r="C10" t="s">
        <v>267</v>
      </c>
      <c r="D10" t="s">
        <v>427</v>
      </c>
      <c r="E10" t="s">
        <v>1029</v>
      </c>
      <c r="F10">
        <v>0</v>
      </c>
      <c r="G10" t="s">
        <v>1088</v>
      </c>
      <c r="H10" t="s">
        <v>446</v>
      </c>
      <c r="I10" t="s">
        <v>446</v>
      </c>
      <c r="J10" t="s">
        <v>1089</v>
      </c>
      <c r="K10" t="s">
        <v>446</v>
      </c>
      <c r="L10" t="s">
        <v>446</v>
      </c>
      <c r="M10" t="s">
        <v>446</v>
      </c>
      <c r="N10" t="s">
        <v>446</v>
      </c>
      <c r="O10" t="s">
        <v>446</v>
      </c>
      <c r="P10" t="s">
        <v>446</v>
      </c>
      <c r="Q10" t="b">
        <v>1</v>
      </c>
      <c r="R10" t="b">
        <v>0</v>
      </c>
      <c r="S10" t="s">
        <v>1090</v>
      </c>
      <c r="T10" t="s">
        <v>1100</v>
      </c>
      <c r="U10" t="s">
        <v>1092</v>
      </c>
      <c r="V10" t="s">
        <v>1093</v>
      </c>
      <c r="W10" t="s">
        <v>1088</v>
      </c>
      <c r="X10" t="s">
        <v>1094</v>
      </c>
    </row>
    <row r="11" spans="1:24" x14ac:dyDescent="0.25">
      <c r="A11" t="s">
        <v>42</v>
      </c>
      <c r="B11" t="s">
        <v>1105</v>
      </c>
      <c r="C11" t="s">
        <v>267</v>
      </c>
      <c r="D11" t="s">
        <v>427</v>
      </c>
      <c r="E11" t="s">
        <v>1035</v>
      </c>
      <c r="F11">
        <v>0</v>
      </c>
      <c r="G11" t="s">
        <v>1088</v>
      </c>
      <c r="H11" t="s">
        <v>446</v>
      </c>
      <c r="I11" t="s">
        <v>446</v>
      </c>
      <c r="J11" t="s">
        <v>1089</v>
      </c>
      <c r="K11" t="s">
        <v>446</v>
      </c>
      <c r="L11" t="s">
        <v>446</v>
      </c>
      <c r="M11" t="s">
        <v>446</v>
      </c>
      <c r="N11" t="s">
        <v>446</v>
      </c>
      <c r="O11" t="s">
        <v>446</v>
      </c>
      <c r="P11" t="s">
        <v>446</v>
      </c>
      <c r="Q11" t="b">
        <v>1</v>
      </c>
      <c r="R11" t="b">
        <v>0</v>
      </c>
      <c r="S11" t="s">
        <v>1090</v>
      </c>
      <c r="T11" t="s">
        <v>1091</v>
      </c>
      <c r="U11" t="s">
        <v>1092</v>
      </c>
      <c r="V11" t="s">
        <v>1093</v>
      </c>
      <c r="W11" t="s">
        <v>1088</v>
      </c>
      <c r="X11" t="s">
        <v>1094</v>
      </c>
    </row>
    <row r="12" spans="1:24" x14ac:dyDescent="0.25">
      <c r="A12" t="s">
        <v>42</v>
      </c>
      <c r="B12" t="s">
        <v>1106</v>
      </c>
      <c r="C12" t="s">
        <v>267</v>
      </c>
      <c r="D12" t="s">
        <v>427</v>
      </c>
      <c r="E12" t="s">
        <v>1040</v>
      </c>
      <c r="F12">
        <v>0</v>
      </c>
      <c r="G12" t="s">
        <v>1088</v>
      </c>
      <c r="H12" t="s">
        <v>446</v>
      </c>
      <c r="I12" t="s">
        <v>446</v>
      </c>
      <c r="J12" t="s">
        <v>1089</v>
      </c>
      <c r="K12" t="s">
        <v>446</v>
      </c>
      <c r="L12" t="s">
        <v>446</v>
      </c>
      <c r="M12" t="s">
        <v>446</v>
      </c>
      <c r="N12" t="s">
        <v>446</v>
      </c>
      <c r="O12" t="s">
        <v>446</v>
      </c>
      <c r="P12" t="s">
        <v>446</v>
      </c>
      <c r="Q12" t="b">
        <v>1</v>
      </c>
      <c r="R12" t="b">
        <v>0</v>
      </c>
      <c r="S12" t="s">
        <v>1090</v>
      </c>
      <c r="T12" t="s">
        <v>1097</v>
      </c>
      <c r="U12" t="s">
        <v>1092</v>
      </c>
      <c r="V12" t="s">
        <v>1093</v>
      </c>
      <c r="W12" t="s">
        <v>1088</v>
      </c>
      <c r="X12" t="s">
        <v>1094</v>
      </c>
    </row>
    <row r="13" spans="1:24" x14ac:dyDescent="0.25">
      <c r="A13" t="s">
        <v>42</v>
      </c>
      <c r="B13" t="s">
        <v>1107</v>
      </c>
      <c r="C13" t="s">
        <v>267</v>
      </c>
      <c r="D13" t="s">
        <v>427</v>
      </c>
      <c r="E13" t="s">
        <v>1045</v>
      </c>
      <c r="F13">
        <v>0</v>
      </c>
      <c r="G13" t="s">
        <v>1088</v>
      </c>
      <c r="H13" t="s">
        <v>446</v>
      </c>
      <c r="I13" t="s">
        <v>446</v>
      </c>
      <c r="J13" t="s">
        <v>1089</v>
      </c>
      <c r="K13" t="s">
        <v>446</v>
      </c>
      <c r="L13" t="s">
        <v>446</v>
      </c>
      <c r="M13" t="s">
        <v>446</v>
      </c>
      <c r="N13" t="s">
        <v>446</v>
      </c>
      <c r="O13" t="s">
        <v>446</v>
      </c>
      <c r="P13" t="s">
        <v>446</v>
      </c>
      <c r="Q13" t="b">
        <v>1</v>
      </c>
      <c r="R13" t="b">
        <v>0</v>
      </c>
      <c r="S13" t="s">
        <v>1090</v>
      </c>
      <c r="T13" t="s">
        <v>1097</v>
      </c>
      <c r="U13" t="s">
        <v>1092</v>
      </c>
      <c r="V13" t="s">
        <v>1093</v>
      </c>
      <c r="W13" t="s">
        <v>1088</v>
      </c>
      <c r="X13" t="s">
        <v>1094</v>
      </c>
    </row>
    <row r="14" spans="1:24" x14ac:dyDescent="0.25">
      <c r="A14" t="s">
        <v>42</v>
      </c>
      <c r="B14" t="s">
        <v>1108</v>
      </c>
      <c r="C14" t="s">
        <v>267</v>
      </c>
      <c r="D14" t="s">
        <v>427</v>
      </c>
      <c r="E14" t="s">
        <v>1051</v>
      </c>
      <c r="F14">
        <v>0</v>
      </c>
      <c r="G14" t="s">
        <v>1088</v>
      </c>
      <c r="H14" t="s">
        <v>446</v>
      </c>
      <c r="I14" t="s">
        <v>446</v>
      </c>
      <c r="J14" t="s">
        <v>1089</v>
      </c>
      <c r="K14" t="s">
        <v>446</v>
      </c>
      <c r="L14" t="s">
        <v>446</v>
      </c>
      <c r="M14" t="s">
        <v>446</v>
      </c>
      <c r="N14" t="s">
        <v>446</v>
      </c>
      <c r="O14" t="s">
        <v>446</v>
      </c>
      <c r="P14" t="s">
        <v>446</v>
      </c>
      <c r="Q14" t="b">
        <v>1</v>
      </c>
      <c r="R14" t="b">
        <v>0</v>
      </c>
      <c r="S14" t="s">
        <v>1090</v>
      </c>
      <c r="T14" t="s">
        <v>1100</v>
      </c>
      <c r="U14" t="s">
        <v>1092</v>
      </c>
      <c r="V14" t="s">
        <v>1093</v>
      </c>
      <c r="W14" t="s">
        <v>1088</v>
      </c>
      <c r="X14" t="s">
        <v>1094</v>
      </c>
    </row>
    <row r="15" spans="1:24" x14ac:dyDescent="0.25">
      <c r="A15" t="s">
        <v>42</v>
      </c>
      <c r="B15" t="s">
        <v>1109</v>
      </c>
      <c r="C15" t="s">
        <v>269</v>
      </c>
      <c r="D15" t="s">
        <v>427</v>
      </c>
      <c r="E15" t="s">
        <v>978</v>
      </c>
      <c r="F15">
        <v>0</v>
      </c>
      <c r="G15" t="s">
        <v>1088</v>
      </c>
      <c r="H15" t="s">
        <v>446</v>
      </c>
      <c r="I15" t="s">
        <v>446</v>
      </c>
      <c r="J15" t="s">
        <v>1110</v>
      </c>
      <c r="K15" t="s">
        <v>446</v>
      </c>
      <c r="L15" t="s">
        <v>446</v>
      </c>
      <c r="M15" t="s">
        <v>446</v>
      </c>
      <c r="N15" t="s">
        <v>446</v>
      </c>
      <c r="O15" t="s">
        <v>446</v>
      </c>
      <c r="P15" t="s">
        <v>446</v>
      </c>
      <c r="Q15" t="b">
        <v>1</v>
      </c>
      <c r="R15" t="b">
        <v>0</v>
      </c>
      <c r="S15" t="s">
        <v>1090</v>
      </c>
      <c r="T15" t="s">
        <v>1111</v>
      </c>
      <c r="U15" t="s">
        <v>1092</v>
      </c>
      <c r="V15" t="s">
        <v>1093</v>
      </c>
      <c r="W15" t="s">
        <v>1088</v>
      </c>
      <c r="X15" t="s">
        <v>1094</v>
      </c>
    </row>
    <row r="16" spans="1:24" x14ac:dyDescent="0.25">
      <c r="A16" t="s">
        <v>42</v>
      </c>
      <c r="B16" t="s">
        <v>1112</v>
      </c>
      <c r="C16" t="s">
        <v>269</v>
      </c>
      <c r="D16" t="s">
        <v>427</v>
      </c>
      <c r="E16" t="s">
        <v>986</v>
      </c>
      <c r="F16">
        <v>0</v>
      </c>
      <c r="G16" t="s">
        <v>1088</v>
      </c>
      <c r="H16" t="s">
        <v>446</v>
      </c>
      <c r="I16" t="s">
        <v>446</v>
      </c>
      <c r="J16" t="s">
        <v>1110</v>
      </c>
      <c r="K16" t="s">
        <v>446</v>
      </c>
      <c r="L16" t="s">
        <v>446</v>
      </c>
      <c r="M16" t="s">
        <v>446</v>
      </c>
      <c r="N16" t="s">
        <v>446</v>
      </c>
      <c r="O16" t="s">
        <v>446</v>
      </c>
      <c r="P16" t="s">
        <v>446</v>
      </c>
      <c r="Q16" t="b">
        <v>1</v>
      </c>
      <c r="R16" t="b">
        <v>0</v>
      </c>
      <c r="S16" t="s">
        <v>1090</v>
      </c>
      <c r="T16" t="s">
        <v>1113</v>
      </c>
      <c r="U16" t="s">
        <v>1092</v>
      </c>
      <c r="V16" t="s">
        <v>1093</v>
      </c>
      <c r="W16" t="s">
        <v>1088</v>
      </c>
      <c r="X16" t="s">
        <v>1094</v>
      </c>
    </row>
    <row r="17" spans="1:24" x14ac:dyDescent="0.25">
      <c r="A17" t="s">
        <v>42</v>
      </c>
      <c r="B17" t="s">
        <v>1114</v>
      </c>
      <c r="C17" t="s">
        <v>269</v>
      </c>
      <c r="D17" t="s">
        <v>427</v>
      </c>
      <c r="E17" t="s">
        <v>992</v>
      </c>
      <c r="F17">
        <v>0</v>
      </c>
      <c r="G17" t="s">
        <v>1088</v>
      </c>
      <c r="H17" t="s">
        <v>446</v>
      </c>
      <c r="I17" t="s">
        <v>446</v>
      </c>
      <c r="J17" t="s">
        <v>1110</v>
      </c>
      <c r="K17" t="s">
        <v>446</v>
      </c>
      <c r="L17" t="s">
        <v>446</v>
      </c>
      <c r="M17" t="s">
        <v>446</v>
      </c>
      <c r="N17" t="s">
        <v>446</v>
      </c>
      <c r="O17" t="s">
        <v>446</v>
      </c>
      <c r="P17" t="s">
        <v>446</v>
      </c>
      <c r="Q17" t="b">
        <v>1</v>
      </c>
      <c r="R17" t="b">
        <v>0</v>
      </c>
      <c r="S17" t="s">
        <v>1090</v>
      </c>
      <c r="T17" t="s">
        <v>1115</v>
      </c>
      <c r="U17" t="s">
        <v>1092</v>
      </c>
      <c r="V17" t="s">
        <v>1093</v>
      </c>
      <c r="W17" t="s">
        <v>1088</v>
      </c>
      <c r="X17" t="s">
        <v>1094</v>
      </c>
    </row>
    <row r="18" spans="1:24" x14ac:dyDescent="0.25">
      <c r="A18" t="s">
        <v>42</v>
      </c>
      <c r="B18" t="s">
        <v>1116</v>
      </c>
      <c r="C18" t="s">
        <v>269</v>
      </c>
      <c r="D18" t="s">
        <v>427</v>
      </c>
      <c r="E18" t="s">
        <v>1006</v>
      </c>
      <c r="F18">
        <v>0</v>
      </c>
      <c r="G18" t="s">
        <v>1088</v>
      </c>
      <c r="H18" t="s">
        <v>446</v>
      </c>
      <c r="I18" t="s">
        <v>446</v>
      </c>
      <c r="J18" t="s">
        <v>1110</v>
      </c>
      <c r="K18" t="s">
        <v>446</v>
      </c>
      <c r="L18" t="s">
        <v>446</v>
      </c>
      <c r="M18" t="s">
        <v>446</v>
      </c>
      <c r="N18" t="s">
        <v>446</v>
      </c>
      <c r="O18" t="s">
        <v>446</v>
      </c>
      <c r="P18" t="s">
        <v>446</v>
      </c>
      <c r="Q18" t="b">
        <v>1</v>
      </c>
      <c r="R18" t="b">
        <v>0</v>
      </c>
      <c r="S18" t="s">
        <v>1090</v>
      </c>
      <c r="T18" t="s">
        <v>1117</v>
      </c>
      <c r="U18" t="s">
        <v>1092</v>
      </c>
      <c r="V18" t="s">
        <v>1093</v>
      </c>
      <c r="W18" t="s">
        <v>1088</v>
      </c>
      <c r="X18" t="s">
        <v>1094</v>
      </c>
    </row>
    <row r="19" spans="1:24" x14ac:dyDescent="0.25">
      <c r="A19" t="s">
        <v>42</v>
      </c>
      <c r="B19" t="s">
        <v>1118</v>
      </c>
      <c r="C19" t="s">
        <v>269</v>
      </c>
      <c r="D19" t="s">
        <v>427</v>
      </c>
      <c r="E19" t="s">
        <v>1013</v>
      </c>
      <c r="F19">
        <v>0</v>
      </c>
      <c r="G19" t="s">
        <v>1088</v>
      </c>
      <c r="H19" t="s">
        <v>446</v>
      </c>
      <c r="I19" t="s">
        <v>446</v>
      </c>
      <c r="J19" t="s">
        <v>1110</v>
      </c>
      <c r="K19" t="s">
        <v>446</v>
      </c>
      <c r="L19" t="s">
        <v>446</v>
      </c>
      <c r="M19" t="s">
        <v>446</v>
      </c>
      <c r="N19" t="s">
        <v>446</v>
      </c>
      <c r="O19" t="s">
        <v>446</v>
      </c>
      <c r="P19" t="s">
        <v>446</v>
      </c>
      <c r="Q19" t="b">
        <v>1</v>
      </c>
      <c r="R19" t="b">
        <v>0</v>
      </c>
      <c r="S19" t="s">
        <v>1090</v>
      </c>
      <c r="T19" t="s">
        <v>1119</v>
      </c>
      <c r="U19" t="s">
        <v>1092</v>
      </c>
      <c r="V19" t="s">
        <v>1093</v>
      </c>
      <c r="W19" t="s">
        <v>1088</v>
      </c>
      <c r="X19" t="s">
        <v>1094</v>
      </c>
    </row>
    <row r="20" spans="1:24" x14ac:dyDescent="0.25">
      <c r="A20" t="s">
        <v>42</v>
      </c>
      <c r="B20" t="s">
        <v>1120</v>
      </c>
      <c r="C20" t="s">
        <v>269</v>
      </c>
      <c r="D20" t="s">
        <v>427</v>
      </c>
      <c r="E20" t="s">
        <v>1018</v>
      </c>
      <c r="F20">
        <v>0</v>
      </c>
      <c r="G20" t="s">
        <v>1088</v>
      </c>
      <c r="H20" t="s">
        <v>446</v>
      </c>
      <c r="I20" t="s">
        <v>446</v>
      </c>
      <c r="J20" t="s">
        <v>1110</v>
      </c>
      <c r="K20" t="s">
        <v>446</v>
      </c>
      <c r="L20" t="s">
        <v>446</v>
      </c>
      <c r="M20" t="s">
        <v>446</v>
      </c>
      <c r="N20" t="s">
        <v>446</v>
      </c>
      <c r="O20" t="s">
        <v>446</v>
      </c>
      <c r="P20" t="s">
        <v>446</v>
      </c>
      <c r="Q20" t="b">
        <v>1</v>
      </c>
      <c r="R20" t="b">
        <v>0</v>
      </c>
      <c r="S20" t="s">
        <v>1090</v>
      </c>
      <c r="T20" t="s">
        <v>1121</v>
      </c>
      <c r="U20" t="s">
        <v>1092</v>
      </c>
      <c r="V20" t="s">
        <v>1093</v>
      </c>
      <c r="W20" t="s">
        <v>1088</v>
      </c>
      <c r="X20" t="s">
        <v>1094</v>
      </c>
    </row>
    <row r="21" spans="1:24" x14ac:dyDescent="0.25">
      <c r="A21" t="s">
        <v>42</v>
      </c>
      <c r="B21" t="s">
        <v>1122</v>
      </c>
      <c r="C21" t="s">
        <v>269</v>
      </c>
      <c r="D21" t="s">
        <v>427</v>
      </c>
      <c r="E21" t="s">
        <v>1023</v>
      </c>
      <c r="F21">
        <v>0</v>
      </c>
      <c r="G21" t="s">
        <v>1088</v>
      </c>
      <c r="H21" t="s">
        <v>446</v>
      </c>
      <c r="I21" t="s">
        <v>446</v>
      </c>
      <c r="J21" t="s">
        <v>1110</v>
      </c>
      <c r="K21" t="s">
        <v>446</v>
      </c>
      <c r="L21" t="s">
        <v>446</v>
      </c>
      <c r="M21" t="s">
        <v>446</v>
      </c>
      <c r="N21" t="s">
        <v>446</v>
      </c>
      <c r="O21" t="s">
        <v>446</v>
      </c>
      <c r="P21" t="s">
        <v>446</v>
      </c>
      <c r="Q21" t="b">
        <v>1</v>
      </c>
      <c r="R21" t="b">
        <v>0</v>
      </c>
      <c r="S21" t="s">
        <v>1090</v>
      </c>
      <c r="T21" t="s">
        <v>1123</v>
      </c>
      <c r="U21" t="s">
        <v>1092</v>
      </c>
      <c r="V21" t="s">
        <v>1093</v>
      </c>
      <c r="W21" t="s">
        <v>1088</v>
      </c>
      <c r="X21" t="s">
        <v>1094</v>
      </c>
    </row>
    <row r="22" spans="1:24" x14ac:dyDescent="0.25">
      <c r="A22" t="s">
        <v>42</v>
      </c>
      <c r="B22" t="s">
        <v>1124</v>
      </c>
      <c r="C22" t="s">
        <v>269</v>
      </c>
      <c r="D22" t="s">
        <v>427</v>
      </c>
      <c r="E22" t="s">
        <v>1029</v>
      </c>
      <c r="F22">
        <v>0</v>
      </c>
      <c r="G22" t="s">
        <v>1088</v>
      </c>
      <c r="H22" t="s">
        <v>446</v>
      </c>
      <c r="I22" t="s">
        <v>446</v>
      </c>
      <c r="J22" t="s">
        <v>1110</v>
      </c>
      <c r="K22" t="s">
        <v>446</v>
      </c>
      <c r="L22" t="s">
        <v>446</v>
      </c>
      <c r="M22" t="s">
        <v>446</v>
      </c>
      <c r="N22" t="s">
        <v>446</v>
      </c>
      <c r="O22" t="s">
        <v>446</v>
      </c>
      <c r="P22" t="s">
        <v>446</v>
      </c>
      <c r="Q22" t="b">
        <v>1</v>
      </c>
      <c r="R22" t="b">
        <v>0</v>
      </c>
      <c r="S22" t="s">
        <v>1090</v>
      </c>
      <c r="T22" t="s">
        <v>1125</v>
      </c>
      <c r="U22" t="s">
        <v>1092</v>
      </c>
      <c r="V22" t="s">
        <v>1093</v>
      </c>
      <c r="W22" t="s">
        <v>1088</v>
      </c>
      <c r="X22" t="s">
        <v>1094</v>
      </c>
    </row>
    <row r="23" spans="1:24" x14ac:dyDescent="0.25">
      <c r="A23" t="s">
        <v>42</v>
      </c>
      <c r="B23" t="s">
        <v>1126</v>
      </c>
      <c r="C23" t="s">
        <v>269</v>
      </c>
      <c r="D23" t="s">
        <v>427</v>
      </c>
      <c r="E23" t="s">
        <v>1035</v>
      </c>
      <c r="F23">
        <v>0</v>
      </c>
      <c r="G23" t="s">
        <v>1088</v>
      </c>
      <c r="H23" t="s">
        <v>446</v>
      </c>
      <c r="I23" t="s">
        <v>446</v>
      </c>
      <c r="J23" t="s">
        <v>1110</v>
      </c>
      <c r="K23" t="s">
        <v>446</v>
      </c>
      <c r="L23" t="s">
        <v>446</v>
      </c>
      <c r="M23" t="s">
        <v>446</v>
      </c>
      <c r="N23" t="s">
        <v>446</v>
      </c>
      <c r="O23" t="s">
        <v>446</v>
      </c>
      <c r="P23" t="s">
        <v>446</v>
      </c>
      <c r="Q23" t="b">
        <v>1</v>
      </c>
      <c r="R23" t="b">
        <v>0</v>
      </c>
      <c r="S23" t="s">
        <v>1090</v>
      </c>
      <c r="T23" t="s">
        <v>1127</v>
      </c>
      <c r="U23" t="s">
        <v>1092</v>
      </c>
      <c r="V23" t="s">
        <v>1093</v>
      </c>
      <c r="W23" t="s">
        <v>1088</v>
      </c>
      <c r="X23" t="s">
        <v>1094</v>
      </c>
    </row>
    <row r="24" spans="1:24" x14ac:dyDescent="0.25">
      <c r="A24" t="s">
        <v>42</v>
      </c>
      <c r="B24" t="s">
        <v>1128</v>
      </c>
      <c r="C24" t="s">
        <v>269</v>
      </c>
      <c r="D24" t="s">
        <v>427</v>
      </c>
      <c r="E24" t="s">
        <v>1040</v>
      </c>
      <c r="F24">
        <v>0</v>
      </c>
      <c r="G24" t="s">
        <v>1088</v>
      </c>
      <c r="H24" t="s">
        <v>446</v>
      </c>
      <c r="I24" t="s">
        <v>446</v>
      </c>
      <c r="J24" t="s">
        <v>1110</v>
      </c>
      <c r="K24" t="s">
        <v>446</v>
      </c>
      <c r="L24" t="s">
        <v>446</v>
      </c>
      <c r="M24" t="s">
        <v>446</v>
      </c>
      <c r="N24" t="s">
        <v>446</v>
      </c>
      <c r="O24" t="s">
        <v>446</v>
      </c>
      <c r="P24" t="s">
        <v>446</v>
      </c>
      <c r="Q24" t="b">
        <v>1</v>
      </c>
      <c r="R24" t="b">
        <v>0</v>
      </c>
      <c r="S24" t="s">
        <v>1090</v>
      </c>
      <c r="T24" t="s">
        <v>1129</v>
      </c>
      <c r="U24" t="s">
        <v>1092</v>
      </c>
      <c r="V24" t="s">
        <v>1093</v>
      </c>
      <c r="W24" t="s">
        <v>1088</v>
      </c>
      <c r="X24" t="s">
        <v>1094</v>
      </c>
    </row>
    <row r="25" spans="1:24" x14ac:dyDescent="0.25">
      <c r="A25" t="s">
        <v>42</v>
      </c>
      <c r="B25" t="s">
        <v>1130</v>
      </c>
      <c r="C25" t="s">
        <v>269</v>
      </c>
      <c r="D25" t="s">
        <v>427</v>
      </c>
      <c r="E25" t="s">
        <v>1045</v>
      </c>
      <c r="F25">
        <v>0</v>
      </c>
      <c r="G25" t="s">
        <v>1088</v>
      </c>
      <c r="H25" t="s">
        <v>446</v>
      </c>
      <c r="I25" t="s">
        <v>446</v>
      </c>
      <c r="J25" t="s">
        <v>1110</v>
      </c>
      <c r="K25" t="s">
        <v>446</v>
      </c>
      <c r="L25" t="s">
        <v>446</v>
      </c>
      <c r="M25" t="s">
        <v>446</v>
      </c>
      <c r="N25" t="s">
        <v>446</v>
      </c>
      <c r="O25" t="s">
        <v>446</v>
      </c>
      <c r="P25" t="s">
        <v>446</v>
      </c>
      <c r="Q25" t="b">
        <v>1</v>
      </c>
      <c r="R25" t="b">
        <v>0</v>
      </c>
      <c r="S25" t="s">
        <v>1090</v>
      </c>
      <c r="T25" t="s">
        <v>1131</v>
      </c>
      <c r="U25" t="s">
        <v>1092</v>
      </c>
      <c r="V25" t="s">
        <v>1093</v>
      </c>
      <c r="W25" t="s">
        <v>1088</v>
      </c>
      <c r="X25" t="s">
        <v>1094</v>
      </c>
    </row>
    <row r="26" spans="1:24" x14ac:dyDescent="0.25">
      <c r="A26" t="s">
        <v>42</v>
      </c>
      <c r="B26" t="s">
        <v>1132</v>
      </c>
      <c r="C26" t="s">
        <v>269</v>
      </c>
      <c r="D26" t="s">
        <v>427</v>
      </c>
      <c r="E26" t="s">
        <v>1051</v>
      </c>
      <c r="F26">
        <v>0</v>
      </c>
      <c r="G26" t="s">
        <v>1088</v>
      </c>
      <c r="H26" t="s">
        <v>446</v>
      </c>
      <c r="I26" t="s">
        <v>446</v>
      </c>
      <c r="J26" t="s">
        <v>1110</v>
      </c>
      <c r="K26" t="s">
        <v>446</v>
      </c>
      <c r="L26" t="s">
        <v>446</v>
      </c>
      <c r="M26" t="s">
        <v>446</v>
      </c>
      <c r="N26" t="s">
        <v>446</v>
      </c>
      <c r="O26" t="s">
        <v>446</v>
      </c>
      <c r="P26" t="s">
        <v>446</v>
      </c>
      <c r="Q26" t="b">
        <v>1</v>
      </c>
      <c r="R26" t="b">
        <v>0</v>
      </c>
      <c r="S26" t="s">
        <v>1090</v>
      </c>
      <c r="T26" t="s">
        <v>1133</v>
      </c>
      <c r="U26" t="s">
        <v>1092</v>
      </c>
      <c r="V26" t="s">
        <v>1093</v>
      </c>
      <c r="W26" t="s">
        <v>1088</v>
      </c>
      <c r="X26" t="s">
        <v>1094</v>
      </c>
    </row>
    <row r="27" spans="1:24" x14ac:dyDescent="0.25">
      <c r="A27" t="s">
        <v>42</v>
      </c>
      <c r="B27" t="s">
        <v>1134</v>
      </c>
      <c r="C27" t="s">
        <v>271</v>
      </c>
      <c r="D27" t="s">
        <v>427</v>
      </c>
      <c r="E27" t="s">
        <v>978</v>
      </c>
      <c r="F27">
        <v>0</v>
      </c>
      <c r="G27" t="s">
        <v>1088</v>
      </c>
      <c r="H27" t="s">
        <v>446</v>
      </c>
      <c r="I27" t="s">
        <v>446</v>
      </c>
      <c r="J27" t="s">
        <v>1110</v>
      </c>
      <c r="K27" t="s">
        <v>446</v>
      </c>
      <c r="L27" t="s">
        <v>446</v>
      </c>
      <c r="M27" t="s">
        <v>446</v>
      </c>
      <c r="N27" t="s">
        <v>446</v>
      </c>
      <c r="O27" t="s">
        <v>446</v>
      </c>
      <c r="P27" t="s">
        <v>446</v>
      </c>
      <c r="Q27" t="b">
        <v>1</v>
      </c>
      <c r="R27" t="b">
        <v>0</v>
      </c>
      <c r="S27" t="s">
        <v>1090</v>
      </c>
      <c r="T27" t="s">
        <v>1135</v>
      </c>
      <c r="U27" t="s">
        <v>1092</v>
      </c>
      <c r="V27" t="s">
        <v>1093</v>
      </c>
      <c r="W27" t="s">
        <v>1088</v>
      </c>
      <c r="X27" t="s">
        <v>1094</v>
      </c>
    </row>
    <row r="28" spans="1:24" x14ac:dyDescent="0.25">
      <c r="A28" t="s">
        <v>42</v>
      </c>
      <c r="B28" t="s">
        <v>1136</v>
      </c>
      <c r="C28" t="s">
        <v>271</v>
      </c>
      <c r="D28" t="s">
        <v>427</v>
      </c>
      <c r="E28" t="s">
        <v>986</v>
      </c>
      <c r="F28">
        <v>0</v>
      </c>
      <c r="G28" t="s">
        <v>1088</v>
      </c>
      <c r="H28" t="s">
        <v>446</v>
      </c>
      <c r="I28" t="s">
        <v>446</v>
      </c>
      <c r="J28" t="s">
        <v>1110</v>
      </c>
      <c r="K28" t="s">
        <v>446</v>
      </c>
      <c r="L28" t="s">
        <v>446</v>
      </c>
      <c r="M28" t="s">
        <v>446</v>
      </c>
      <c r="N28" t="s">
        <v>446</v>
      </c>
      <c r="O28" t="s">
        <v>446</v>
      </c>
      <c r="P28" t="s">
        <v>446</v>
      </c>
      <c r="Q28" t="b">
        <v>1</v>
      </c>
      <c r="R28" t="b">
        <v>0</v>
      </c>
      <c r="S28" t="s">
        <v>1090</v>
      </c>
      <c r="T28" t="s">
        <v>1137</v>
      </c>
      <c r="U28" t="s">
        <v>1092</v>
      </c>
      <c r="V28" t="s">
        <v>1093</v>
      </c>
      <c r="W28" t="s">
        <v>1088</v>
      </c>
      <c r="X28" t="s">
        <v>1094</v>
      </c>
    </row>
    <row r="29" spans="1:24" x14ac:dyDescent="0.25">
      <c r="A29" t="s">
        <v>42</v>
      </c>
      <c r="B29" t="s">
        <v>1138</v>
      </c>
      <c r="C29" t="s">
        <v>271</v>
      </c>
      <c r="D29" t="s">
        <v>427</v>
      </c>
      <c r="E29" t="s">
        <v>992</v>
      </c>
      <c r="F29">
        <v>0</v>
      </c>
      <c r="G29" t="s">
        <v>1088</v>
      </c>
      <c r="H29" t="s">
        <v>446</v>
      </c>
      <c r="I29" t="s">
        <v>446</v>
      </c>
      <c r="J29" t="s">
        <v>1110</v>
      </c>
      <c r="K29" t="s">
        <v>446</v>
      </c>
      <c r="L29" t="s">
        <v>446</v>
      </c>
      <c r="M29" t="s">
        <v>446</v>
      </c>
      <c r="N29" t="s">
        <v>446</v>
      </c>
      <c r="O29" t="s">
        <v>446</v>
      </c>
      <c r="P29" t="s">
        <v>446</v>
      </c>
      <c r="Q29" t="b">
        <v>1</v>
      </c>
      <c r="R29" t="b">
        <v>0</v>
      </c>
      <c r="S29" t="s">
        <v>1090</v>
      </c>
      <c r="T29" t="s">
        <v>1139</v>
      </c>
      <c r="U29" t="s">
        <v>1092</v>
      </c>
      <c r="V29" t="s">
        <v>1093</v>
      </c>
      <c r="W29" t="s">
        <v>1088</v>
      </c>
      <c r="X29" t="s">
        <v>1094</v>
      </c>
    </row>
    <row r="30" spans="1:24" x14ac:dyDescent="0.25">
      <c r="A30" t="s">
        <v>42</v>
      </c>
      <c r="B30" t="s">
        <v>1140</v>
      </c>
      <c r="C30" t="s">
        <v>271</v>
      </c>
      <c r="D30" t="s">
        <v>427</v>
      </c>
      <c r="E30" t="s">
        <v>1006</v>
      </c>
      <c r="F30">
        <v>0</v>
      </c>
      <c r="G30" t="s">
        <v>1088</v>
      </c>
      <c r="H30" t="s">
        <v>446</v>
      </c>
      <c r="I30" t="s">
        <v>446</v>
      </c>
      <c r="J30" t="s">
        <v>1110</v>
      </c>
      <c r="K30" t="s">
        <v>446</v>
      </c>
      <c r="L30" t="s">
        <v>446</v>
      </c>
      <c r="M30" t="s">
        <v>446</v>
      </c>
      <c r="N30" t="s">
        <v>446</v>
      </c>
      <c r="O30" t="s">
        <v>446</v>
      </c>
      <c r="P30" t="s">
        <v>446</v>
      </c>
      <c r="Q30" t="b">
        <v>1</v>
      </c>
      <c r="R30" t="b">
        <v>0</v>
      </c>
      <c r="S30" t="s">
        <v>1090</v>
      </c>
      <c r="T30" t="s">
        <v>1141</v>
      </c>
      <c r="U30" t="s">
        <v>1092</v>
      </c>
      <c r="V30" t="s">
        <v>1093</v>
      </c>
      <c r="W30" t="s">
        <v>1088</v>
      </c>
      <c r="X30" t="s">
        <v>1094</v>
      </c>
    </row>
    <row r="31" spans="1:24" x14ac:dyDescent="0.25">
      <c r="A31" t="s">
        <v>42</v>
      </c>
      <c r="B31" t="s">
        <v>1142</v>
      </c>
      <c r="C31" t="s">
        <v>271</v>
      </c>
      <c r="D31" t="s">
        <v>427</v>
      </c>
      <c r="E31" t="s">
        <v>1013</v>
      </c>
      <c r="F31">
        <v>0</v>
      </c>
      <c r="G31" t="s">
        <v>1088</v>
      </c>
      <c r="H31" t="s">
        <v>446</v>
      </c>
      <c r="I31" t="s">
        <v>446</v>
      </c>
      <c r="J31" t="s">
        <v>1110</v>
      </c>
      <c r="K31" t="s">
        <v>446</v>
      </c>
      <c r="L31" t="s">
        <v>446</v>
      </c>
      <c r="M31" t="s">
        <v>446</v>
      </c>
      <c r="N31" t="s">
        <v>446</v>
      </c>
      <c r="O31" t="s">
        <v>446</v>
      </c>
      <c r="P31" t="s">
        <v>446</v>
      </c>
      <c r="Q31" t="b">
        <v>1</v>
      </c>
      <c r="R31" t="b">
        <v>0</v>
      </c>
      <c r="S31" t="s">
        <v>1090</v>
      </c>
      <c r="T31" t="s">
        <v>1143</v>
      </c>
      <c r="U31" t="s">
        <v>1092</v>
      </c>
      <c r="V31" t="s">
        <v>1093</v>
      </c>
      <c r="W31" t="s">
        <v>1088</v>
      </c>
      <c r="X31" t="s">
        <v>1094</v>
      </c>
    </row>
    <row r="32" spans="1:24" x14ac:dyDescent="0.25">
      <c r="A32" t="s">
        <v>42</v>
      </c>
      <c r="B32" t="s">
        <v>1144</v>
      </c>
      <c r="C32" t="s">
        <v>271</v>
      </c>
      <c r="D32" t="s">
        <v>427</v>
      </c>
      <c r="E32" t="s">
        <v>1018</v>
      </c>
      <c r="F32">
        <v>0</v>
      </c>
      <c r="G32" t="s">
        <v>1088</v>
      </c>
      <c r="H32" t="s">
        <v>446</v>
      </c>
      <c r="I32" t="s">
        <v>446</v>
      </c>
      <c r="J32" t="s">
        <v>1110</v>
      </c>
      <c r="K32" t="s">
        <v>446</v>
      </c>
      <c r="L32" t="s">
        <v>446</v>
      </c>
      <c r="M32" t="s">
        <v>446</v>
      </c>
      <c r="N32" t="s">
        <v>446</v>
      </c>
      <c r="O32" t="s">
        <v>446</v>
      </c>
      <c r="P32" t="s">
        <v>446</v>
      </c>
      <c r="Q32" t="b">
        <v>1</v>
      </c>
      <c r="R32" t="b">
        <v>0</v>
      </c>
      <c r="S32" t="s">
        <v>1090</v>
      </c>
      <c r="T32" t="s">
        <v>1145</v>
      </c>
      <c r="U32" t="s">
        <v>1092</v>
      </c>
      <c r="V32" t="s">
        <v>1093</v>
      </c>
      <c r="W32" t="s">
        <v>1088</v>
      </c>
      <c r="X32" t="s">
        <v>1094</v>
      </c>
    </row>
    <row r="33" spans="1:24" x14ac:dyDescent="0.25">
      <c r="A33" t="s">
        <v>42</v>
      </c>
      <c r="B33" t="s">
        <v>1146</v>
      </c>
      <c r="C33" t="s">
        <v>271</v>
      </c>
      <c r="D33" t="s">
        <v>427</v>
      </c>
      <c r="E33" t="s">
        <v>1023</v>
      </c>
      <c r="F33">
        <v>0</v>
      </c>
      <c r="G33" t="s">
        <v>1088</v>
      </c>
      <c r="H33" t="s">
        <v>446</v>
      </c>
      <c r="I33" t="s">
        <v>446</v>
      </c>
      <c r="J33" t="s">
        <v>1110</v>
      </c>
      <c r="K33" t="s">
        <v>446</v>
      </c>
      <c r="L33" t="s">
        <v>446</v>
      </c>
      <c r="M33" t="s">
        <v>446</v>
      </c>
      <c r="N33" t="s">
        <v>446</v>
      </c>
      <c r="O33" t="s">
        <v>446</v>
      </c>
      <c r="P33" t="s">
        <v>446</v>
      </c>
      <c r="Q33" t="b">
        <v>1</v>
      </c>
      <c r="R33" t="b">
        <v>0</v>
      </c>
      <c r="S33" t="s">
        <v>1090</v>
      </c>
      <c r="T33" t="s">
        <v>1147</v>
      </c>
      <c r="U33" t="s">
        <v>1092</v>
      </c>
      <c r="V33" t="s">
        <v>1093</v>
      </c>
      <c r="W33" t="s">
        <v>1088</v>
      </c>
      <c r="X33" t="s">
        <v>1094</v>
      </c>
    </row>
    <row r="34" spans="1:24" x14ac:dyDescent="0.25">
      <c r="A34" t="s">
        <v>42</v>
      </c>
      <c r="B34" t="s">
        <v>1148</v>
      </c>
      <c r="C34" t="s">
        <v>271</v>
      </c>
      <c r="D34" t="s">
        <v>427</v>
      </c>
      <c r="E34" t="s">
        <v>1029</v>
      </c>
      <c r="F34">
        <v>0</v>
      </c>
      <c r="G34" t="s">
        <v>1088</v>
      </c>
      <c r="H34" t="s">
        <v>446</v>
      </c>
      <c r="I34" t="s">
        <v>446</v>
      </c>
      <c r="J34" t="s">
        <v>1110</v>
      </c>
      <c r="K34" t="s">
        <v>446</v>
      </c>
      <c r="L34" t="s">
        <v>446</v>
      </c>
      <c r="M34" t="s">
        <v>446</v>
      </c>
      <c r="N34" t="s">
        <v>446</v>
      </c>
      <c r="O34" t="s">
        <v>446</v>
      </c>
      <c r="P34" t="s">
        <v>446</v>
      </c>
      <c r="Q34" t="b">
        <v>1</v>
      </c>
      <c r="R34" t="b">
        <v>0</v>
      </c>
      <c r="S34" t="s">
        <v>1090</v>
      </c>
      <c r="T34" t="s">
        <v>1149</v>
      </c>
      <c r="U34" t="s">
        <v>1092</v>
      </c>
      <c r="V34" t="s">
        <v>1093</v>
      </c>
      <c r="W34" t="s">
        <v>1088</v>
      </c>
      <c r="X34" t="s">
        <v>1094</v>
      </c>
    </row>
    <row r="35" spans="1:24" x14ac:dyDescent="0.25">
      <c r="A35" t="s">
        <v>42</v>
      </c>
      <c r="B35" t="s">
        <v>1150</v>
      </c>
      <c r="C35" t="s">
        <v>271</v>
      </c>
      <c r="D35" t="s">
        <v>427</v>
      </c>
      <c r="E35" t="s">
        <v>1035</v>
      </c>
      <c r="F35">
        <v>0</v>
      </c>
      <c r="G35" t="s">
        <v>1088</v>
      </c>
      <c r="H35" t="s">
        <v>446</v>
      </c>
      <c r="I35" t="s">
        <v>446</v>
      </c>
      <c r="J35" t="s">
        <v>1110</v>
      </c>
      <c r="K35" t="s">
        <v>446</v>
      </c>
      <c r="L35" t="s">
        <v>446</v>
      </c>
      <c r="M35" t="s">
        <v>446</v>
      </c>
      <c r="N35" t="s">
        <v>446</v>
      </c>
      <c r="O35" t="s">
        <v>446</v>
      </c>
      <c r="P35" t="s">
        <v>446</v>
      </c>
      <c r="Q35" t="b">
        <v>1</v>
      </c>
      <c r="R35" t="b">
        <v>0</v>
      </c>
      <c r="S35" t="s">
        <v>1090</v>
      </c>
      <c r="T35" t="s">
        <v>1151</v>
      </c>
      <c r="U35" t="s">
        <v>1092</v>
      </c>
      <c r="V35" t="s">
        <v>1093</v>
      </c>
      <c r="W35" t="s">
        <v>1088</v>
      </c>
      <c r="X35" t="s">
        <v>1094</v>
      </c>
    </row>
    <row r="36" spans="1:24" x14ac:dyDescent="0.25">
      <c r="A36" t="s">
        <v>42</v>
      </c>
      <c r="B36" t="s">
        <v>1152</v>
      </c>
      <c r="C36" t="s">
        <v>271</v>
      </c>
      <c r="D36" t="s">
        <v>427</v>
      </c>
      <c r="E36" t="s">
        <v>1040</v>
      </c>
      <c r="F36">
        <v>0</v>
      </c>
      <c r="G36" t="s">
        <v>1088</v>
      </c>
      <c r="H36" t="s">
        <v>446</v>
      </c>
      <c r="I36" t="s">
        <v>446</v>
      </c>
      <c r="J36" t="s">
        <v>1110</v>
      </c>
      <c r="K36" t="s">
        <v>446</v>
      </c>
      <c r="L36" t="s">
        <v>446</v>
      </c>
      <c r="M36" t="s">
        <v>446</v>
      </c>
      <c r="N36" t="s">
        <v>446</v>
      </c>
      <c r="O36" t="s">
        <v>446</v>
      </c>
      <c r="P36" t="s">
        <v>446</v>
      </c>
      <c r="Q36" t="b">
        <v>1</v>
      </c>
      <c r="R36" t="b">
        <v>0</v>
      </c>
      <c r="S36" t="s">
        <v>1090</v>
      </c>
      <c r="T36" t="s">
        <v>1153</v>
      </c>
      <c r="U36" t="s">
        <v>1092</v>
      </c>
      <c r="V36" t="s">
        <v>1093</v>
      </c>
      <c r="W36" t="s">
        <v>1088</v>
      </c>
      <c r="X36" t="s">
        <v>1094</v>
      </c>
    </row>
    <row r="37" spans="1:24" x14ac:dyDescent="0.25">
      <c r="A37" t="s">
        <v>42</v>
      </c>
      <c r="B37" t="s">
        <v>1154</v>
      </c>
      <c r="C37" t="s">
        <v>271</v>
      </c>
      <c r="D37" t="s">
        <v>427</v>
      </c>
      <c r="E37" t="s">
        <v>1045</v>
      </c>
      <c r="F37">
        <v>0</v>
      </c>
      <c r="G37" t="s">
        <v>1088</v>
      </c>
      <c r="H37" t="s">
        <v>446</v>
      </c>
      <c r="I37" t="s">
        <v>446</v>
      </c>
      <c r="J37" t="s">
        <v>1110</v>
      </c>
      <c r="K37" t="s">
        <v>446</v>
      </c>
      <c r="L37" t="s">
        <v>446</v>
      </c>
      <c r="M37" t="s">
        <v>446</v>
      </c>
      <c r="N37" t="s">
        <v>446</v>
      </c>
      <c r="O37" t="s">
        <v>446</v>
      </c>
      <c r="P37" t="s">
        <v>446</v>
      </c>
      <c r="Q37" t="b">
        <v>1</v>
      </c>
      <c r="R37" t="b">
        <v>0</v>
      </c>
      <c r="S37" t="s">
        <v>1090</v>
      </c>
      <c r="T37" t="s">
        <v>1155</v>
      </c>
      <c r="U37" t="s">
        <v>1092</v>
      </c>
      <c r="V37" t="s">
        <v>1093</v>
      </c>
      <c r="W37" t="s">
        <v>1088</v>
      </c>
      <c r="X37" t="s">
        <v>1094</v>
      </c>
    </row>
    <row r="38" spans="1:24" x14ac:dyDescent="0.25">
      <c r="A38" t="s">
        <v>42</v>
      </c>
      <c r="B38" t="s">
        <v>1156</v>
      </c>
      <c r="C38" t="s">
        <v>271</v>
      </c>
      <c r="D38" t="s">
        <v>427</v>
      </c>
      <c r="E38" t="s">
        <v>1051</v>
      </c>
      <c r="F38">
        <v>0</v>
      </c>
      <c r="G38" t="s">
        <v>1088</v>
      </c>
      <c r="H38" t="s">
        <v>446</v>
      </c>
      <c r="I38" t="s">
        <v>446</v>
      </c>
      <c r="J38" t="s">
        <v>1110</v>
      </c>
      <c r="K38" t="s">
        <v>446</v>
      </c>
      <c r="L38" t="s">
        <v>446</v>
      </c>
      <c r="M38" t="s">
        <v>446</v>
      </c>
      <c r="N38" t="s">
        <v>446</v>
      </c>
      <c r="O38" t="s">
        <v>446</v>
      </c>
      <c r="P38" t="s">
        <v>446</v>
      </c>
      <c r="Q38" t="b">
        <v>1</v>
      </c>
      <c r="R38" t="b">
        <v>0</v>
      </c>
      <c r="S38" t="s">
        <v>1090</v>
      </c>
      <c r="T38" t="s">
        <v>1157</v>
      </c>
      <c r="U38" t="s">
        <v>1092</v>
      </c>
      <c r="V38" t="s">
        <v>1093</v>
      </c>
      <c r="W38" t="s">
        <v>1088</v>
      </c>
      <c r="X38" t="s">
        <v>1094</v>
      </c>
    </row>
    <row r="39" spans="1:24" x14ac:dyDescent="0.25">
      <c r="A39" t="s">
        <v>42</v>
      </c>
      <c r="B39" t="s">
        <v>1158</v>
      </c>
      <c r="C39" t="s">
        <v>272</v>
      </c>
      <c r="D39" t="s">
        <v>427</v>
      </c>
      <c r="E39" t="s">
        <v>978</v>
      </c>
      <c r="F39">
        <v>0</v>
      </c>
      <c r="G39" t="s">
        <v>1088</v>
      </c>
      <c r="H39" t="s">
        <v>446</v>
      </c>
      <c r="I39" t="s">
        <v>446</v>
      </c>
      <c r="J39" t="s">
        <v>1110</v>
      </c>
      <c r="K39" t="s">
        <v>446</v>
      </c>
      <c r="L39" t="s">
        <v>446</v>
      </c>
      <c r="M39" t="s">
        <v>446</v>
      </c>
      <c r="N39" t="s">
        <v>446</v>
      </c>
      <c r="O39" t="s">
        <v>446</v>
      </c>
      <c r="P39" t="s">
        <v>446</v>
      </c>
      <c r="Q39" t="b">
        <v>1</v>
      </c>
      <c r="R39" t="b">
        <v>0</v>
      </c>
      <c r="S39" t="s">
        <v>1090</v>
      </c>
      <c r="T39" t="s">
        <v>1159</v>
      </c>
      <c r="U39" t="s">
        <v>1092</v>
      </c>
      <c r="V39" t="s">
        <v>1093</v>
      </c>
      <c r="W39" t="s">
        <v>1088</v>
      </c>
      <c r="X39" t="s">
        <v>1094</v>
      </c>
    </row>
    <row r="40" spans="1:24" x14ac:dyDescent="0.25">
      <c r="A40" t="s">
        <v>42</v>
      </c>
      <c r="B40" t="s">
        <v>1160</v>
      </c>
      <c r="C40" t="s">
        <v>272</v>
      </c>
      <c r="D40" t="s">
        <v>427</v>
      </c>
      <c r="E40" t="s">
        <v>986</v>
      </c>
      <c r="F40">
        <v>0</v>
      </c>
      <c r="G40" t="s">
        <v>1088</v>
      </c>
      <c r="H40" t="s">
        <v>446</v>
      </c>
      <c r="I40" t="s">
        <v>446</v>
      </c>
      <c r="J40" t="s">
        <v>1110</v>
      </c>
      <c r="K40" t="s">
        <v>446</v>
      </c>
      <c r="L40" t="s">
        <v>446</v>
      </c>
      <c r="M40" t="s">
        <v>446</v>
      </c>
      <c r="N40" t="s">
        <v>446</v>
      </c>
      <c r="O40" t="s">
        <v>446</v>
      </c>
      <c r="P40" t="s">
        <v>446</v>
      </c>
      <c r="Q40" t="b">
        <v>1</v>
      </c>
      <c r="R40" t="b">
        <v>0</v>
      </c>
      <c r="S40" t="s">
        <v>1090</v>
      </c>
      <c r="T40" t="s">
        <v>1159</v>
      </c>
      <c r="U40" t="s">
        <v>1092</v>
      </c>
      <c r="V40" t="s">
        <v>1093</v>
      </c>
      <c r="W40" t="s">
        <v>1088</v>
      </c>
      <c r="X40" t="s">
        <v>1094</v>
      </c>
    </row>
    <row r="41" spans="1:24" x14ac:dyDescent="0.25">
      <c r="A41" t="s">
        <v>42</v>
      </c>
      <c r="B41" t="s">
        <v>1161</v>
      </c>
      <c r="C41" t="s">
        <v>272</v>
      </c>
      <c r="D41" t="s">
        <v>427</v>
      </c>
      <c r="E41" t="s">
        <v>992</v>
      </c>
      <c r="F41">
        <v>0</v>
      </c>
      <c r="G41" t="s">
        <v>1088</v>
      </c>
      <c r="H41" t="s">
        <v>446</v>
      </c>
      <c r="I41" t="s">
        <v>446</v>
      </c>
      <c r="J41" t="s">
        <v>1110</v>
      </c>
      <c r="K41" t="s">
        <v>446</v>
      </c>
      <c r="L41" t="s">
        <v>446</v>
      </c>
      <c r="M41" t="s">
        <v>446</v>
      </c>
      <c r="N41" t="s">
        <v>446</v>
      </c>
      <c r="O41" t="s">
        <v>446</v>
      </c>
      <c r="P41" t="s">
        <v>446</v>
      </c>
      <c r="Q41" t="b">
        <v>1</v>
      </c>
      <c r="R41" t="b">
        <v>0</v>
      </c>
      <c r="S41" t="s">
        <v>1090</v>
      </c>
      <c r="T41" t="s">
        <v>1159</v>
      </c>
      <c r="U41" t="s">
        <v>1092</v>
      </c>
      <c r="V41" t="s">
        <v>1093</v>
      </c>
      <c r="W41" t="s">
        <v>1088</v>
      </c>
      <c r="X41" t="s">
        <v>1094</v>
      </c>
    </row>
    <row r="42" spans="1:24" x14ac:dyDescent="0.25">
      <c r="A42" t="s">
        <v>42</v>
      </c>
      <c r="B42" t="s">
        <v>1162</v>
      </c>
      <c r="C42" t="s">
        <v>272</v>
      </c>
      <c r="D42" t="s">
        <v>427</v>
      </c>
      <c r="E42" t="s">
        <v>998</v>
      </c>
      <c r="F42">
        <v>0</v>
      </c>
      <c r="G42" t="s">
        <v>1088</v>
      </c>
      <c r="H42" t="s">
        <v>446</v>
      </c>
      <c r="I42" t="s">
        <v>446</v>
      </c>
      <c r="J42" t="s">
        <v>1110</v>
      </c>
      <c r="K42" t="s">
        <v>446</v>
      </c>
      <c r="L42" t="s">
        <v>446</v>
      </c>
      <c r="M42" t="s">
        <v>446</v>
      </c>
      <c r="N42" t="s">
        <v>446</v>
      </c>
      <c r="O42" t="s">
        <v>446</v>
      </c>
      <c r="P42" t="s">
        <v>446</v>
      </c>
      <c r="Q42" t="b">
        <v>1</v>
      </c>
      <c r="R42" t="b">
        <v>0</v>
      </c>
      <c r="S42" t="s">
        <v>1090</v>
      </c>
      <c r="T42" t="s">
        <v>1159</v>
      </c>
      <c r="U42" t="s">
        <v>1092</v>
      </c>
      <c r="V42" t="s">
        <v>1093</v>
      </c>
      <c r="W42" t="s">
        <v>1088</v>
      </c>
      <c r="X42" t="s">
        <v>1094</v>
      </c>
    </row>
    <row r="43" spans="1:24" x14ac:dyDescent="0.25">
      <c r="A43" t="s">
        <v>42</v>
      </c>
      <c r="B43" t="s">
        <v>1163</v>
      </c>
      <c r="C43" t="s">
        <v>272</v>
      </c>
      <c r="D43" t="s">
        <v>427</v>
      </c>
      <c r="E43" t="s">
        <v>1006</v>
      </c>
      <c r="F43">
        <v>0</v>
      </c>
      <c r="G43" t="s">
        <v>1088</v>
      </c>
      <c r="H43" t="s">
        <v>446</v>
      </c>
      <c r="I43" t="s">
        <v>446</v>
      </c>
      <c r="J43" t="s">
        <v>1110</v>
      </c>
      <c r="K43" t="s">
        <v>446</v>
      </c>
      <c r="L43" t="s">
        <v>446</v>
      </c>
      <c r="M43" t="s">
        <v>446</v>
      </c>
      <c r="N43" t="s">
        <v>446</v>
      </c>
      <c r="O43" t="s">
        <v>446</v>
      </c>
      <c r="P43" t="s">
        <v>446</v>
      </c>
      <c r="Q43" t="b">
        <v>1</v>
      </c>
      <c r="R43" t="b">
        <v>0</v>
      </c>
      <c r="S43" t="s">
        <v>1090</v>
      </c>
      <c r="T43" t="s">
        <v>1159</v>
      </c>
      <c r="U43" t="s">
        <v>1092</v>
      </c>
      <c r="V43" t="s">
        <v>1093</v>
      </c>
      <c r="W43" t="s">
        <v>1088</v>
      </c>
      <c r="X43" t="s">
        <v>1094</v>
      </c>
    </row>
    <row r="44" spans="1:24" x14ac:dyDescent="0.25">
      <c r="A44" t="s">
        <v>42</v>
      </c>
      <c r="B44" t="s">
        <v>1164</v>
      </c>
      <c r="C44" t="s">
        <v>272</v>
      </c>
      <c r="D44" t="s">
        <v>427</v>
      </c>
      <c r="E44" t="s">
        <v>1013</v>
      </c>
      <c r="F44">
        <v>0</v>
      </c>
      <c r="G44" t="s">
        <v>1088</v>
      </c>
      <c r="H44" t="s">
        <v>446</v>
      </c>
      <c r="I44" t="s">
        <v>446</v>
      </c>
      <c r="J44" t="s">
        <v>1110</v>
      </c>
      <c r="K44" t="s">
        <v>446</v>
      </c>
      <c r="L44" t="s">
        <v>446</v>
      </c>
      <c r="M44" t="s">
        <v>446</v>
      </c>
      <c r="N44" t="s">
        <v>446</v>
      </c>
      <c r="O44" t="s">
        <v>446</v>
      </c>
      <c r="P44" t="s">
        <v>446</v>
      </c>
      <c r="Q44" t="b">
        <v>1</v>
      </c>
      <c r="R44" t="b">
        <v>0</v>
      </c>
      <c r="S44" t="s">
        <v>1090</v>
      </c>
      <c r="T44" t="s">
        <v>1159</v>
      </c>
      <c r="U44" t="s">
        <v>1092</v>
      </c>
      <c r="V44" t="s">
        <v>1093</v>
      </c>
      <c r="W44" t="s">
        <v>1088</v>
      </c>
      <c r="X44" t="s">
        <v>1094</v>
      </c>
    </row>
    <row r="45" spans="1:24" x14ac:dyDescent="0.25">
      <c r="A45" t="s">
        <v>42</v>
      </c>
      <c r="B45" t="s">
        <v>1165</v>
      </c>
      <c r="C45" t="s">
        <v>272</v>
      </c>
      <c r="D45" t="s">
        <v>427</v>
      </c>
      <c r="E45" t="s">
        <v>1018</v>
      </c>
      <c r="F45">
        <v>0</v>
      </c>
      <c r="G45" t="s">
        <v>1088</v>
      </c>
      <c r="H45" t="s">
        <v>446</v>
      </c>
      <c r="I45" t="s">
        <v>446</v>
      </c>
      <c r="J45" t="s">
        <v>1110</v>
      </c>
      <c r="K45" t="s">
        <v>446</v>
      </c>
      <c r="L45" t="s">
        <v>446</v>
      </c>
      <c r="M45" t="s">
        <v>446</v>
      </c>
      <c r="N45" t="s">
        <v>446</v>
      </c>
      <c r="O45" t="s">
        <v>446</v>
      </c>
      <c r="P45" t="s">
        <v>446</v>
      </c>
      <c r="Q45" t="b">
        <v>1</v>
      </c>
      <c r="R45" t="b">
        <v>0</v>
      </c>
      <c r="S45" t="s">
        <v>1090</v>
      </c>
      <c r="T45" t="s">
        <v>1159</v>
      </c>
      <c r="U45" t="s">
        <v>1092</v>
      </c>
      <c r="V45" t="s">
        <v>1093</v>
      </c>
      <c r="W45" t="s">
        <v>1088</v>
      </c>
      <c r="X45" t="s">
        <v>1094</v>
      </c>
    </row>
    <row r="46" spans="1:24" x14ac:dyDescent="0.25">
      <c r="A46" t="s">
        <v>42</v>
      </c>
      <c r="B46" t="s">
        <v>1166</v>
      </c>
      <c r="C46" t="s">
        <v>272</v>
      </c>
      <c r="D46" t="s">
        <v>427</v>
      </c>
      <c r="E46" t="s">
        <v>1023</v>
      </c>
      <c r="F46">
        <v>0</v>
      </c>
      <c r="G46" t="s">
        <v>1088</v>
      </c>
      <c r="H46" t="s">
        <v>446</v>
      </c>
      <c r="I46" t="s">
        <v>446</v>
      </c>
      <c r="J46" t="s">
        <v>1110</v>
      </c>
      <c r="K46" t="s">
        <v>446</v>
      </c>
      <c r="L46" t="s">
        <v>446</v>
      </c>
      <c r="M46" t="s">
        <v>446</v>
      </c>
      <c r="N46" t="s">
        <v>446</v>
      </c>
      <c r="O46" t="s">
        <v>446</v>
      </c>
      <c r="P46" t="s">
        <v>446</v>
      </c>
      <c r="Q46" t="b">
        <v>1</v>
      </c>
      <c r="R46" t="b">
        <v>0</v>
      </c>
      <c r="S46" t="s">
        <v>1090</v>
      </c>
      <c r="T46" t="s">
        <v>1159</v>
      </c>
      <c r="U46" t="s">
        <v>1092</v>
      </c>
      <c r="V46" t="s">
        <v>1093</v>
      </c>
      <c r="W46" t="s">
        <v>1088</v>
      </c>
      <c r="X46" t="s">
        <v>1094</v>
      </c>
    </row>
    <row r="47" spans="1:24" x14ac:dyDescent="0.25">
      <c r="A47" t="s">
        <v>42</v>
      </c>
      <c r="B47" t="s">
        <v>1167</v>
      </c>
      <c r="C47" t="s">
        <v>272</v>
      </c>
      <c r="D47" t="s">
        <v>427</v>
      </c>
      <c r="E47" t="s">
        <v>1029</v>
      </c>
      <c r="F47">
        <v>0</v>
      </c>
      <c r="G47" t="s">
        <v>1088</v>
      </c>
      <c r="H47" t="s">
        <v>446</v>
      </c>
      <c r="I47" t="s">
        <v>446</v>
      </c>
      <c r="J47" t="s">
        <v>1110</v>
      </c>
      <c r="K47" t="s">
        <v>446</v>
      </c>
      <c r="L47" t="s">
        <v>446</v>
      </c>
      <c r="M47" t="s">
        <v>446</v>
      </c>
      <c r="N47" t="s">
        <v>446</v>
      </c>
      <c r="O47" t="s">
        <v>446</v>
      </c>
      <c r="P47" t="s">
        <v>446</v>
      </c>
      <c r="Q47" t="b">
        <v>1</v>
      </c>
      <c r="R47" t="b">
        <v>0</v>
      </c>
      <c r="S47" t="s">
        <v>1090</v>
      </c>
      <c r="T47" t="s">
        <v>1159</v>
      </c>
      <c r="U47" t="s">
        <v>1092</v>
      </c>
      <c r="V47" t="s">
        <v>1093</v>
      </c>
      <c r="W47" t="s">
        <v>1088</v>
      </c>
      <c r="X47" t="s">
        <v>1094</v>
      </c>
    </row>
    <row r="48" spans="1:24" x14ac:dyDescent="0.25">
      <c r="A48" t="s">
        <v>42</v>
      </c>
      <c r="B48" t="s">
        <v>1168</v>
      </c>
      <c r="C48" t="s">
        <v>272</v>
      </c>
      <c r="D48" t="s">
        <v>427</v>
      </c>
      <c r="E48" t="s">
        <v>1035</v>
      </c>
      <c r="F48">
        <v>0</v>
      </c>
      <c r="G48" t="s">
        <v>1088</v>
      </c>
      <c r="H48" t="s">
        <v>446</v>
      </c>
      <c r="I48" t="s">
        <v>446</v>
      </c>
      <c r="J48" t="s">
        <v>1110</v>
      </c>
      <c r="K48" t="s">
        <v>446</v>
      </c>
      <c r="L48" t="s">
        <v>446</v>
      </c>
      <c r="M48" t="s">
        <v>446</v>
      </c>
      <c r="N48" t="s">
        <v>446</v>
      </c>
      <c r="O48" t="s">
        <v>446</v>
      </c>
      <c r="P48" t="s">
        <v>446</v>
      </c>
      <c r="Q48" t="b">
        <v>1</v>
      </c>
      <c r="R48" t="b">
        <v>0</v>
      </c>
      <c r="S48" t="s">
        <v>1090</v>
      </c>
      <c r="T48" t="s">
        <v>1159</v>
      </c>
      <c r="U48" t="s">
        <v>1092</v>
      </c>
      <c r="V48" t="s">
        <v>1093</v>
      </c>
      <c r="W48" t="s">
        <v>1088</v>
      </c>
      <c r="X48" t="s">
        <v>1094</v>
      </c>
    </row>
    <row r="49" spans="1:24" x14ac:dyDescent="0.25">
      <c r="A49" t="s">
        <v>42</v>
      </c>
      <c r="B49" t="s">
        <v>1169</v>
      </c>
      <c r="C49" t="s">
        <v>272</v>
      </c>
      <c r="D49" t="s">
        <v>427</v>
      </c>
      <c r="E49" t="s">
        <v>1040</v>
      </c>
      <c r="F49">
        <v>0</v>
      </c>
      <c r="G49" t="s">
        <v>1088</v>
      </c>
      <c r="H49" t="s">
        <v>446</v>
      </c>
      <c r="I49" t="s">
        <v>446</v>
      </c>
      <c r="J49" t="s">
        <v>1110</v>
      </c>
      <c r="K49" t="s">
        <v>446</v>
      </c>
      <c r="L49" t="s">
        <v>446</v>
      </c>
      <c r="M49" t="s">
        <v>446</v>
      </c>
      <c r="N49" t="s">
        <v>446</v>
      </c>
      <c r="O49" t="s">
        <v>446</v>
      </c>
      <c r="P49" t="s">
        <v>446</v>
      </c>
      <c r="Q49" t="b">
        <v>1</v>
      </c>
      <c r="R49" t="b">
        <v>0</v>
      </c>
      <c r="S49" t="s">
        <v>1090</v>
      </c>
      <c r="T49" t="s">
        <v>1159</v>
      </c>
      <c r="U49" t="s">
        <v>1092</v>
      </c>
      <c r="V49" t="s">
        <v>1093</v>
      </c>
      <c r="W49" t="s">
        <v>1088</v>
      </c>
      <c r="X49" t="s">
        <v>1094</v>
      </c>
    </row>
    <row r="50" spans="1:24" x14ac:dyDescent="0.25">
      <c r="A50" t="s">
        <v>42</v>
      </c>
      <c r="B50" t="s">
        <v>1170</v>
      </c>
      <c r="C50" t="s">
        <v>272</v>
      </c>
      <c r="D50" t="s">
        <v>427</v>
      </c>
      <c r="E50" t="s">
        <v>1045</v>
      </c>
      <c r="F50">
        <v>0</v>
      </c>
      <c r="G50" t="s">
        <v>1088</v>
      </c>
      <c r="H50" t="s">
        <v>446</v>
      </c>
      <c r="I50" t="s">
        <v>446</v>
      </c>
      <c r="J50" t="s">
        <v>1110</v>
      </c>
      <c r="K50" t="s">
        <v>446</v>
      </c>
      <c r="L50" t="s">
        <v>446</v>
      </c>
      <c r="M50" t="s">
        <v>446</v>
      </c>
      <c r="N50" t="s">
        <v>446</v>
      </c>
      <c r="O50" t="s">
        <v>446</v>
      </c>
      <c r="P50" t="s">
        <v>446</v>
      </c>
      <c r="Q50" t="b">
        <v>1</v>
      </c>
      <c r="R50" t="b">
        <v>0</v>
      </c>
      <c r="S50" t="s">
        <v>1090</v>
      </c>
      <c r="T50" t="s">
        <v>1159</v>
      </c>
      <c r="U50" t="s">
        <v>1092</v>
      </c>
      <c r="V50" t="s">
        <v>1093</v>
      </c>
      <c r="W50" t="s">
        <v>1088</v>
      </c>
      <c r="X50" t="s">
        <v>1094</v>
      </c>
    </row>
    <row r="51" spans="1:24" x14ac:dyDescent="0.25">
      <c r="A51" t="s">
        <v>42</v>
      </c>
      <c r="B51" t="s">
        <v>1171</v>
      </c>
      <c r="C51" t="s">
        <v>272</v>
      </c>
      <c r="D51" t="s">
        <v>427</v>
      </c>
      <c r="E51" t="s">
        <v>1051</v>
      </c>
      <c r="F51">
        <v>0</v>
      </c>
      <c r="G51" t="s">
        <v>1088</v>
      </c>
      <c r="H51" t="s">
        <v>446</v>
      </c>
      <c r="I51" t="s">
        <v>446</v>
      </c>
      <c r="J51" t="s">
        <v>1110</v>
      </c>
      <c r="K51" t="s">
        <v>446</v>
      </c>
      <c r="L51" t="s">
        <v>446</v>
      </c>
      <c r="M51" t="s">
        <v>446</v>
      </c>
      <c r="N51" t="s">
        <v>446</v>
      </c>
      <c r="O51" t="s">
        <v>446</v>
      </c>
      <c r="P51" t="s">
        <v>446</v>
      </c>
      <c r="Q51" t="b">
        <v>1</v>
      </c>
      <c r="R51" t="b">
        <v>0</v>
      </c>
      <c r="S51" t="s">
        <v>1090</v>
      </c>
      <c r="T51" t="s">
        <v>1159</v>
      </c>
      <c r="U51" t="s">
        <v>1092</v>
      </c>
      <c r="V51" t="s">
        <v>1093</v>
      </c>
      <c r="W51" t="s">
        <v>1088</v>
      </c>
      <c r="X51" t="s">
        <v>1094</v>
      </c>
    </row>
    <row r="52" spans="1:24" x14ac:dyDescent="0.25">
      <c r="A52" t="s">
        <v>42</v>
      </c>
      <c r="B52" t="s">
        <v>1172</v>
      </c>
      <c r="C52" t="s">
        <v>273</v>
      </c>
      <c r="D52" t="s">
        <v>427</v>
      </c>
      <c r="E52" t="s">
        <v>978</v>
      </c>
      <c r="F52">
        <v>0</v>
      </c>
      <c r="G52" t="s">
        <v>1088</v>
      </c>
      <c r="H52" t="s">
        <v>446</v>
      </c>
      <c r="I52" t="s">
        <v>446</v>
      </c>
      <c r="J52" t="s">
        <v>1110</v>
      </c>
      <c r="K52" t="s">
        <v>446</v>
      </c>
      <c r="L52" t="s">
        <v>446</v>
      </c>
      <c r="M52" t="s">
        <v>446</v>
      </c>
      <c r="N52" t="s">
        <v>446</v>
      </c>
      <c r="O52" t="s">
        <v>446</v>
      </c>
      <c r="P52" t="s">
        <v>446</v>
      </c>
      <c r="Q52" t="b">
        <v>1</v>
      </c>
      <c r="R52" t="b">
        <v>0</v>
      </c>
      <c r="S52" t="s">
        <v>1090</v>
      </c>
      <c r="T52" t="s">
        <v>1173</v>
      </c>
      <c r="U52" t="s">
        <v>1092</v>
      </c>
      <c r="V52" t="s">
        <v>1093</v>
      </c>
      <c r="W52" t="s">
        <v>1088</v>
      </c>
      <c r="X52" t="s">
        <v>1094</v>
      </c>
    </row>
    <row r="53" spans="1:24" x14ac:dyDescent="0.25">
      <c r="A53" t="s">
        <v>42</v>
      </c>
      <c r="B53" t="s">
        <v>1174</v>
      </c>
      <c r="C53" t="s">
        <v>273</v>
      </c>
      <c r="D53" t="s">
        <v>427</v>
      </c>
      <c r="E53" t="s">
        <v>986</v>
      </c>
      <c r="F53">
        <v>0</v>
      </c>
      <c r="G53" t="s">
        <v>1088</v>
      </c>
      <c r="H53" t="s">
        <v>446</v>
      </c>
      <c r="I53" t="s">
        <v>446</v>
      </c>
      <c r="J53" t="s">
        <v>1110</v>
      </c>
      <c r="K53" t="s">
        <v>446</v>
      </c>
      <c r="L53" t="s">
        <v>446</v>
      </c>
      <c r="M53" t="s">
        <v>446</v>
      </c>
      <c r="N53" t="s">
        <v>446</v>
      </c>
      <c r="O53" t="s">
        <v>446</v>
      </c>
      <c r="P53" t="s">
        <v>446</v>
      </c>
      <c r="Q53" t="b">
        <v>1</v>
      </c>
      <c r="R53" t="b">
        <v>0</v>
      </c>
      <c r="S53" t="s">
        <v>1090</v>
      </c>
      <c r="T53" t="s">
        <v>1175</v>
      </c>
      <c r="U53" t="s">
        <v>1092</v>
      </c>
      <c r="V53" t="s">
        <v>1093</v>
      </c>
      <c r="W53" t="s">
        <v>1088</v>
      </c>
      <c r="X53" t="s">
        <v>1094</v>
      </c>
    </row>
    <row r="54" spans="1:24" x14ac:dyDescent="0.25">
      <c r="A54" t="s">
        <v>42</v>
      </c>
      <c r="B54" t="s">
        <v>1176</v>
      </c>
      <c r="C54" t="s">
        <v>273</v>
      </c>
      <c r="D54" t="s">
        <v>427</v>
      </c>
      <c r="E54" t="s">
        <v>992</v>
      </c>
      <c r="F54">
        <v>0</v>
      </c>
      <c r="G54" t="s">
        <v>1088</v>
      </c>
      <c r="H54" t="s">
        <v>446</v>
      </c>
      <c r="I54" t="s">
        <v>446</v>
      </c>
      <c r="J54" t="s">
        <v>1110</v>
      </c>
      <c r="K54" t="s">
        <v>446</v>
      </c>
      <c r="L54" t="s">
        <v>446</v>
      </c>
      <c r="M54" t="s">
        <v>446</v>
      </c>
      <c r="N54" t="s">
        <v>446</v>
      </c>
      <c r="O54" t="s">
        <v>446</v>
      </c>
      <c r="P54" t="s">
        <v>446</v>
      </c>
      <c r="Q54" t="b">
        <v>1</v>
      </c>
      <c r="R54" t="b">
        <v>0</v>
      </c>
      <c r="S54" t="s">
        <v>1090</v>
      </c>
      <c r="T54" t="s">
        <v>1177</v>
      </c>
      <c r="U54" t="s">
        <v>1092</v>
      </c>
      <c r="V54" t="s">
        <v>1093</v>
      </c>
      <c r="W54" t="s">
        <v>1088</v>
      </c>
      <c r="X54" t="s">
        <v>1094</v>
      </c>
    </row>
    <row r="55" spans="1:24" x14ac:dyDescent="0.25">
      <c r="A55" t="s">
        <v>42</v>
      </c>
      <c r="B55" t="s">
        <v>1178</v>
      </c>
      <c r="C55" t="s">
        <v>273</v>
      </c>
      <c r="D55" t="s">
        <v>427</v>
      </c>
      <c r="E55" t="s">
        <v>1006</v>
      </c>
      <c r="F55">
        <v>0</v>
      </c>
      <c r="G55" t="s">
        <v>1088</v>
      </c>
      <c r="H55" t="s">
        <v>446</v>
      </c>
      <c r="I55" t="s">
        <v>446</v>
      </c>
      <c r="J55" t="s">
        <v>1110</v>
      </c>
      <c r="K55" t="s">
        <v>446</v>
      </c>
      <c r="L55" t="s">
        <v>446</v>
      </c>
      <c r="M55" t="s">
        <v>446</v>
      </c>
      <c r="N55" t="s">
        <v>446</v>
      </c>
      <c r="O55" t="s">
        <v>446</v>
      </c>
      <c r="P55" t="s">
        <v>446</v>
      </c>
      <c r="Q55" t="b">
        <v>1</v>
      </c>
      <c r="R55" t="b">
        <v>0</v>
      </c>
      <c r="S55" t="s">
        <v>1090</v>
      </c>
      <c r="T55" t="s">
        <v>1179</v>
      </c>
      <c r="U55" t="s">
        <v>1092</v>
      </c>
      <c r="V55" t="s">
        <v>1093</v>
      </c>
      <c r="W55" t="s">
        <v>1088</v>
      </c>
      <c r="X55" t="s">
        <v>1094</v>
      </c>
    </row>
    <row r="56" spans="1:24" x14ac:dyDescent="0.25">
      <c r="A56" t="s">
        <v>42</v>
      </c>
      <c r="B56" t="s">
        <v>1180</v>
      </c>
      <c r="C56" t="s">
        <v>273</v>
      </c>
      <c r="D56" t="s">
        <v>427</v>
      </c>
      <c r="E56" t="s">
        <v>1013</v>
      </c>
      <c r="F56">
        <v>0</v>
      </c>
      <c r="G56" t="s">
        <v>1088</v>
      </c>
      <c r="H56" t="s">
        <v>446</v>
      </c>
      <c r="I56" t="s">
        <v>446</v>
      </c>
      <c r="J56" t="s">
        <v>1110</v>
      </c>
      <c r="K56" t="s">
        <v>446</v>
      </c>
      <c r="L56" t="s">
        <v>446</v>
      </c>
      <c r="M56" t="s">
        <v>446</v>
      </c>
      <c r="N56" t="s">
        <v>446</v>
      </c>
      <c r="O56" t="s">
        <v>446</v>
      </c>
      <c r="P56" t="s">
        <v>446</v>
      </c>
      <c r="Q56" t="b">
        <v>1</v>
      </c>
      <c r="R56" t="b">
        <v>0</v>
      </c>
      <c r="S56" t="s">
        <v>1090</v>
      </c>
      <c r="T56" t="s">
        <v>1181</v>
      </c>
      <c r="U56" t="s">
        <v>1092</v>
      </c>
      <c r="V56" t="s">
        <v>1093</v>
      </c>
      <c r="W56" t="s">
        <v>1088</v>
      </c>
      <c r="X56" t="s">
        <v>1094</v>
      </c>
    </row>
    <row r="57" spans="1:24" x14ac:dyDescent="0.25">
      <c r="A57" t="s">
        <v>42</v>
      </c>
      <c r="B57" t="s">
        <v>1182</v>
      </c>
      <c r="C57" t="s">
        <v>273</v>
      </c>
      <c r="D57" t="s">
        <v>427</v>
      </c>
      <c r="E57" t="s">
        <v>1018</v>
      </c>
      <c r="F57">
        <v>0</v>
      </c>
      <c r="G57" t="s">
        <v>1088</v>
      </c>
      <c r="H57" t="s">
        <v>446</v>
      </c>
      <c r="I57" t="s">
        <v>446</v>
      </c>
      <c r="J57" t="s">
        <v>1110</v>
      </c>
      <c r="K57" t="s">
        <v>446</v>
      </c>
      <c r="L57" t="s">
        <v>446</v>
      </c>
      <c r="M57" t="s">
        <v>446</v>
      </c>
      <c r="N57" t="s">
        <v>446</v>
      </c>
      <c r="O57" t="s">
        <v>446</v>
      </c>
      <c r="P57" t="s">
        <v>446</v>
      </c>
      <c r="Q57" t="b">
        <v>1</v>
      </c>
      <c r="R57" t="b">
        <v>0</v>
      </c>
      <c r="S57" t="s">
        <v>1090</v>
      </c>
      <c r="T57" t="s">
        <v>1183</v>
      </c>
      <c r="U57" t="s">
        <v>1092</v>
      </c>
      <c r="V57" t="s">
        <v>1093</v>
      </c>
      <c r="W57" t="s">
        <v>1088</v>
      </c>
      <c r="X57" t="s">
        <v>1094</v>
      </c>
    </row>
    <row r="58" spans="1:24" x14ac:dyDescent="0.25">
      <c r="A58" t="s">
        <v>42</v>
      </c>
      <c r="B58" t="s">
        <v>1184</v>
      </c>
      <c r="C58" t="s">
        <v>273</v>
      </c>
      <c r="D58" t="s">
        <v>427</v>
      </c>
      <c r="E58" t="s">
        <v>1023</v>
      </c>
      <c r="F58">
        <v>0</v>
      </c>
      <c r="G58" t="s">
        <v>1088</v>
      </c>
      <c r="H58" t="s">
        <v>446</v>
      </c>
      <c r="I58" t="s">
        <v>446</v>
      </c>
      <c r="J58" t="s">
        <v>1110</v>
      </c>
      <c r="K58" t="s">
        <v>446</v>
      </c>
      <c r="L58" t="s">
        <v>446</v>
      </c>
      <c r="M58" t="s">
        <v>446</v>
      </c>
      <c r="N58" t="s">
        <v>446</v>
      </c>
      <c r="O58" t="s">
        <v>446</v>
      </c>
      <c r="P58" t="s">
        <v>446</v>
      </c>
      <c r="Q58" t="b">
        <v>1</v>
      </c>
      <c r="R58" t="b">
        <v>0</v>
      </c>
      <c r="S58" t="s">
        <v>1090</v>
      </c>
      <c r="T58" t="s">
        <v>1185</v>
      </c>
      <c r="U58" t="s">
        <v>1092</v>
      </c>
      <c r="V58" t="s">
        <v>1093</v>
      </c>
      <c r="W58" t="s">
        <v>1088</v>
      </c>
      <c r="X58" t="s">
        <v>1094</v>
      </c>
    </row>
    <row r="59" spans="1:24" x14ac:dyDescent="0.25">
      <c r="A59" t="s">
        <v>42</v>
      </c>
      <c r="B59" t="s">
        <v>1186</v>
      </c>
      <c r="C59" t="s">
        <v>273</v>
      </c>
      <c r="D59" t="s">
        <v>427</v>
      </c>
      <c r="E59" t="s">
        <v>1029</v>
      </c>
      <c r="F59">
        <v>0</v>
      </c>
      <c r="G59" t="s">
        <v>1088</v>
      </c>
      <c r="H59" t="s">
        <v>446</v>
      </c>
      <c r="I59" t="s">
        <v>446</v>
      </c>
      <c r="J59" t="s">
        <v>1110</v>
      </c>
      <c r="K59" t="s">
        <v>446</v>
      </c>
      <c r="L59" t="s">
        <v>446</v>
      </c>
      <c r="M59" t="s">
        <v>446</v>
      </c>
      <c r="N59" t="s">
        <v>446</v>
      </c>
      <c r="O59" t="s">
        <v>446</v>
      </c>
      <c r="P59" t="s">
        <v>446</v>
      </c>
      <c r="Q59" t="b">
        <v>1</v>
      </c>
      <c r="R59" t="b">
        <v>0</v>
      </c>
      <c r="S59" t="s">
        <v>1090</v>
      </c>
      <c r="T59" t="s">
        <v>1187</v>
      </c>
      <c r="U59" t="s">
        <v>1092</v>
      </c>
      <c r="V59" t="s">
        <v>1093</v>
      </c>
      <c r="W59" t="s">
        <v>1088</v>
      </c>
      <c r="X59" t="s">
        <v>1094</v>
      </c>
    </row>
    <row r="60" spans="1:24" x14ac:dyDescent="0.25">
      <c r="A60" t="s">
        <v>42</v>
      </c>
      <c r="B60" t="s">
        <v>1188</v>
      </c>
      <c r="C60" t="s">
        <v>273</v>
      </c>
      <c r="D60" t="s">
        <v>427</v>
      </c>
      <c r="E60" t="s">
        <v>1035</v>
      </c>
      <c r="F60">
        <v>0</v>
      </c>
      <c r="G60" t="s">
        <v>1088</v>
      </c>
      <c r="H60" t="s">
        <v>446</v>
      </c>
      <c r="I60" t="s">
        <v>446</v>
      </c>
      <c r="J60" t="s">
        <v>1110</v>
      </c>
      <c r="K60" t="s">
        <v>446</v>
      </c>
      <c r="L60" t="s">
        <v>446</v>
      </c>
      <c r="M60" t="s">
        <v>446</v>
      </c>
      <c r="N60" t="s">
        <v>446</v>
      </c>
      <c r="O60" t="s">
        <v>446</v>
      </c>
      <c r="P60" t="s">
        <v>446</v>
      </c>
      <c r="Q60" t="b">
        <v>1</v>
      </c>
      <c r="R60" t="b">
        <v>0</v>
      </c>
      <c r="S60" t="s">
        <v>1090</v>
      </c>
      <c r="T60" t="s">
        <v>1189</v>
      </c>
      <c r="U60" t="s">
        <v>1092</v>
      </c>
      <c r="V60" t="s">
        <v>1093</v>
      </c>
      <c r="W60" t="s">
        <v>1088</v>
      </c>
      <c r="X60" t="s">
        <v>1094</v>
      </c>
    </row>
    <row r="61" spans="1:24" x14ac:dyDescent="0.25">
      <c r="A61" t="s">
        <v>42</v>
      </c>
      <c r="B61" t="s">
        <v>1190</v>
      </c>
      <c r="C61" t="s">
        <v>273</v>
      </c>
      <c r="D61" t="s">
        <v>427</v>
      </c>
      <c r="E61" t="s">
        <v>1040</v>
      </c>
      <c r="F61">
        <v>0</v>
      </c>
      <c r="G61" t="s">
        <v>1088</v>
      </c>
      <c r="H61" t="s">
        <v>446</v>
      </c>
      <c r="I61" t="s">
        <v>446</v>
      </c>
      <c r="J61" t="s">
        <v>1110</v>
      </c>
      <c r="K61" t="s">
        <v>446</v>
      </c>
      <c r="L61" t="s">
        <v>446</v>
      </c>
      <c r="M61" t="s">
        <v>446</v>
      </c>
      <c r="N61" t="s">
        <v>446</v>
      </c>
      <c r="O61" t="s">
        <v>446</v>
      </c>
      <c r="P61" t="s">
        <v>446</v>
      </c>
      <c r="Q61" t="b">
        <v>1</v>
      </c>
      <c r="R61" t="b">
        <v>0</v>
      </c>
      <c r="S61" t="s">
        <v>1090</v>
      </c>
      <c r="T61" t="s">
        <v>1191</v>
      </c>
      <c r="U61" t="s">
        <v>1092</v>
      </c>
      <c r="V61" t="s">
        <v>1093</v>
      </c>
      <c r="W61" t="s">
        <v>1088</v>
      </c>
      <c r="X61" t="s">
        <v>1094</v>
      </c>
    </row>
    <row r="62" spans="1:24" x14ac:dyDescent="0.25">
      <c r="A62" t="s">
        <v>42</v>
      </c>
      <c r="B62" t="s">
        <v>1192</v>
      </c>
      <c r="C62" t="s">
        <v>273</v>
      </c>
      <c r="D62" t="s">
        <v>427</v>
      </c>
      <c r="E62" t="s">
        <v>1045</v>
      </c>
      <c r="F62">
        <v>0</v>
      </c>
      <c r="G62" t="s">
        <v>1088</v>
      </c>
      <c r="H62" t="s">
        <v>446</v>
      </c>
      <c r="I62" t="s">
        <v>446</v>
      </c>
      <c r="J62" t="s">
        <v>1110</v>
      </c>
      <c r="K62" t="s">
        <v>446</v>
      </c>
      <c r="L62" t="s">
        <v>446</v>
      </c>
      <c r="M62" t="s">
        <v>446</v>
      </c>
      <c r="N62" t="s">
        <v>446</v>
      </c>
      <c r="O62" t="s">
        <v>446</v>
      </c>
      <c r="P62" t="s">
        <v>446</v>
      </c>
      <c r="Q62" t="b">
        <v>1</v>
      </c>
      <c r="R62" t="b">
        <v>0</v>
      </c>
      <c r="S62" t="s">
        <v>1090</v>
      </c>
      <c r="T62" t="s">
        <v>1193</v>
      </c>
      <c r="U62" t="s">
        <v>1092</v>
      </c>
      <c r="V62" t="s">
        <v>1093</v>
      </c>
      <c r="W62" t="s">
        <v>1088</v>
      </c>
      <c r="X62" t="s">
        <v>1094</v>
      </c>
    </row>
    <row r="63" spans="1:24" x14ac:dyDescent="0.25">
      <c r="A63" t="s">
        <v>42</v>
      </c>
      <c r="B63" t="s">
        <v>1194</v>
      </c>
      <c r="C63" t="s">
        <v>273</v>
      </c>
      <c r="D63" t="s">
        <v>427</v>
      </c>
      <c r="E63" t="s">
        <v>1051</v>
      </c>
      <c r="F63">
        <v>0</v>
      </c>
      <c r="G63" t="s">
        <v>1088</v>
      </c>
      <c r="H63" t="s">
        <v>446</v>
      </c>
      <c r="I63" t="s">
        <v>446</v>
      </c>
      <c r="J63" t="s">
        <v>1110</v>
      </c>
      <c r="K63" t="s">
        <v>446</v>
      </c>
      <c r="L63" t="s">
        <v>446</v>
      </c>
      <c r="M63" t="s">
        <v>446</v>
      </c>
      <c r="N63" t="s">
        <v>446</v>
      </c>
      <c r="O63" t="s">
        <v>446</v>
      </c>
      <c r="P63" t="s">
        <v>446</v>
      </c>
      <c r="Q63" t="b">
        <v>1</v>
      </c>
      <c r="R63" t="b">
        <v>0</v>
      </c>
      <c r="S63" t="s">
        <v>1090</v>
      </c>
      <c r="T63" t="s">
        <v>1195</v>
      </c>
      <c r="U63" t="s">
        <v>1092</v>
      </c>
      <c r="V63" t="s">
        <v>1093</v>
      </c>
      <c r="W63" t="s">
        <v>1088</v>
      </c>
      <c r="X63" t="s">
        <v>1094</v>
      </c>
    </row>
    <row r="64" spans="1:24" x14ac:dyDescent="0.25">
      <c r="A64" t="s">
        <v>42</v>
      </c>
      <c r="B64" t="s">
        <v>1196</v>
      </c>
      <c r="C64" t="s">
        <v>274</v>
      </c>
      <c r="D64" t="s">
        <v>427</v>
      </c>
      <c r="E64" t="s">
        <v>978</v>
      </c>
      <c r="F64">
        <v>0</v>
      </c>
      <c r="G64" t="s">
        <v>1088</v>
      </c>
      <c r="H64" t="s">
        <v>446</v>
      </c>
      <c r="I64" t="s">
        <v>446</v>
      </c>
      <c r="J64" t="s">
        <v>1110</v>
      </c>
      <c r="K64" t="s">
        <v>446</v>
      </c>
      <c r="L64" t="s">
        <v>446</v>
      </c>
      <c r="M64" t="s">
        <v>446</v>
      </c>
      <c r="N64" t="s">
        <v>446</v>
      </c>
      <c r="O64" t="s">
        <v>446</v>
      </c>
      <c r="P64" t="s">
        <v>446</v>
      </c>
      <c r="Q64" t="b">
        <v>1</v>
      </c>
      <c r="R64" t="b">
        <v>0</v>
      </c>
      <c r="S64" t="s">
        <v>1090</v>
      </c>
      <c r="T64" t="s">
        <v>1159</v>
      </c>
      <c r="U64" t="s">
        <v>1092</v>
      </c>
      <c r="V64" t="s">
        <v>1093</v>
      </c>
      <c r="W64" t="s">
        <v>1088</v>
      </c>
      <c r="X64" t="s">
        <v>1094</v>
      </c>
    </row>
    <row r="65" spans="1:24" x14ac:dyDescent="0.25">
      <c r="A65" t="s">
        <v>42</v>
      </c>
      <c r="B65" t="s">
        <v>1197</v>
      </c>
      <c r="C65" t="s">
        <v>274</v>
      </c>
      <c r="D65" t="s">
        <v>427</v>
      </c>
      <c r="E65" t="s">
        <v>986</v>
      </c>
      <c r="F65">
        <v>0</v>
      </c>
      <c r="G65" t="s">
        <v>1088</v>
      </c>
      <c r="H65" t="s">
        <v>446</v>
      </c>
      <c r="I65" t="s">
        <v>446</v>
      </c>
      <c r="J65" t="s">
        <v>1110</v>
      </c>
      <c r="K65" t="s">
        <v>446</v>
      </c>
      <c r="L65" t="s">
        <v>446</v>
      </c>
      <c r="M65" t="s">
        <v>446</v>
      </c>
      <c r="N65" t="s">
        <v>446</v>
      </c>
      <c r="O65" t="s">
        <v>446</v>
      </c>
      <c r="P65" t="s">
        <v>446</v>
      </c>
      <c r="Q65" t="b">
        <v>1</v>
      </c>
      <c r="R65" t="b">
        <v>0</v>
      </c>
      <c r="S65" t="s">
        <v>1090</v>
      </c>
      <c r="T65" t="s">
        <v>1159</v>
      </c>
      <c r="U65" t="s">
        <v>1092</v>
      </c>
      <c r="V65" t="s">
        <v>1093</v>
      </c>
      <c r="W65" t="s">
        <v>1088</v>
      </c>
      <c r="X65" t="s">
        <v>1094</v>
      </c>
    </row>
    <row r="66" spans="1:24" x14ac:dyDescent="0.25">
      <c r="A66" t="s">
        <v>42</v>
      </c>
      <c r="B66" t="s">
        <v>1198</v>
      </c>
      <c r="C66" t="s">
        <v>274</v>
      </c>
      <c r="D66" t="s">
        <v>427</v>
      </c>
      <c r="E66" t="s">
        <v>992</v>
      </c>
      <c r="F66">
        <v>0</v>
      </c>
      <c r="G66" t="s">
        <v>1088</v>
      </c>
      <c r="H66" t="s">
        <v>446</v>
      </c>
      <c r="I66" t="s">
        <v>446</v>
      </c>
      <c r="J66" t="s">
        <v>1110</v>
      </c>
      <c r="K66" t="s">
        <v>446</v>
      </c>
      <c r="L66" t="s">
        <v>446</v>
      </c>
      <c r="M66" t="s">
        <v>446</v>
      </c>
      <c r="N66" t="s">
        <v>446</v>
      </c>
      <c r="O66" t="s">
        <v>446</v>
      </c>
      <c r="P66" t="s">
        <v>446</v>
      </c>
      <c r="Q66" t="b">
        <v>1</v>
      </c>
      <c r="R66" t="b">
        <v>0</v>
      </c>
      <c r="S66" t="s">
        <v>1090</v>
      </c>
      <c r="T66" t="s">
        <v>1159</v>
      </c>
      <c r="U66" t="s">
        <v>1092</v>
      </c>
      <c r="V66" t="s">
        <v>1093</v>
      </c>
      <c r="W66" t="s">
        <v>1088</v>
      </c>
      <c r="X66" t="s">
        <v>1094</v>
      </c>
    </row>
    <row r="67" spans="1:24" x14ac:dyDescent="0.25">
      <c r="A67" t="s">
        <v>42</v>
      </c>
      <c r="B67" t="s">
        <v>1199</v>
      </c>
      <c r="C67" t="s">
        <v>274</v>
      </c>
      <c r="D67" t="s">
        <v>427</v>
      </c>
      <c r="E67" t="s">
        <v>998</v>
      </c>
      <c r="F67">
        <v>0</v>
      </c>
      <c r="G67" t="s">
        <v>1088</v>
      </c>
      <c r="H67" t="s">
        <v>446</v>
      </c>
      <c r="I67" t="s">
        <v>446</v>
      </c>
      <c r="J67" t="s">
        <v>1110</v>
      </c>
      <c r="K67" t="s">
        <v>446</v>
      </c>
      <c r="L67" t="s">
        <v>446</v>
      </c>
      <c r="M67" t="s">
        <v>446</v>
      </c>
      <c r="N67" t="s">
        <v>446</v>
      </c>
      <c r="O67" t="s">
        <v>446</v>
      </c>
      <c r="P67" t="s">
        <v>446</v>
      </c>
      <c r="Q67" t="b">
        <v>1</v>
      </c>
      <c r="R67" t="b">
        <v>0</v>
      </c>
      <c r="S67" t="s">
        <v>1090</v>
      </c>
      <c r="T67" t="s">
        <v>1159</v>
      </c>
      <c r="U67" t="s">
        <v>1092</v>
      </c>
      <c r="V67" t="s">
        <v>1093</v>
      </c>
      <c r="W67" t="s">
        <v>1088</v>
      </c>
      <c r="X67" t="s">
        <v>1094</v>
      </c>
    </row>
    <row r="68" spans="1:24" x14ac:dyDescent="0.25">
      <c r="A68" t="s">
        <v>42</v>
      </c>
      <c r="B68" t="s">
        <v>1200</v>
      </c>
      <c r="C68" t="s">
        <v>274</v>
      </c>
      <c r="D68" t="s">
        <v>427</v>
      </c>
      <c r="E68" t="s">
        <v>1006</v>
      </c>
      <c r="F68">
        <v>0</v>
      </c>
      <c r="G68" t="s">
        <v>1088</v>
      </c>
      <c r="H68" t="s">
        <v>446</v>
      </c>
      <c r="I68" t="s">
        <v>446</v>
      </c>
      <c r="J68" t="s">
        <v>1110</v>
      </c>
      <c r="K68" t="s">
        <v>446</v>
      </c>
      <c r="L68" t="s">
        <v>446</v>
      </c>
      <c r="M68" t="s">
        <v>446</v>
      </c>
      <c r="N68" t="s">
        <v>446</v>
      </c>
      <c r="O68" t="s">
        <v>446</v>
      </c>
      <c r="P68" t="s">
        <v>446</v>
      </c>
      <c r="Q68" t="b">
        <v>1</v>
      </c>
      <c r="R68" t="b">
        <v>0</v>
      </c>
      <c r="S68" t="s">
        <v>1090</v>
      </c>
      <c r="T68" t="s">
        <v>1159</v>
      </c>
      <c r="U68" t="s">
        <v>1092</v>
      </c>
      <c r="V68" t="s">
        <v>1093</v>
      </c>
      <c r="W68" t="s">
        <v>1088</v>
      </c>
      <c r="X68" t="s">
        <v>1094</v>
      </c>
    </row>
    <row r="69" spans="1:24" x14ac:dyDescent="0.25">
      <c r="A69" t="s">
        <v>42</v>
      </c>
      <c r="B69" t="s">
        <v>1201</v>
      </c>
      <c r="C69" t="s">
        <v>274</v>
      </c>
      <c r="D69" t="s">
        <v>427</v>
      </c>
      <c r="E69" t="s">
        <v>1013</v>
      </c>
      <c r="F69">
        <v>0</v>
      </c>
      <c r="G69" t="s">
        <v>1088</v>
      </c>
      <c r="H69" t="s">
        <v>446</v>
      </c>
      <c r="I69" t="s">
        <v>446</v>
      </c>
      <c r="J69" t="s">
        <v>1110</v>
      </c>
      <c r="K69" t="s">
        <v>446</v>
      </c>
      <c r="L69" t="s">
        <v>446</v>
      </c>
      <c r="M69" t="s">
        <v>446</v>
      </c>
      <c r="N69" t="s">
        <v>446</v>
      </c>
      <c r="O69" t="s">
        <v>446</v>
      </c>
      <c r="P69" t="s">
        <v>446</v>
      </c>
      <c r="Q69" t="b">
        <v>1</v>
      </c>
      <c r="R69" t="b">
        <v>0</v>
      </c>
      <c r="S69" t="s">
        <v>1090</v>
      </c>
      <c r="T69" t="s">
        <v>1159</v>
      </c>
      <c r="U69" t="s">
        <v>1092</v>
      </c>
      <c r="V69" t="s">
        <v>1093</v>
      </c>
      <c r="W69" t="s">
        <v>1088</v>
      </c>
      <c r="X69" t="s">
        <v>1094</v>
      </c>
    </row>
    <row r="70" spans="1:24" x14ac:dyDescent="0.25">
      <c r="A70" t="s">
        <v>42</v>
      </c>
      <c r="B70" t="s">
        <v>1202</v>
      </c>
      <c r="C70" t="s">
        <v>274</v>
      </c>
      <c r="D70" t="s">
        <v>427</v>
      </c>
      <c r="E70" t="s">
        <v>1018</v>
      </c>
      <c r="F70">
        <v>0</v>
      </c>
      <c r="G70" t="s">
        <v>1088</v>
      </c>
      <c r="H70" t="s">
        <v>446</v>
      </c>
      <c r="I70" t="s">
        <v>446</v>
      </c>
      <c r="J70" t="s">
        <v>1110</v>
      </c>
      <c r="K70" t="s">
        <v>446</v>
      </c>
      <c r="L70" t="s">
        <v>446</v>
      </c>
      <c r="M70" t="s">
        <v>446</v>
      </c>
      <c r="N70" t="s">
        <v>446</v>
      </c>
      <c r="O70" t="s">
        <v>446</v>
      </c>
      <c r="P70" t="s">
        <v>446</v>
      </c>
      <c r="Q70" t="b">
        <v>1</v>
      </c>
      <c r="R70" t="b">
        <v>0</v>
      </c>
      <c r="S70" t="s">
        <v>1090</v>
      </c>
      <c r="T70" t="s">
        <v>1159</v>
      </c>
      <c r="U70" t="s">
        <v>1092</v>
      </c>
      <c r="V70" t="s">
        <v>1093</v>
      </c>
      <c r="W70" t="s">
        <v>1088</v>
      </c>
      <c r="X70" t="s">
        <v>1094</v>
      </c>
    </row>
    <row r="71" spans="1:24" x14ac:dyDescent="0.25">
      <c r="A71" t="s">
        <v>42</v>
      </c>
      <c r="B71" t="s">
        <v>1203</v>
      </c>
      <c r="C71" t="s">
        <v>274</v>
      </c>
      <c r="D71" t="s">
        <v>427</v>
      </c>
      <c r="E71" t="s">
        <v>1023</v>
      </c>
      <c r="F71">
        <v>0</v>
      </c>
      <c r="G71" t="s">
        <v>1088</v>
      </c>
      <c r="H71" t="s">
        <v>446</v>
      </c>
      <c r="I71" t="s">
        <v>446</v>
      </c>
      <c r="J71" t="s">
        <v>1110</v>
      </c>
      <c r="K71" t="s">
        <v>446</v>
      </c>
      <c r="L71" t="s">
        <v>446</v>
      </c>
      <c r="M71" t="s">
        <v>446</v>
      </c>
      <c r="N71" t="s">
        <v>446</v>
      </c>
      <c r="O71" t="s">
        <v>446</v>
      </c>
      <c r="P71" t="s">
        <v>446</v>
      </c>
      <c r="Q71" t="b">
        <v>1</v>
      </c>
      <c r="R71" t="b">
        <v>0</v>
      </c>
      <c r="S71" t="s">
        <v>1090</v>
      </c>
      <c r="T71" t="s">
        <v>1159</v>
      </c>
      <c r="U71" t="s">
        <v>1092</v>
      </c>
      <c r="V71" t="s">
        <v>1093</v>
      </c>
      <c r="W71" t="s">
        <v>1088</v>
      </c>
      <c r="X71" t="s">
        <v>1094</v>
      </c>
    </row>
    <row r="72" spans="1:24" x14ac:dyDescent="0.25">
      <c r="A72" t="s">
        <v>42</v>
      </c>
      <c r="B72" t="s">
        <v>1204</v>
      </c>
      <c r="C72" t="s">
        <v>274</v>
      </c>
      <c r="D72" t="s">
        <v>427</v>
      </c>
      <c r="E72" t="s">
        <v>1029</v>
      </c>
      <c r="F72">
        <v>0</v>
      </c>
      <c r="G72" t="s">
        <v>1088</v>
      </c>
      <c r="H72" t="s">
        <v>446</v>
      </c>
      <c r="I72" t="s">
        <v>446</v>
      </c>
      <c r="J72" t="s">
        <v>1110</v>
      </c>
      <c r="K72" t="s">
        <v>446</v>
      </c>
      <c r="L72" t="s">
        <v>446</v>
      </c>
      <c r="M72" t="s">
        <v>446</v>
      </c>
      <c r="N72" t="s">
        <v>446</v>
      </c>
      <c r="O72" t="s">
        <v>446</v>
      </c>
      <c r="P72" t="s">
        <v>446</v>
      </c>
      <c r="Q72" t="b">
        <v>1</v>
      </c>
      <c r="R72" t="b">
        <v>0</v>
      </c>
      <c r="S72" t="s">
        <v>1090</v>
      </c>
      <c r="T72" t="s">
        <v>1159</v>
      </c>
      <c r="U72" t="s">
        <v>1092</v>
      </c>
      <c r="V72" t="s">
        <v>1093</v>
      </c>
      <c r="W72" t="s">
        <v>1088</v>
      </c>
      <c r="X72" t="s">
        <v>1094</v>
      </c>
    </row>
    <row r="73" spans="1:24" x14ac:dyDescent="0.25">
      <c r="A73" t="s">
        <v>42</v>
      </c>
      <c r="B73" t="s">
        <v>1205</v>
      </c>
      <c r="C73" t="s">
        <v>274</v>
      </c>
      <c r="D73" t="s">
        <v>427</v>
      </c>
      <c r="E73" t="s">
        <v>1035</v>
      </c>
      <c r="F73">
        <v>0</v>
      </c>
      <c r="G73" t="s">
        <v>1088</v>
      </c>
      <c r="H73" t="s">
        <v>446</v>
      </c>
      <c r="I73" t="s">
        <v>446</v>
      </c>
      <c r="J73" t="s">
        <v>1110</v>
      </c>
      <c r="K73" t="s">
        <v>446</v>
      </c>
      <c r="L73" t="s">
        <v>446</v>
      </c>
      <c r="M73" t="s">
        <v>446</v>
      </c>
      <c r="N73" t="s">
        <v>446</v>
      </c>
      <c r="O73" t="s">
        <v>446</v>
      </c>
      <c r="P73" t="s">
        <v>446</v>
      </c>
      <c r="Q73" t="b">
        <v>1</v>
      </c>
      <c r="R73" t="b">
        <v>0</v>
      </c>
      <c r="S73" t="s">
        <v>1090</v>
      </c>
      <c r="T73" t="s">
        <v>1159</v>
      </c>
      <c r="U73" t="s">
        <v>1092</v>
      </c>
      <c r="V73" t="s">
        <v>1093</v>
      </c>
      <c r="W73" t="s">
        <v>1088</v>
      </c>
      <c r="X73" t="s">
        <v>1094</v>
      </c>
    </row>
    <row r="74" spans="1:24" x14ac:dyDescent="0.25">
      <c r="A74" t="s">
        <v>42</v>
      </c>
      <c r="B74" t="s">
        <v>1206</v>
      </c>
      <c r="C74" t="s">
        <v>274</v>
      </c>
      <c r="D74" t="s">
        <v>427</v>
      </c>
      <c r="E74" t="s">
        <v>1040</v>
      </c>
      <c r="F74">
        <v>0</v>
      </c>
      <c r="G74" t="s">
        <v>1088</v>
      </c>
      <c r="H74" t="s">
        <v>446</v>
      </c>
      <c r="I74" t="s">
        <v>446</v>
      </c>
      <c r="J74" t="s">
        <v>1110</v>
      </c>
      <c r="K74" t="s">
        <v>446</v>
      </c>
      <c r="L74" t="s">
        <v>446</v>
      </c>
      <c r="M74" t="s">
        <v>446</v>
      </c>
      <c r="N74" t="s">
        <v>446</v>
      </c>
      <c r="O74" t="s">
        <v>446</v>
      </c>
      <c r="P74" t="s">
        <v>446</v>
      </c>
      <c r="Q74" t="b">
        <v>1</v>
      </c>
      <c r="R74" t="b">
        <v>0</v>
      </c>
      <c r="S74" t="s">
        <v>1090</v>
      </c>
      <c r="T74" t="s">
        <v>1159</v>
      </c>
      <c r="U74" t="s">
        <v>1092</v>
      </c>
      <c r="V74" t="s">
        <v>1093</v>
      </c>
      <c r="W74" t="s">
        <v>1088</v>
      </c>
      <c r="X74" t="s">
        <v>1094</v>
      </c>
    </row>
    <row r="75" spans="1:24" x14ac:dyDescent="0.25">
      <c r="A75" t="s">
        <v>42</v>
      </c>
      <c r="B75" t="s">
        <v>1207</v>
      </c>
      <c r="C75" t="s">
        <v>274</v>
      </c>
      <c r="D75" t="s">
        <v>427</v>
      </c>
      <c r="E75" t="s">
        <v>1045</v>
      </c>
      <c r="F75">
        <v>0</v>
      </c>
      <c r="G75" t="s">
        <v>1088</v>
      </c>
      <c r="H75" t="s">
        <v>446</v>
      </c>
      <c r="I75" t="s">
        <v>446</v>
      </c>
      <c r="J75" t="s">
        <v>1110</v>
      </c>
      <c r="K75" t="s">
        <v>446</v>
      </c>
      <c r="L75" t="s">
        <v>446</v>
      </c>
      <c r="M75" t="s">
        <v>446</v>
      </c>
      <c r="N75" t="s">
        <v>446</v>
      </c>
      <c r="O75" t="s">
        <v>446</v>
      </c>
      <c r="P75" t="s">
        <v>446</v>
      </c>
      <c r="Q75" t="b">
        <v>1</v>
      </c>
      <c r="R75" t="b">
        <v>0</v>
      </c>
      <c r="S75" t="s">
        <v>1090</v>
      </c>
      <c r="T75" t="s">
        <v>1159</v>
      </c>
      <c r="U75" t="s">
        <v>1092</v>
      </c>
      <c r="V75" t="s">
        <v>1093</v>
      </c>
      <c r="W75" t="s">
        <v>1088</v>
      </c>
      <c r="X75" t="s">
        <v>1094</v>
      </c>
    </row>
    <row r="76" spans="1:24" x14ac:dyDescent="0.25">
      <c r="A76" t="s">
        <v>42</v>
      </c>
      <c r="B76" t="s">
        <v>1208</v>
      </c>
      <c r="C76" t="s">
        <v>274</v>
      </c>
      <c r="D76" t="s">
        <v>427</v>
      </c>
      <c r="E76" t="s">
        <v>1051</v>
      </c>
      <c r="F76">
        <v>0</v>
      </c>
      <c r="G76" t="s">
        <v>1088</v>
      </c>
      <c r="H76" t="s">
        <v>446</v>
      </c>
      <c r="I76" t="s">
        <v>446</v>
      </c>
      <c r="J76" t="s">
        <v>1110</v>
      </c>
      <c r="K76" t="s">
        <v>446</v>
      </c>
      <c r="L76" t="s">
        <v>446</v>
      </c>
      <c r="M76" t="s">
        <v>446</v>
      </c>
      <c r="N76" t="s">
        <v>446</v>
      </c>
      <c r="O76" t="s">
        <v>446</v>
      </c>
      <c r="P76" t="s">
        <v>446</v>
      </c>
      <c r="Q76" t="b">
        <v>1</v>
      </c>
      <c r="R76" t="b">
        <v>0</v>
      </c>
      <c r="S76" t="s">
        <v>1090</v>
      </c>
      <c r="T76" t="s">
        <v>1159</v>
      </c>
      <c r="U76" t="s">
        <v>1092</v>
      </c>
      <c r="V76" t="s">
        <v>1093</v>
      </c>
      <c r="W76" t="s">
        <v>1088</v>
      </c>
      <c r="X76" t="s">
        <v>1094</v>
      </c>
    </row>
    <row r="77" spans="1:24" x14ac:dyDescent="0.25">
      <c r="A77" t="s">
        <v>42</v>
      </c>
      <c r="B77" t="s">
        <v>1209</v>
      </c>
      <c r="C77" t="s">
        <v>276</v>
      </c>
      <c r="D77" t="s">
        <v>427</v>
      </c>
      <c r="E77" t="s">
        <v>978</v>
      </c>
      <c r="F77">
        <v>0</v>
      </c>
      <c r="G77" t="s">
        <v>1088</v>
      </c>
      <c r="H77" t="s">
        <v>446</v>
      </c>
      <c r="I77" t="s">
        <v>446</v>
      </c>
      <c r="J77" t="s">
        <v>1110</v>
      </c>
      <c r="K77" t="s">
        <v>446</v>
      </c>
      <c r="L77" t="s">
        <v>446</v>
      </c>
      <c r="M77" t="s">
        <v>446</v>
      </c>
      <c r="N77" t="s">
        <v>446</v>
      </c>
      <c r="O77" t="s">
        <v>446</v>
      </c>
      <c r="P77" t="s">
        <v>446</v>
      </c>
      <c r="Q77" t="b">
        <v>1</v>
      </c>
      <c r="R77" t="b">
        <v>0</v>
      </c>
      <c r="S77" t="s">
        <v>1090</v>
      </c>
      <c r="T77" t="s">
        <v>1159</v>
      </c>
      <c r="U77" t="s">
        <v>1092</v>
      </c>
      <c r="V77" t="s">
        <v>1093</v>
      </c>
      <c r="W77" t="s">
        <v>1088</v>
      </c>
      <c r="X77" t="s">
        <v>1094</v>
      </c>
    </row>
    <row r="78" spans="1:24" x14ac:dyDescent="0.25">
      <c r="A78" t="s">
        <v>42</v>
      </c>
      <c r="B78" t="s">
        <v>1210</v>
      </c>
      <c r="C78" t="s">
        <v>276</v>
      </c>
      <c r="D78" t="s">
        <v>427</v>
      </c>
      <c r="E78" t="s">
        <v>986</v>
      </c>
      <c r="F78">
        <v>0</v>
      </c>
      <c r="G78" t="s">
        <v>1088</v>
      </c>
      <c r="H78" t="s">
        <v>446</v>
      </c>
      <c r="I78" t="s">
        <v>446</v>
      </c>
      <c r="J78" t="s">
        <v>1110</v>
      </c>
      <c r="K78" t="s">
        <v>446</v>
      </c>
      <c r="L78" t="s">
        <v>446</v>
      </c>
      <c r="M78" t="s">
        <v>446</v>
      </c>
      <c r="N78" t="s">
        <v>446</v>
      </c>
      <c r="O78" t="s">
        <v>446</v>
      </c>
      <c r="P78" t="s">
        <v>446</v>
      </c>
      <c r="Q78" t="b">
        <v>1</v>
      </c>
      <c r="R78" t="b">
        <v>0</v>
      </c>
      <c r="S78" t="s">
        <v>1090</v>
      </c>
      <c r="T78" t="s">
        <v>1159</v>
      </c>
      <c r="U78" t="s">
        <v>1092</v>
      </c>
      <c r="V78" t="s">
        <v>1093</v>
      </c>
      <c r="W78" t="s">
        <v>1088</v>
      </c>
      <c r="X78" t="s">
        <v>1094</v>
      </c>
    </row>
    <row r="79" spans="1:24" x14ac:dyDescent="0.25">
      <c r="A79" t="s">
        <v>42</v>
      </c>
      <c r="B79" t="s">
        <v>1211</v>
      </c>
      <c r="C79" t="s">
        <v>276</v>
      </c>
      <c r="D79" t="s">
        <v>427</v>
      </c>
      <c r="E79" t="s">
        <v>992</v>
      </c>
      <c r="F79">
        <v>0</v>
      </c>
      <c r="G79" t="s">
        <v>1088</v>
      </c>
      <c r="H79" t="s">
        <v>446</v>
      </c>
      <c r="I79" t="s">
        <v>446</v>
      </c>
      <c r="J79" t="s">
        <v>1110</v>
      </c>
      <c r="K79" t="s">
        <v>446</v>
      </c>
      <c r="L79" t="s">
        <v>446</v>
      </c>
      <c r="M79" t="s">
        <v>446</v>
      </c>
      <c r="N79" t="s">
        <v>446</v>
      </c>
      <c r="O79" t="s">
        <v>446</v>
      </c>
      <c r="P79" t="s">
        <v>446</v>
      </c>
      <c r="Q79" t="b">
        <v>1</v>
      </c>
      <c r="R79" t="b">
        <v>0</v>
      </c>
      <c r="S79" t="s">
        <v>1090</v>
      </c>
      <c r="T79" t="s">
        <v>1159</v>
      </c>
      <c r="U79" t="s">
        <v>1092</v>
      </c>
      <c r="V79" t="s">
        <v>1093</v>
      </c>
      <c r="W79" t="s">
        <v>1088</v>
      </c>
      <c r="X79" t="s">
        <v>1094</v>
      </c>
    </row>
    <row r="80" spans="1:24" x14ac:dyDescent="0.25">
      <c r="A80" t="s">
        <v>42</v>
      </c>
      <c r="B80" t="s">
        <v>1212</v>
      </c>
      <c r="C80" t="s">
        <v>276</v>
      </c>
      <c r="D80" t="s">
        <v>427</v>
      </c>
      <c r="E80" t="s">
        <v>998</v>
      </c>
      <c r="F80">
        <v>0</v>
      </c>
      <c r="G80" t="s">
        <v>1088</v>
      </c>
      <c r="H80" t="s">
        <v>446</v>
      </c>
      <c r="I80" t="s">
        <v>446</v>
      </c>
      <c r="J80" t="s">
        <v>1110</v>
      </c>
      <c r="K80" t="s">
        <v>446</v>
      </c>
      <c r="L80" t="s">
        <v>446</v>
      </c>
      <c r="M80" t="s">
        <v>446</v>
      </c>
      <c r="N80" t="s">
        <v>446</v>
      </c>
      <c r="O80" t="s">
        <v>446</v>
      </c>
      <c r="P80" t="s">
        <v>446</v>
      </c>
      <c r="Q80" t="b">
        <v>1</v>
      </c>
      <c r="R80" t="b">
        <v>0</v>
      </c>
      <c r="S80" t="s">
        <v>1090</v>
      </c>
      <c r="T80" t="s">
        <v>1159</v>
      </c>
      <c r="U80" t="s">
        <v>1092</v>
      </c>
      <c r="V80" t="s">
        <v>1093</v>
      </c>
      <c r="W80" t="s">
        <v>1088</v>
      </c>
      <c r="X80" t="s">
        <v>1094</v>
      </c>
    </row>
    <row r="81" spans="1:24" x14ac:dyDescent="0.25">
      <c r="A81" t="s">
        <v>42</v>
      </c>
      <c r="B81" t="s">
        <v>1213</v>
      </c>
      <c r="C81" t="s">
        <v>276</v>
      </c>
      <c r="D81" t="s">
        <v>427</v>
      </c>
      <c r="E81" t="s">
        <v>1006</v>
      </c>
      <c r="F81">
        <v>0</v>
      </c>
      <c r="G81" t="s">
        <v>1088</v>
      </c>
      <c r="H81" t="s">
        <v>446</v>
      </c>
      <c r="I81" t="s">
        <v>446</v>
      </c>
      <c r="J81" t="s">
        <v>1110</v>
      </c>
      <c r="K81" t="s">
        <v>446</v>
      </c>
      <c r="L81" t="s">
        <v>446</v>
      </c>
      <c r="M81" t="s">
        <v>446</v>
      </c>
      <c r="N81" t="s">
        <v>446</v>
      </c>
      <c r="O81" t="s">
        <v>446</v>
      </c>
      <c r="P81" t="s">
        <v>446</v>
      </c>
      <c r="Q81" t="b">
        <v>1</v>
      </c>
      <c r="R81" t="b">
        <v>0</v>
      </c>
      <c r="S81" t="s">
        <v>1090</v>
      </c>
      <c r="T81" t="s">
        <v>1159</v>
      </c>
      <c r="U81" t="s">
        <v>1092</v>
      </c>
      <c r="V81" t="s">
        <v>1093</v>
      </c>
      <c r="W81" t="s">
        <v>1088</v>
      </c>
      <c r="X81" t="s">
        <v>1094</v>
      </c>
    </row>
    <row r="82" spans="1:24" x14ac:dyDescent="0.25">
      <c r="A82" t="s">
        <v>42</v>
      </c>
      <c r="B82" t="s">
        <v>1214</v>
      </c>
      <c r="C82" t="s">
        <v>276</v>
      </c>
      <c r="D82" t="s">
        <v>427</v>
      </c>
      <c r="E82" t="s">
        <v>1013</v>
      </c>
      <c r="F82">
        <v>0</v>
      </c>
      <c r="G82" t="s">
        <v>1088</v>
      </c>
      <c r="H82" t="s">
        <v>446</v>
      </c>
      <c r="I82" t="s">
        <v>446</v>
      </c>
      <c r="J82" t="s">
        <v>1110</v>
      </c>
      <c r="K82" t="s">
        <v>446</v>
      </c>
      <c r="L82" t="s">
        <v>446</v>
      </c>
      <c r="M82" t="s">
        <v>446</v>
      </c>
      <c r="N82" t="s">
        <v>446</v>
      </c>
      <c r="O82" t="s">
        <v>446</v>
      </c>
      <c r="P82" t="s">
        <v>446</v>
      </c>
      <c r="Q82" t="b">
        <v>1</v>
      </c>
      <c r="R82" t="b">
        <v>0</v>
      </c>
      <c r="S82" t="s">
        <v>1090</v>
      </c>
      <c r="T82" t="s">
        <v>1159</v>
      </c>
      <c r="U82" t="s">
        <v>1092</v>
      </c>
      <c r="V82" t="s">
        <v>1093</v>
      </c>
      <c r="W82" t="s">
        <v>1088</v>
      </c>
      <c r="X82" t="s">
        <v>1094</v>
      </c>
    </row>
    <row r="83" spans="1:24" x14ac:dyDescent="0.25">
      <c r="A83" t="s">
        <v>42</v>
      </c>
      <c r="B83" t="s">
        <v>1215</v>
      </c>
      <c r="C83" t="s">
        <v>276</v>
      </c>
      <c r="D83" t="s">
        <v>427</v>
      </c>
      <c r="E83" t="s">
        <v>1018</v>
      </c>
      <c r="F83">
        <v>0</v>
      </c>
      <c r="G83" t="s">
        <v>1088</v>
      </c>
      <c r="H83" t="s">
        <v>446</v>
      </c>
      <c r="I83" t="s">
        <v>446</v>
      </c>
      <c r="J83" t="s">
        <v>1110</v>
      </c>
      <c r="K83" t="s">
        <v>446</v>
      </c>
      <c r="L83" t="s">
        <v>446</v>
      </c>
      <c r="M83" t="s">
        <v>446</v>
      </c>
      <c r="N83" t="s">
        <v>446</v>
      </c>
      <c r="O83" t="s">
        <v>446</v>
      </c>
      <c r="P83" t="s">
        <v>446</v>
      </c>
      <c r="Q83" t="b">
        <v>1</v>
      </c>
      <c r="R83" t="b">
        <v>0</v>
      </c>
      <c r="S83" t="s">
        <v>1090</v>
      </c>
      <c r="T83" t="s">
        <v>1159</v>
      </c>
      <c r="U83" t="s">
        <v>1092</v>
      </c>
      <c r="V83" t="s">
        <v>1093</v>
      </c>
      <c r="W83" t="s">
        <v>1088</v>
      </c>
      <c r="X83" t="s">
        <v>1094</v>
      </c>
    </row>
    <row r="84" spans="1:24" x14ac:dyDescent="0.25">
      <c r="A84" t="s">
        <v>42</v>
      </c>
      <c r="B84" t="s">
        <v>1216</v>
      </c>
      <c r="C84" t="s">
        <v>276</v>
      </c>
      <c r="D84" t="s">
        <v>427</v>
      </c>
      <c r="E84" t="s">
        <v>1023</v>
      </c>
      <c r="F84">
        <v>0</v>
      </c>
      <c r="G84" t="s">
        <v>1088</v>
      </c>
      <c r="H84" t="s">
        <v>446</v>
      </c>
      <c r="I84" t="s">
        <v>446</v>
      </c>
      <c r="J84" t="s">
        <v>1110</v>
      </c>
      <c r="K84" t="s">
        <v>446</v>
      </c>
      <c r="L84" t="s">
        <v>446</v>
      </c>
      <c r="M84" t="s">
        <v>446</v>
      </c>
      <c r="N84" t="s">
        <v>446</v>
      </c>
      <c r="O84" t="s">
        <v>446</v>
      </c>
      <c r="P84" t="s">
        <v>446</v>
      </c>
      <c r="Q84" t="b">
        <v>1</v>
      </c>
      <c r="R84" t="b">
        <v>0</v>
      </c>
      <c r="S84" t="s">
        <v>1090</v>
      </c>
      <c r="T84" t="s">
        <v>1159</v>
      </c>
      <c r="U84" t="s">
        <v>1092</v>
      </c>
      <c r="V84" t="s">
        <v>1093</v>
      </c>
      <c r="W84" t="s">
        <v>1088</v>
      </c>
      <c r="X84" t="s">
        <v>1094</v>
      </c>
    </row>
    <row r="85" spans="1:24" x14ac:dyDescent="0.25">
      <c r="A85" t="s">
        <v>42</v>
      </c>
      <c r="B85" t="s">
        <v>1217</v>
      </c>
      <c r="C85" t="s">
        <v>276</v>
      </c>
      <c r="D85" t="s">
        <v>427</v>
      </c>
      <c r="E85" t="s">
        <v>1029</v>
      </c>
      <c r="F85">
        <v>0</v>
      </c>
      <c r="G85" t="s">
        <v>1088</v>
      </c>
      <c r="H85" t="s">
        <v>446</v>
      </c>
      <c r="I85" t="s">
        <v>446</v>
      </c>
      <c r="J85" t="s">
        <v>1110</v>
      </c>
      <c r="K85" t="s">
        <v>446</v>
      </c>
      <c r="L85" t="s">
        <v>446</v>
      </c>
      <c r="M85" t="s">
        <v>446</v>
      </c>
      <c r="N85" t="s">
        <v>446</v>
      </c>
      <c r="O85" t="s">
        <v>446</v>
      </c>
      <c r="P85" t="s">
        <v>446</v>
      </c>
      <c r="Q85" t="b">
        <v>1</v>
      </c>
      <c r="R85" t="b">
        <v>0</v>
      </c>
      <c r="S85" t="s">
        <v>1090</v>
      </c>
      <c r="T85" t="s">
        <v>1159</v>
      </c>
      <c r="U85" t="s">
        <v>1092</v>
      </c>
      <c r="V85" t="s">
        <v>1093</v>
      </c>
      <c r="W85" t="s">
        <v>1088</v>
      </c>
      <c r="X85" t="s">
        <v>1094</v>
      </c>
    </row>
    <row r="86" spans="1:24" x14ac:dyDescent="0.25">
      <c r="A86" t="s">
        <v>42</v>
      </c>
      <c r="B86" t="s">
        <v>1218</v>
      </c>
      <c r="C86" t="s">
        <v>276</v>
      </c>
      <c r="D86" t="s">
        <v>427</v>
      </c>
      <c r="E86" t="s">
        <v>1035</v>
      </c>
      <c r="F86">
        <v>0</v>
      </c>
      <c r="G86" t="s">
        <v>1088</v>
      </c>
      <c r="H86" t="s">
        <v>446</v>
      </c>
      <c r="I86" t="s">
        <v>446</v>
      </c>
      <c r="J86" t="s">
        <v>1110</v>
      </c>
      <c r="K86" t="s">
        <v>446</v>
      </c>
      <c r="L86" t="s">
        <v>446</v>
      </c>
      <c r="M86" t="s">
        <v>446</v>
      </c>
      <c r="N86" t="s">
        <v>446</v>
      </c>
      <c r="O86" t="s">
        <v>446</v>
      </c>
      <c r="P86" t="s">
        <v>446</v>
      </c>
      <c r="Q86" t="b">
        <v>1</v>
      </c>
      <c r="R86" t="b">
        <v>0</v>
      </c>
      <c r="S86" t="s">
        <v>1090</v>
      </c>
      <c r="T86" t="s">
        <v>1159</v>
      </c>
      <c r="U86" t="s">
        <v>1092</v>
      </c>
      <c r="V86" t="s">
        <v>1093</v>
      </c>
      <c r="W86" t="s">
        <v>1088</v>
      </c>
      <c r="X86" t="s">
        <v>1094</v>
      </c>
    </row>
    <row r="87" spans="1:24" x14ac:dyDescent="0.25">
      <c r="A87" t="s">
        <v>42</v>
      </c>
      <c r="B87" t="s">
        <v>1219</v>
      </c>
      <c r="C87" t="s">
        <v>276</v>
      </c>
      <c r="D87" t="s">
        <v>427</v>
      </c>
      <c r="E87" t="s">
        <v>1040</v>
      </c>
      <c r="F87">
        <v>0</v>
      </c>
      <c r="G87" t="s">
        <v>1088</v>
      </c>
      <c r="H87" t="s">
        <v>446</v>
      </c>
      <c r="I87" t="s">
        <v>446</v>
      </c>
      <c r="J87" t="s">
        <v>1110</v>
      </c>
      <c r="K87" t="s">
        <v>446</v>
      </c>
      <c r="L87" t="s">
        <v>446</v>
      </c>
      <c r="M87" t="s">
        <v>446</v>
      </c>
      <c r="N87" t="s">
        <v>446</v>
      </c>
      <c r="O87" t="s">
        <v>446</v>
      </c>
      <c r="P87" t="s">
        <v>446</v>
      </c>
      <c r="Q87" t="b">
        <v>1</v>
      </c>
      <c r="R87" t="b">
        <v>0</v>
      </c>
      <c r="S87" t="s">
        <v>1090</v>
      </c>
      <c r="T87" t="s">
        <v>1159</v>
      </c>
      <c r="U87" t="s">
        <v>1092</v>
      </c>
      <c r="V87" t="s">
        <v>1093</v>
      </c>
      <c r="W87" t="s">
        <v>1088</v>
      </c>
      <c r="X87" t="s">
        <v>1094</v>
      </c>
    </row>
    <row r="88" spans="1:24" x14ac:dyDescent="0.25">
      <c r="A88" t="s">
        <v>42</v>
      </c>
      <c r="B88" t="s">
        <v>1220</v>
      </c>
      <c r="C88" t="s">
        <v>276</v>
      </c>
      <c r="D88" t="s">
        <v>427</v>
      </c>
      <c r="E88" t="s">
        <v>1045</v>
      </c>
      <c r="F88">
        <v>0</v>
      </c>
      <c r="G88" t="s">
        <v>1088</v>
      </c>
      <c r="H88" t="s">
        <v>446</v>
      </c>
      <c r="I88" t="s">
        <v>446</v>
      </c>
      <c r="J88" t="s">
        <v>1110</v>
      </c>
      <c r="K88" t="s">
        <v>446</v>
      </c>
      <c r="L88" t="s">
        <v>446</v>
      </c>
      <c r="M88" t="s">
        <v>446</v>
      </c>
      <c r="N88" t="s">
        <v>446</v>
      </c>
      <c r="O88" t="s">
        <v>446</v>
      </c>
      <c r="P88" t="s">
        <v>446</v>
      </c>
      <c r="Q88" t="b">
        <v>1</v>
      </c>
      <c r="R88" t="b">
        <v>0</v>
      </c>
      <c r="S88" t="s">
        <v>1090</v>
      </c>
      <c r="T88" t="s">
        <v>1159</v>
      </c>
      <c r="U88" t="s">
        <v>1092</v>
      </c>
      <c r="V88" t="s">
        <v>1093</v>
      </c>
      <c r="W88" t="s">
        <v>1088</v>
      </c>
      <c r="X88" t="s">
        <v>1094</v>
      </c>
    </row>
    <row r="89" spans="1:24" x14ac:dyDescent="0.25">
      <c r="A89" t="s">
        <v>42</v>
      </c>
      <c r="B89" t="s">
        <v>1221</v>
      </c>
      <c r="C89" t="s">
        <v>276</v>
      </c>
      <c r="D89" t="s">
        <v>427</v>
      </c>
      <c r="E89" t="s">
        <v>1051</v>
      </c>
      <c r="F89">
        <v>0</v>
      </c>
      <c r="G89" t="s">
        <v>1088</v>
      </c>
      <c r="H89" t="s">
        <v>446</v>
      </c>
      <c r="I89" t="s">
        <v>446</v>
      </c>
      <c r="J89" t="s">
        <v>1110</v>
      </c>
      <c r="K89" t="s">
        <v>446</v>
      </c>
      <c r="L89" t="s">
        <v>446</v>
      </c>
      <c r="M89" t="s">
        <v>446</v>
      </c>
      <c r="N89" t="s">
        <v>446</v>
      </c>
      <c r="O89" t="s">
        <v>446</v>
      </c>
      <c r="P89" t="s">
        <v>446</v>
      </c>
      <c r="Q89" t="b">
        <v>1</v>
      </c>
      <c r="R89" t="b">
        <v>0</v>
      </c>
      <c r="S89" t="s">
        <v>1090</v>
      </c>
      <c r="T89" t="s">
        <v>1159</v>
      </c>
      <c r="U89" t="s">
        <v>1092</v>
      </c>
      <c r="V89" t="s">
        <v>1093</v>
      </c>
      <c r="W89" t="s">
        <v>1088</v>
      </c>
      <c r="X89" t="s">
        <v>1094</v>
      </c>
    </row>
    <row r="90" spans="1:24" x14ac:dyDescent="0.25">
      <c r="A90" t="s">
        <v>42</v>
      </c>
      <c r="B90" t="s">
        <v>1222</v>
      </c>
      <c r="C90" t="s">
        <v>277</v>
      </c>
      <c r="D90" t="s">
        <v>427</v>
      </c>
      <c r="E90" t="s">
        <v>978</v>
      </c>
      <c r="F90">
        <v>0</v>
      </c>
      <c r="G90" t="s">
        <v>1088</v>
      </c>
      <c r="H90" t="s">
        <v>446</v>
      </c>
      <c r="I90" t="s">
        <v>446</v>
      </c>
      <c r="J90" t="s">
        <v>1110</v>
      </c>
      <c r="K90" t="s">
        <v>446</v>
      </c>
      <c r="L90" t="s">
        <v>446</v>
      </c>
      <c r="M90" t="s">
        <v>446</v>
      </c>
      <c r="N90" t="s">
        <v>446</v>
      </c>
      <c r="O90" t="s">
        <v>446</v>
      </c>
      <c r="P90" t="s">
        <v>446</v>
      </c>
      <c r="Q90" t="b">
        <v>1</v>
      </c>
      <c r="R90" t="b">
        <v>0</v>
      </c>
      <c r="S90" t="s">
        <v>1090</v>
      </c>
      <c r="T90" t="s">
        <v>1223</v>
      </c>
      <c r="U90" t="s">
        <v>1092</v>
      </c>
      <c r="V90" t="s">
        <v>1093</v>
      </c>
      <c r="W90" t="s">
        <v>1088</v>
      </c>
      <c r="X90" t="s">
        <v>1094</v>
      </c>
    </row>
    <row r="91" spans="1:24" x14ac:dyDescent="0.25">
      <c r="A91" t="s">
        <v>42</v>
      </c>
      <c r="B91" t="s">
        <v>1224</v>
      </c>
      <c r="C91" t="s">
        <v>277</v>
      </c>
      <c r="D91" t="s">
        <v>427</v>
      </c>
      <c r="E91" t="s">
        <v>986</v>
      </c>
      <c r="F91">
        <v>0</v>
      </c>
      <c r="G91" t="s">
        <v>1088</v>
      </c>
      <c r="H91" t="s">
        <v>446</v>
      </c>
      <c r="I91" t="s">
        <v>446</v>
      </c>
      <c r="J91" t="s">
        <v>1110</v>
      </c>
      <c r="K91" t="s">
        <v>446</v>
      </c>
      <c r="L91" t="s">
        <v>446</v>
      </c>
      <c r="M91" t="s">
        <v>446</v>
      </c>
      <c r="N91" t="s">
        <v>446</v>
      </c>
      <c r="O91" t="s">
        <v>446</v>
      </c>
      <c r="P91" t="s">
        <v>446</v>
      </c>
      <c r="Q91" t="b">
        <v>1</v>
      </c>
      <c r="R91" t="b">
        <v>0</v>
      </c>
      <c r="S91" t="s">
        <v>1090</v>
      </c>
      <c r="T91" t="s">
        <v>1225</v>
      </c>
      <c r="U91" t="s">
        <v>1092</v>
      </c>
      <c r="V91" t="s">
        <v>1093</v>
      </c>
      <c r="W91" t="s">
        <v>1088</v>
      </c>
      <c r="X91" t="s">
        <v>1094</v>
      </c>
    </row>
    <row r="92" spans="1:24" x14ac:dyDescent="0.25">
      <c r="A92" t="s">
        <v>42</v>
      </c>
      <c r="B92" t="s">
        <v>1226</v>
      </c>
      <c r="C92" t="s">
        <v>277</v>
      </c>
      <c r="D92" t="s">
        <v>427</v>
      </c>
      <c r="E92" t="s">
        <v>992</v>
      </c>
      <c r="F92">
        <v>0</v>
      </c>
      <c r="G92" t="s">
        <v>1088</v>
      </c>
      <c r="H92" t="s">
        <v>446</v>
      </c>
      <c r="I92" t="s">
        <v>446</v>
      </c>
      <c r="J92" t="s">
        <v>1110</v>
      </c>
      <c r="K92" t="s">
        <v>446</v>
      </c>
      <c r="L92" t="s">
        <v>446</v>
      </c>
      <c r="M92" t="s">
        <v>446</v>
      </c>
      <c r="N92" t="s">
        <v>446</v>
      </c>
      <c r="O92" t="s">
        <v>446</v>
      </c>
      <c r="P92" t="s">
        <v>446</v>
      </c>
      <c r="Q92" t="b">
        <v>1</v>
      </c>
      <c r="R92" t="b">
        <v>0</v>
      </c>
      <c r="S92" t="s">
        <v>1090</v>
      </c>
      <c r="T92" t="s">
        <v>1227</v>
      </c>
      <c r="U92" t="s">
        <v>1092</v>
      </c>
      <c r="V92" t="s">
        <v>1093</v>
      </c>
      <c r="W92" t="s">
        <v>1088</v>
      </c>
      <c r="X92" t="s">
        <v>1094</v>
      </c>
    </row>
    <row r="93" spans="1:24" x14ac:dyDescent="0.25">
      <c r="A93" t="s">
        <v>42</v>
      </c>
      <c r="B93" t="s">
        <v>1228</v>
      </c>
      <c r="C93" t="s">
        <v>277</v>
      </c>
      <c r="D93" t="s">
        <v>427</v>
      </c>
      <c r="E93" t="s">
        <v>1006</v>
      </c>
      <c r="F93">
        <v>0</v>
      </c>
      <c r="G93" t="s">
        <v>1088</v>
      </c>
      <c r="H93" t="s">
        <v>446</v>
      </c>
      <c r="I93" t="s">
        <v>446</v>
      </c>
      <c r="J93" t="s">
        <v>1110</v>
      </c>
      <c r="K93" t="s">
        <v>446</v>
      </c>
      <c r="L93" t="s">
        <v>446</v>
      </c>
      <c r="M93" t="s">
        <v>446</v>
      </c>
      <c r="N93" t="s">
        <v>446</v>
      </c>
      <c r="O93" t="s">
        <v>446</v>
      </c>
      <c r="P93" t="s">
        <v>446</v>
      </c>
      <c r="Q93" t="b">
        <v>1</v>
      </c>
      <c r="R93" t="b">
        <v>0</v>
      </c>
      <c r="S93" t="s">
        <v>1090</v>
      </c>
      <c r="T93" t="s">
        <v>1229</v>
      </c>
      <c r="U93" t="s">
        <v>1092</v>
      </c>
      <c r="V93" t="s">
        <v>1093</v>
      </c>
      <c r="W93" t="s">
        <v>1088</v>
      </c>
      <c r="X93" t="s">
        <v>1094</v>
      </c>
    </row>
    <row r="94" spans="1:24" x14ac:dyDescent="0.25">
      <c r="A94" t="s">
        <v>42</v>
      </c>
      <c r="B94" t="s">
        <v>1230</v>
      </c>
      <c r="C94" t="s">
        <v>277</v>
      </c>
      <c r="D94" t="s">
        <v>427</v>
      </c>
      <c r="E94" t="s">
        <v>1013</v>
      </c>
      <c r="F94">
        <v>0</v>
      </c>
      <c r="G94" t="s">
        <v>1088</v>
      </c>
      <c r="H94" t="s">
        <v>446</v>
      </c>
      <c r="I94" t="s">
        <v>446</v>
      </c>
      <c r="J94" t="s">
        <v>1110</v>
      </c>
      <c r="K94" t="s">
        <v>446</v>
      </c>
      <c r="L94" t="s">
        <v>446</v>
      </c>
      <c r="M94" t="s">
        <v>446</v>
      </c>
      <c r="N94" t="s">
        <v>446</v>
      </c>
      <c r="O94" t="s">
        <v>446</v>
      </c>
      <c r="P94" t="s">
        <v>446</v>
      </c>
      <c r="Q94" t="b">
        <v>1</v>
      </c>
      <c r="R94" t="b">
        <v>0</v>
      </c>
      <c r="S94" t="s">
        <v>1090</v>
      </c>
      <c r="T94" t="s">
        <v>1231</v>
      </c>
      <c r="U94" t="s">
        <v>1092</v>
      </c>
      <c r="V94" t="s">
        <v>1093</v>
      </c>
      <c r="W94" t="s">
        <v>1088</v>
      </c>
      <c r="X94" t="s">
        <v>1094</v>
      </c>
    </row>
    <row r="95" spans="1:24" x14ac:dyDescent="0.25">
      <c r="A95" t="s">
        <v>42</v>
      </c>
      <c r="B95" t="s">
        <v>1232</v>
      </c>
      <c r="C95" t="s">
        <v>277</v>
      </c>
      <c r="D95" t="s">
        <v>427</v>
      </c>
      <c r="E95" t="s">
        <v>1018</v>
      </c>
      <c r="F95">
        <v>0</v>
      </c>
      <c r="G95" t="s">
        <v>1088</v>
      </c>
      <c r="H95" t="s">
        <v>446</v>
      </c>
      <c r="I95" t="s">
        <v>446</v>
      </c>
      <c r="J95" t="s">
        <v>1110</v>
      </c>
      <c r="K95" t="s">
        <v>446</v>
      </c>
      <c r="L95" t="s">
        <v>446</v>
      </c>
      <c r="M95" t="s">
        <v>446</v>
      </c>
      <c r="N95" t="s">
        <v>446</v>
      </c>
      <c r="O95" t="s">
        <v>446</v>
      </c>
      <c r="P95" t="s">
        <v>446</v>
      </c>
      <c r="Q95" t="b">
        <v>1</v>
      </c>
      <c r="R95" t="b">
        <v>0</v>
      </c>
      <c r="S95" t="s">
        <v>1090</v>
      </c>
      <c r="T95" t="s">
        <v>1233</v>
      </c>
      <c r="U95" t="s">
        <v>1092</v>
      </c>
      <c r="V95" t="s">
        <v>1093</v>
      </c>
      <c r="W95" t="s">
        <v>1088</v>
      </c>
      <c r="X95" t="s">
        <v>1094</v>
      </c>
    </row>
    <row r="96" spans="1:24" x14ac:dyDescent="0.25">
      <c r="A96" t="s">
        <v>42</v>
      </c>
      <c r="B96" t="s">
        <v>1234</v>
      </c>
      <c r="C96" t="s">
        <v>277</v>
      </c>
      <c r="D96" t="s">
        <v>427</v>
      </c>
      <c r="E96" t="s">
        <v>1023</v>
      </c>
      <c r="F96">
        <v>0</v>
      </c>
      <c r="G96" t="s">
        <v>1088</v>
      </c>
      <c r="H96" t="s">
        <v>446</v>
      </c>
      <c r="I96" t="s">
        <v>446</v>
      </c>
      <c r="J96" t="s">
        <v>1110</v>
      </c>
      <c r="K96" t="s">
        <v>446</v>
      </c>
      <c r="L96" t="s">
        <v>446</v>
      </c>
      <c r="M96" t="s">
        <v>446</v>
      </c>
      <c r="N96" t="s">
        <v>446</v>
      </c>
      <c r="O96" t="s">
        <v>446</v>
      </c>
      <c r="P96" t="s">
        <v>446</v>
      </c>
      <c r="Q96" t="b">
        <v>1</v>
      </c>
      <c r="R96" t="b">
        <v>0</v>
      </c>
      <c r="S96" t="s">
        <v>1090</v>
      </c>
      <c r="T96" t="s">
        <v>1235</v>
      </c>
      <c r="U96" t="s">
        <v>1092</v>
      </c>
      <c r="V96" t="s">
        <v>1093</v>
      </c>
      <c r="W96" t="s">
        <v>1088</v>
      </c>
      <c r="X96" t="s">
        <v>1094</v>
      </c>
    </row>
    <row r="97" spans="1:24" x14ac:dyDescent="0.25">
      <c r="A97" t="s">
        <v>42</v>
      </c>
      <c r="B97" t="s">
        <v>1236</v>
      </c>
      <c r="C97" t="s">
        <v>277</v>
      </c>
      <c r="D97" t="s">
        <v>427</v>
      </c>
      <c r="E97" t="s">
        <v>1029</v>
      </c>
      <c r="F97">
        <v>0</v>
      </c>
      <c r="G97" t="s">
        <v>1088</v>
      </c>
      <c r="H97" t="s">
        <v>446</v>
      </c>
      <c r="I97" t="s">
        <v>446</v>
      </c>
      <c r="J97" t="s">
        <v>1110</v>
      </c>
      <c r="K97" t="s">
        <v>446</v>
      </c>
      <c r="L97" t="s">
        <v>446</v>
      </c>
      <c r="M97" t="s">
        <v>446</v>
      </c>
      <c r="N97" t="s">
        <v>446</v>
      </c>
      <c r="O97" t="s">
        <v>446</v>
      </c>
      <c r="P97" t="s">
        <v>446</v>
      </c>
      <c r="Q97" t="b">
        <v>1</v>
      </c>
      <c r="R97" t="b">
        <v>0</v>
      </c>
      <c r="S97" t="s">
        <v>1090</v>
      </c>
      <c r="T97" t="s">
        <v>1237</v>
      </c>
      <c r="U97" t="s">
        <v>1092</v>
      </c>
      <c r="V97" t="s">
        <v>1093</v>
      </c>
      <c r="W97" t="s">
        <v>1088</v>
      </c>
      <c r="X97" t="s">
        <v>1094</v>
      </c>
    </row>
    <row r="98" spans="1:24" x14ac:dyDescent="0.25">
      <c r="A98" t="s">
        <v>42</v>
      </c>
      <c r="B98" t="s">
        <v>1238</v>
      </c>
      <c r="C98" t="s">
        <v>277</v>
      </c>
      <c r="D98" t="s">
        <v>427</v>
      </c>
      <c r="E98" t="s">
        <v>1035</v>
      </c>
      <c r="F98">
        <v>0</v>
      </c>
      <c r="G98" t="s">
        <v>1088</v>
      </c>
      <c r="H98" t="s">
        <v>446</v>
      </c>
      <c r="I98" t="s">
        <v>446</v>
      </c>
      <c r="J98" t="s">
        <v>1110</v>
      </c>
      <c r="K98" t="s">
        <v>446</v>
      </c>
      <c r="L98" t="s">
        <v>446</v>
      </c>
      <c r="M98" t="s">
        <v>446</v>
      </c>
      <c r="N98" t="s">
        <v>446</v>
      </c>
      <c r="O98" t="s">
        <v>446</v>
      </c>
      <c r="P98" t="s">
        <v>446</v>
      </c>
      <c r="Q98" t="b">
        <v>1</v>
      </c>
      <c r="R98" t="b">
        <v>0</v>
      </c>
      <c r="S98" t="s">
        <v>1090</v>
      </c>
      <c r="T98" t="s">
        <v>1239</v>
      </c>
      <c r="U98" t="s">
        <v>1092</v>
      </c>
      <c r="V98" t="s">
        <v>1093</v>
      </c>
      <c r="W98" t="s">
        <v>1088</v>
      </c>
      <c r="X98" t="s">
        <v>1094</v>
      </c>
    </row>
    <row r="99" spans="1:24" x14ac:dyDescent="0.25">
      <c r="A99" t="s">
        <v>42</v>
      </c>
      <c r="B99" t="s">
        <v>1240</v>
      </c>
      <c r="C99" t="s">
        <v>277</v>
      </c>
      <c r="D99" t="s">
        <v>427</v>
      </c>
      <c r="E99" t="s">
        <v>1040</v>
      </c>
      <c r="F99">
        <v>0</v>
      </c>
      <c r="G99" t="s">
        <v>1088</v>
      </c>
      <c r="H99" t="s">
        <v>446</v>
      </c>
      <c r="I99" t="s">
        <v>446</v>
      </c>
      <c r="J99" t="s">
        <v>1110</v>
      </c>
      <c r="K99" t="s">
        <v>446</v>
      </c>
      <c r="L99" t="s">
        <v>446</v>
      </c>
      <c r="M99" t="s">
        <v>446</v>
      </c>
      <c r="N99" t="s">
        <v>446</v>
      </c>
      <c r="O99" t="s">
        <v>446</v>
      </c>
      <c r="P99" t="s">
        <v>446</v>
      </c>
      <c r="Q99" t="b">
        <v>1</v>
      </c>
      <c r="R99" t="b">
        <v>0</v>
      </c>
      <c r="S99" t="s">
        <v>1090</v>
      </c>
      <c r="T99" t="s">
        <v>1241</v>
      </c>
      <c r="U99" t="s">
        <v>1092</v>
      </c>
      <c r="V99" t="s">
        <v>1093</v>
      </c>
      <c r="W99" t="s">
        <v>1088</v>
      </c>
      <c r="X99" t="s">
        <v>1094</v>
      </c>
    </row>
    <row r="100" spans="1:24" x14ac:dyDescent="0.25">
      <c r="A100" t="s">
        <v>42</v>
      </c>
      <c r="B100" t="s">
        <v>1242</v>
      </c>
      <c r="C100" t="s">
        <v>277</v>
      </c>
      <c r="D100" t="s">
        <v>427</v>
      </c>
      <c r="E100" t="s">
        <v>1045</v>
      </c>
      <c r="F100">
        <v>0</v>
      </c>
      <c r="G100" t="s">
        <v>1088</v>
      </c>
      <c r="H100" t="s">
        <v>446</v>
      </c>
      <c r="I100" t="s">
        <v>446</v>
      </c>
      <c r="J100" t="s">
        <v>1110</v>
      </c>
      <c r="K100" t="s">
        <v>446</v>
      </c>
      <c r="L100" t="s">
        <v>446</v>
      </c>
      <c r="M100" t="s">
        <v>446</v>
      </c>
      <c r="N100" t="s">
        <v>446</v>
      </c>
      <c r="O100" t="s">
        <v>446</v>
      </c>
      <c r="P100" t="s">
        <v>446</v>
      </c>
      <c r="Q100" t="b">
        <v>1</v>
      </c>
      <c r="R100" t="b">
        <v>0</v>
      </c>
      <c r="S100" t="s">
        <v>1090</v>
      </c>
      <c r="T100" t="s">
        <v>1243</v>
      </c>
      <c r="U100" t="s">
        <v>1092</v>
      </c>
      <c r="V100" t="s">
        <v>1093</v>
      </c>
      <c r="W100" t="s">
        <v>1088</v>
      </c>
      <c r="X100" t="s">
        <v>1094</v>
      </c>
    </row>
    <row r="101" spans="1:24" x14ac:dyDescent="0.25">
      <c r="A101" t="s">
        <v>42</v>
      </c>
      <c r="B101" t="s">
        <v>1244</v>
      </c>
      <c r="C101" t="s">
        <v>277</v>
      </c>
      <c r="D101" t="s">
        <v>427</v>
      </c>
      <c r="E101" t="s">
        <v>1051</v>
      </c>
      <c r="F101">
        <v>0</v>
      </c>
      <c r="G101" t="s">
        <v>1088</v>
      </c>
      <c r="H101" t="s">
        <v>446</v>
      </c>
      <c r="I101" t="s">
        <v>446</v>
      </c>
      <c r="J101" t="s">
        <v>1110</v>
      </c>
      <c r="K101" t="s">
        <v>446</v>
      </c>
      <c r="L101" t="s">
        <v>446</v>
      </c>
      <c r="M101" t="s">
        <v>446</v>
      </c>
      <c r="N101" t="s">
        <v>446</v>
      </c>
      <c r="O101" t="s">
        <v>446</v>
      </c>
      <c r="P101" t="s">
        <v>446</v>
      </c>
      <c r="Q101" t="b">
        <v>1</v>
      </c>
      <c r="R101" t="b">
        <v>0</v>
      </c>
      <c r="S101" t="s">
        <v>1090</v>
      </c>
      <c r="T101" t="s">
        <v>1245</v>
      </c>
      <c r="U101" t="s">
        <v>1092</v>
      </c>
      <c r="V101" t="s">
        <v>1093</v>
      </c>
      <c r="W101" t="s">
        <v>1088</v>
      </c>
      <c r="X101" t="s">
        <v>1094</v>
      </c>
    </row>
    <row r="102" spans="1:24" x14ac:dyDescent="0.25">
      <c r="A102" t="s">
        <v>42</v>
      </c>
      <c r="B102" t="s">
        <v>1246</v>
      </c>
      <c r="C102" t="s">
        <v>278</v>
      </c>
      <c r="D102" t="s">
        <v>427</v>
      </c>
      <c r="E102" t="s">
        <v>978</v>
      </c>
      <c r="F102">
        <v>0</v>
      </c>
      <c r="G102" t="s">
        <v>1088</v>
      </c>
      <c r="H102" t="s">
        <v>446</v>
      </c>
      <c r="I102" t="s">
        <v>446</v>
      </c>
      <c r="J102" t="s">
        <v>1110</v>
      </c>
      <c r="K102" t="s">
        <v>446</v>
      </c>
      <c r="L102" t="s">
        <v>446</v>
      </c>
      <c r="M102" t="s">
        <v>446</v>
      </c>
      <c r="N102" t="s">
        <v>446</v>
      </c>
      <c r="O102" t="s">
        <v>446</v>
      </c>
      <c r="P102" t="s">
        <v>446</v>
      </c>
      <c r="Q102" t="b">
        <v>1</v>
      </c>
      <c r="R102" t="b">
        <v>0</v>
      </c>
      <c r="S102" t="s">
        <v>1090</v>
      </c>
      <c r="T102" t="s">
        <v>1159</v>
      </c>
      <c r="U102" t="s">
        <v>1092</v>
      </c>
      <c r="V102" t="s">
        <v>1093</v>
      </c>
      <c r="W102" t="s">
        <v>1088</v>
      </c>
      <c r="X102" t="s">
        <v>1094</v>
      </c>
    </row>
    <row r="103" spans="1:24" x14ac:dyDescent="0.25">
      <c r="A103" t="s">
        <v>42</v>
      </c>
      <c r="B103" t="s">
        <v>1247</v>
      </c>
      <c r="C103" t="s">
        <v>278</v>
      </c>
      <c r="D103" t="s">
        <v>427</v>
      </c>
      <c r="E103" t="s">
        <v>986</v>
      </c>
      <c r="F103">
        <v>0</v>
      </c>
      <c r="G103" t="s">
        <v>1088</v>
      </c>
      <c r="H103" t="s">
        <v>446</v>
      </c>
      <c r="I103" t="s">
        <v>446</v>
      </c>
      <c r="J103" t="s">
        <v>1110</v>
      </c>
      <c r="K103" t="s">
        <v>446</v>
      </c>
      <c r="L103" t="s">
        <v>446</v>
      </c>
      <c r="M103" t="s">
        <v>446</v>
      </c>
      <c r="N103" t="s">
        <v>446</v>
      </c>
      <c r="O103" t="s">
        <v>446</v>
      </c>
      <c r="P103" t="s">
        <v>446</v>
      </c>
      <c r="Q103" t="b">
        <v>1</v>
      </c>
      <c r="R103" t="b">
        <v>0</v>
      </c>
      <c r="S103" t="s">
        <v>1090</v>
      </c>
      <c r="T103" t="s">
        <v>1159</v>
      </c>
      <c r="U103" t="s">
        <v>1092</v>
      </c>
      <c r="V103" t="s">
        <v>1093</v>
      </c>
      <c r="W103" t="s">
        <v>1088</v>
      </c>
      <c r="X103" t="s">
        <v>1094</v>
      </c>
    </row>
    <row r="104" spans="1:24" x14ac:dyDescent="0.25">
      <c r="A104" t="s">
        <v>42</v>
      </c>
      <c r="B104" t="s">
        <v>1248</v>
      </c>
      <c r="C104" t="s">
        <v>278</v>
      </c>
      <c r="D104" t="s">
        <v>427</v>
      </c>
      <c r="E104" t="s">
        <v>992</v>
      </c>
      <c r="F104">
        <v>0</v>
      </c>
      <c r="G104" t="s">
        <v>1088</v>
      </c>
      <c r="H104" t="s">
        <v>446</v>
      </c>
      <c r="I104" t="s">
        <v>446</v>
      </c>
      <c r="J104" t="s">
        <v>1110</v>
      </c>
      <c r="K104" t="s">
        <v>446</v>
      </c>
      <c r="L104" t="s">
        <v>446</v>
      </c>
      <c r="M104" t="s">
        <v>446</v>
      </c>
      <c r="N104" t="s">
        <v>446</v>
      </c>
      <c r="O104" t="s">
        <v>446</v>
      </c>
      <c r="P104" t="s">
        <v>446</v>
      </c>
      <c r="Q104" t="b">
        <v>1</v>
      </c>
      <c r="R104" t="b">
        <v>0</v>
      </c>
      <c r="S104" t="s">
        <v>1090</v>
      </c>
      <c r="T104" t="s">
        <v>1159</v>
      </c>
      <c r="U104" t="s">
        <v>1092</v>
      </c>
      <c r="V104" t="s">
        <v>1093</v>
      </c>
      <c r="W104" t="s">
        <v>1088</v>
      </c>
      <c r="X104" t="s">
        <v>1094</v>
      </c>
    </row>
    <row r="105" spans="1:24" x14ac:dyDescent="0.25">
      <c r="A105" t="s">
        <v>42</v>
      </c>
      <c r="B105" t="s">
        <v>1249</v>
      </c>
      <c r="C105" t="s">
        <v>278</v>
      </c>
      <c r="D105" t="s">
        <v>427</v>
      </c>
      <c r="E105" t="s">
        <v>998</v>
      </c>
      <c r="F105">
        <v>0</v>
      </c>
      <c r="G105" t="s">
        <v>1088</v>
      </c>
      <c r="H105" t="s">
        <v>446</v>
      </c>
      <c r="I105" t="s">
        <v>446</v>
      </c>
      <c r="J105" t="s">
        <v>1110</v>
      </c>
      <c r="K105" t="s">
        <v>446</v>
      </c>
      <c r="L105" t="s">
        <v>446</v>
      </c>
      <c r="M105" t="s">
        <v>446</v>
      </c>
      <c r="N105" t="s">
        <v>446</v>
      </c>
      <c r="O105" t="s">
        <v>446</v>
      </c>
      <c r="P105" t="s">
        <v>446</v>
      </c>
      <c r="Q105" t="b">
        <v>1</v>
      </c>
      <c r="R105" t="b">
        <v>0</v>
      </c>
      <c r="S105" t="s">
        <v>1090</v>
      </c>
      <c r="T105" t="s">
        <v>1159</v>
      </c>
      <c r="U105" t="s">
        <v>1092</v>
      </c>
      <c r="V105" t="s">
        <v>1093</v>
      </c>
      <c r="W105" t="s">
        <v>1088</v>
      </c>
      <c r="X105" t="s">
        <v>1094</v>
      </c>
    </row>
    <row r="106" spans="1:24" x14ac:dyDescent="0.25">
      <c r="A106" t="s">
        <v>42</v>
      </c>
      <c r="B106" t="s">
        <v>1250</v>
      </c>
      <c r="C106" t="s">
        <v>278</v>
      </c>
      <c r="D106" t="s">
        <v>427</v>
      </c>
      <c r="E106" t="s">
        <v>1006</v>
      </c>
      <c r="F106">
        <v>0</v>
      </c>
      <c r="G106" t="s">
        <v>1088</v>
      </c>
      <c r="H106" t="s">
        <v>446</v>
      </c>
      <c r="I106" t="s">
        <v>446</v>
      </c>
      <c r="J106" t="s">
        <v>1110</v>
      </c>
      <c r="K106" t="s">
        <v>446</v>
      </c>
      <c r="L106" t="s">
        <v>446</v>
      </c>
      <c r="M106" t="s">
        <v>446</v>
      </c>
      <c r="N106" t="s">
        <v>446</v>
      </c>
      <c r="O106" t="s">
        <v>446</v>
      </c>
      <c r="P106" t="s">
        <v>446</v>
      </c>
      <c r="Q106" t="b">
        <v>1</v>
      </c>
      <c r="R106" t="b">
        <v>0</v>
      </c>
      <c r="S106" t="s">
        <v>1090</v>
      </c>
      <c r="T106" t="s">
        <v>1159</v>
      </c>
      <c r="U106" t="s">
        <v>1092</v>
      </c>
      <c r="V106" t="s">
        <v>1093</v>
      </c>
      <c r="W106" t="s">
        <v>1088</v>
      </c>
      <c r="X106" t="s">
        <v>1094</v>
      </c>
    </row>
    <row r="107" spans="1:24" x14ac:dyDescent="0.25">
      <c r="A107" t="s">
        <v>42</v>
      </c>
      <c r="B107" t="s">
        <v>1251</v>
      </c>
      <c r="C107" t="s">
        <v>278</v>
      </c>
      <c r="D107" t="s">
        <v>427</v>
      </c>
      <c r="E107" t="s">
        <v>1013</v>
      </c>
      <c r="F107">
        <v>0</v>
      </c>
      <c r="G107" t="s">
        <v>1088</v>
      </c>
      <c r="H107" t="s">
        <v>446</v>
      </c>
      <c r="I107" t="s">
        <v>446</v>
      </c>
      <c r="J107" t="s">
        <v>1110</v>
      </c>
      <c r="K107" t="s">
        <v>446</v>
      </c>
      <c r="L107" t="s">
        <v>446</v>
      </c>
      <c r="M107" t="s">
        <v>446</v>
      </c>
      <c r="N107" t="s">
        <v>446</v>
      </c>
      <c r="O107" t="s">
        <v>446</v>
      </c>
      <c r="P107" t="s">
        <v>446</v>
      </c>
      <c r="Q107" t="b">
        <v>1</v>
      </c>
      <c r="R107" t="b">
        <v>0</v>
      </c>
      <c r="S107" t="s">
        <v>1090</v>
      </c>
      <c r="T107" t="s">
        <v>1159</v>
      </c>
      <c r="U107" t="s">
        <v>1092</v>
      </c>
      <c r="V107" t="s">
        <v>1093</v>
      </c>
      <c r="W107" t="s">
        <v>1088</v>
      </c>
      <c r="X107" t="s">
        <v>1094</v>
      </c>
    </row>
    <row r="108" spans="1:24" x14ac:dyDescent="0.25">
      <c r="A108" t="s">
        <v>42</v>
      </c>
      <c r="B108" t="s">
        <v>1252</v>
      </c>
      <c r="C108" t="s">
        <v>278</v>
      </c>
      <c r="D108" t="s">
        <v>427</v>
      </c>
      <c r="E108" t="s">
        <v>1018</v>
      </c>
      <c r="F108">
        <v>0</v>
      </c>
      <c r="G108" t="s">
        <v>1088</v>
      </c>
      <c r="H108" t="s">
        <v>446</v>
      </c>
      <c r="I108" t="s">
        <v>446</v>
      </c>
      <c r="J108" t="s">
        <v>1110</v>
      </c>
      <c r="K108" t="s">
        <v>446</v>
      </c>
      <c r="L108" t="s">
        <v>446</v>
      </c>
      <c r="M108" t="s">
        <v>446</v>
      </c>
      <c r="N108" t="s">
        <v>446</v>
      </c>
      <c r="O108" t="s">
        <v>446</v>
      </c>
      <c r="P108" t="s">
        <v>446</v>
      </c>
      <c r="Q108" t="b">
        <v>1</v>
      </c>
      <c r="R108" t="b">
        <v>0</v>
      </c>
      <c r="S108" t="s">
        <v>1090</v>
      </c>
      <c r="T108" t="s">
        <v>1159</v>
      </c>
      <c r="U108" t="s">
        <v>1092</v>
      </c>
      <c r="V108" t="s">
        <v>1093</v>
      </c>
      <c r="W108" t="s">
        <v>1088</v>
      </c>
      <c r="X108" t="s">
        <v>1094</v>
      </c>
    </row>
    <row r="109" spans="1:24" x14ac:dyDescent="0.25">
      <c r="A109" t="s">
        <v>42</v>
      </c>
      <c r="B109" t="s">
        <v>1253</v>
      </c>
      <c r="C109" t="s">
        <v>278</v>
      </c>
      <c r="D109" t="s">
        <v>427</v>
      </c>
      <c r="E109" t="s">
        <v>1023</v>
      </c>
      <c r="F109">
        <v>0</v>
      </c>
      <c r="G109" t="s">
        <v>1088</v>
      </c>
      <c r="H109" t="s">
        <v>446</v>
      </c>
      <c r="I109" t="s">
        <v>446</v>
      </c>
      <c r="J109" t="s">
        <v>1110</v>
      </c>
      <c r="K109" t="s">
        <v>446</v>
      </c>
      <c r="L109" t="s">
        <v>446</v>
      </c>
      <c r="M109" t="s">
        <v>446</v>
      </c>
      <c r="N109" t="s">
        <v>446</v>
      </c>
      <c r="O109" t="s">
        <v>446</v>
      </c>
      <c r="P109" t="s">
        <v>446</v>
      </c>
      <c r="Q109" t="b">
        <v>1</v>
      </c>
      <c r="R109" t="b">
        <v>0</v>
      </c>
      <c r="S109" t="s">
        <v>1090</v>
      </c>
      <c r="T109" t="s">
        <v>1159</v>
      </c>
      <c r="U109" t="s">
        <v>1092</v>
      </c>
      <c r="V109" t="s">
        <v>1093</v>
      </c>
      <c r="W109" t="s">
        <v>1088</v>
      </c>
      <c r="X109" t="s">
        <v>1094</v>
      </c>
    </row>
    <row r="110" spans="1:24" x14ac:dyDescent="0.25">
      <c r="A110" t="s">
        <v>42</v>
      </c>
      <c r="B110" t="s">
        <v>1254</v>
      </c>
      <c r="C110" t="s">
        <v>278</v>
      </c>
      <c r="D110" t="s">
        <v>427</v>
      </c>
      <c r="E110" t="s">
        <v>1029</v>
      </c>
      <c r="F110">
        <v>0</v>
      </c>
      <c r="G110" t="s">
        <v>1088</v>
      </c>
      <c r="H110" t="s">
        <v>446</v>
      </c>
      <c r="I110" t="s">
        <v>446</v>
      </c>
      <c r="J110" t="s">
        <v>1110</v>
      </c>
      <c r="K110" t="s">
        <v>446</v>
      </c>
      <c r="L110" t="s">
        <v>446</v>
      </c>
      <c r="M110" t="s">
        <v>446</v>
      </c>
      <c r="N110" t="s">
        <v>446</v>
      </c>
      <c r="O110" t="s">
        <v>446</v>
      </c>
      <c r="P110" t="s">
        <v>446</v>
      </c>
      <c r="Q110" t="b">
        <v>1</v>
      </c>
      <c r="R110" t="b">
        <v>0</v>
      </c>
      <c r="S110" t="s">
        <v>1090</v>
      </c>
      <c r="T110" t="s">
        <v>1159</v>
      </c>
      <c r="U110" t="s">
        <v>1092</v>
      </c>
      <c r="V110" t="s">
        <v>1093</v>
      </c>
      <c r="W110" t="s">
        <v>1088</v>
      </c>
      <c r="X110" t="s">
        <v>1094</v>
      </c>
    </row>
    <row r="111" spans="1:24" x14ac:dyDescent="0.25">
      <c r="A111" t="s">
        <v>42</v>
      </c>
      <c r="B111" t="s">
        <v>1255</v>
      </c>
      <c r="C111" t="s">
        <v>278</v>
      </c>
      <c r="D111" t="s">
        <v>427</v>
      </c>
      <c r="E111" t="s">
        <v>1035</v>
      </c>
      <c r="F111">
        <v>0</v>
      </c>
      <c r="G111" t="s">
        <v>1088</v>
      </c>
      <c r="H111" t="s">
        <v>446</v>
      </c>
      <c r="I111" t="s">
        <v>446</v>
      </c>
      <c r="J111" t="s">
        <v>1110</v>
      </c>
      <c r="K111" t="s">
        <v>446</v>
      </c>
      <c r="L111" t="s">
        <v>446</v>
      </c>
      <c r="M111" t="s">
        <v>446</v>
      </c>
      <c r="N111" t="s">
        <v>446</v>
      </c>
      <c r="O111" t="s">
        <v>446</v>
      </c>
      <c r="P111" t="s">
        <v>446</v>
      </c>
      <c r="Q111" t="b">
        <v>1</v>
      </c>
      <c r="R111" t="b">
        <v>0</v>
      </c>
      <c r="S111" t="s">
        <v>1090</v>
      </c>
      <c r="T111" t="s">
        <v>1159</v>
      </c>
      <c r="U111" t="s">
        <v>1092</v>
      </c>
      <c r="V111" t="s">
        <v>1093</v>
      </c>
      <c r="W111" t="s">
        <v>1088</v>
      </c>
      <c r="X111" t="s">
        <v>1094</v>
      </c>
    </row>
    <row r="112" spans="1:24" x14ac:dyDescent="0.25">
      <c r="A112" t="s">
        <v>42</v>
      </c>
      <c r="B112" t="s">
        <v>1256</v>
      </c>
      <c r="C112" t="s">
        <v>278</v>
      </c>
      <c r="D112" t="s">
        <v>427</v>
      </c>
      <c r="E112" t="s">
        <v>1040</v>
      </c>
      <c r="F112">
        <v>0</v>
      </c>
      <c r="G112" t="s">
        <v>1088</v>
      </c>
      <c r="H112" t="s">
        <v>446</v>
      </c>
      <c r="I112" t="s">
        <v>446</v>
      </c>
      <c r="J112" t="s">
        <v>1110</v>
      </c>
      <c r="K112" t="s">
        <v>446</v>
      </c>
      <c r="L112" t="s">
        <v>446</v>
      </c>
      <c r="M112" t="s">
        <v>446</v>
      </c>
      <c r="N112" t="s">
        <v>446</v>
      </c>
      <c r="O112" t="s">
        <v>446</v>
      </c>
      <c r="P112" t="s">
        <v>446</v>
      </c>
      <c r="Q112" t="b">
        <v>1</v>
      </c>
      <c r="R112" t="b">
        <v>0</v>
      </c>
      <c r="S112" t="s">
        <v>1090</v>
      </c>
      <c r="T112" t="s">
        <v>1159</v>
      </c>
      <c r="U112" t="s">
        <v>1092</v>
      </c>
      <c r="V112" t="s">
        <v>1093</v>
      </c>
      <c r="W112" t="s">
        <v>1088</v>
      </c>
      <c r="X112" t="s">
        <v>1094</v>
      </c>
    </row>
    <row r="113" spans="1:24" x14ac:dyDescent="0.25">
      <c r="A113" t="s">
        <v>42</v>
      </c>
      <c r="B113" t="s">
        <v>1257</v>
      </c>
      <c r="C113" t="s">
        <v>278</v>
      </c>
      <c r="D113" t="s">
        <v>427</v>
      </c>
      <c r="E113" t="s">
        <v>1045</v>
      </c>
      <c r="F113">
        <v>0</v>
      </c>
      <c r="G113" t="s">
        <v>1088</v>
      </c>
      <c r="H113" t="s">
        <v>446</v>
      </c>
      <c r="I113" t="s">
        <v>446</v>
      </c>
      <c r="J113" t="s">
        <v>1110</v>
      </c>
      <c r="K113" t="s">
        <v>446</v>
      </c>
      <c r="L113" t="s">
        <v>446</v>
      </c>
      <c r="M113" t="s">
        <v>446</v>
      </c>
      <c r="N113" t="s">
        <v>446</v>
      </c>
      <c r="O113" t="s">
        <v>446</v>
      </c>
      <c r="P113" t="s">
        <v>446</v>
      </c>
      <c r="Q113" t="b">
        <v>1</v>
      </c>
      <c r="R113" t="b">
        <v>0</v>
      </c>
      <c r="S113" t="s">
        <v>1090</v>
      </c>
      <c r="T113" t="s">
        <v>1159</v>
      </c>
      <c r="U113" t="s">
        <v>1092</v>
      </c>
      <c r="V113" t="s">
        <v>1093</v>
      </c>
      <c r="W113" t="s">
        <v>1088</v>
      </c>
      <c r="X113" t="s">
        <v>1094</v>
      </c>
    </row>
    <row r="114" spans="1:24" x14ac:dyDescent="0.25">
      <c r="A114" t="s">
        <v>42</v>
      </c>
      <c r="B114" t="s">
        <v>1258</v>
      </c>
      <c r="C114" t="s">
        <v>278</v>
      </c>
      <c r="D114" t="s">
        <v>427</v>
      </c>
      <c r="E114" t="s">
        <v>1051</v>
      </c>
      <c r="F114">
        <v>0</v>
      </c>
      <c r="G114" t="s">
        <v>1088</v>
      </c>
      <c r="H114" t="s">
        <v>446</v>
      </c>
      <c r="I114" t="s">
        <v>446</v>
      </c>
      <c r="J114" t="s">
        <v>1110</v>
      </c>
      <c r="K114" t="s">
        <v>446</v>
      </c>
      <c r="L114" t="s">
        <v>446</v>
      </c>
      <c r="M114" t="s">
        <v>446</v>
      </c>
      <c r="N114" t="s">
        <v>446</v>
      </c>
      <c r="O114" t="s">
        <v>446</v>
      </c>
      <c r="P114" t="s">
        <v>446</v>
      </c>
      <c r="Q114" t="b">
        <v>1</v>
      </c>
      <c r="R114" t="b">
        <v>0</v>
      </c>
      <c r="S114" t="s">
        <v>1090</v>
      </c>
      <c r="T114" t="s">
        <v>1159</v>
      </c>
      <c r="U114" t="s">
        <v>1092</v>
      </c>
      <c r="V114" t="s">
        <v>1093</v>
      </c>
      <c r="W114" t="s">
        <v>1088</v>
      </c>
      <c r="X114" t="s">
        <v>1094</v>
      </c>
    </row>
    <row r="115" spans="1:24" x14ac:dyDescent="0.25">
      <c r="A115" t="s">
        <v>42</v>
      </c>
      <c r="B115" t="s">
        <v>1259</v>
      </c>
      <c r="C115" t="s">
        <v>279</v>
      </c>
      <c r="D115" t="s">
        <v>427</v>
      </c>
      <c r="E115" t="s">
        <v>978</v>
      </c>
      <c r="F115">
        <v>0</v>
      </c>
      <c r="G115" t="s">
        <v>1088</v>
      </c>
      <c r="H115" t="s">
        <v>446</v>
      </c>
      <c r="I115" t="s">
        <v>446</v>
      </c>
      <c r="J115" t="s">
        <v>1110</v>
      </c>
      <c r="K115" t="s">
        <v>446</v>
      </c>
      <c r="L115" t="s">
        <v>446</v>
      </c>
      <c r="M115" t="s">
        <v>446</v>
      </c>
      <c r="N115" t="s">
        <v>446</v>
      </c>
      <c r="O115" t="s">
        <v>446</v>
      </c>
      <c r="P115" t="s">
        <v>446</v>
      </c>
      <c r="Q115" t="b">
        <v>1</v>
      </c>
      <c r="R115" t="b">
        <v>0</v>
      </c>
      <c r="S115" t="s">
        <v>1090</v>
      </c>
      <c r="T115" t="s">
        <v>1159</v>
      </c>
      <c r="U115" t="s">
        <v>1092</v>
      </c>
      <c r="V115" t="s">
        <v>1093</v>
      </c>
      <c r="W115" t="s">
        <v>1088</v>
      </c>
      <c r="X115" t="s">
        <v>1094</v>
      </c>
    </row>
    <row r="116" spans="1:24" x14ac:dyDescent="0.25">
      <c r="A116" t="s">
        <v>42</v>
      </c>
      <c r="B116" t="s">
        <v>1260</v>
      </c>
      <c r="C116" t="s">
        <v>279</v>
      </c>
      <c r="D116" t="s">
        <v>427</v>
      </c>
      <c r="E116" t="s">
        <v>986</v>
      </c>
      <c r="F116">
        <v>0</v>
      </c>
      <c r="G116" t="s">
        <v>1088</v>
      </c>
      <c r="H116" t="s">
        <v>446</v>
      </c>
      <c r="I116" t="s">
        <v>446</v>
      </c>
      <c r="J116" t="s">
        <v>1110</v>
      </c>
      <c r="K116" t="s">
        <v>446</v>
      </c>
      <c r="L116" t="s">
        <v>446</v>
      </c>
      <c r="M116" t="s">
        <v>446</v>
      </c>
      <c r="N116" t="s">
        <v>446</v>
      </c>
      <c r="O116" t="s">
        <v>446</v>
      </c>
      <c r="P116" t="s">
        <v>446</v>
      </c>
      <c r="Q116" t="b">
        <v>1</v>
      </c>
      <c r="R116" t="b">
        <v>0</v>
      </c>
      <c r="S116" t="s">
        <v>1090</v>
      </c>
      <c r="T116" t="s">
        <v>1159</v>
      </c>
      <c r="U116" t="s">
        <v>1092</v>
      </c>
      <c r="V116" t="s">
        <v>1093</v>
      </c>
      <c r="W116" t="s">
        <v>1088</v>
      </c>
      <c r="X116" t="s">
        <v>1094</v>
      </c>
    </row>
    <row r="117" spans="1:24" x14ac:dyDescent="0.25">
      <c r="A117" t="s">
        <v>42</v>
      </c>
      <c r="B117" t="s">
        <v>1261</v>
      </c>
      <c r="C117" t="s">
        <v>279</v>
      </c>
      <c r="D117" t="s">
        <v>427</v>
      </c>
      <c r="E117" t="s">
        <v>992</v>
      </c>
      <c r="F117">
        <v>0</v>
      </c>
      <c r="G117" t="s">
        <v>1088</v>
      </c>
      <c r="H117" t="s">
        <v>446</v>
      </c>
      <c r="I117" t="s">
        <v>446</v>
      </c>
      <c r="J117" t="s">
        <v>1110</v>
      </c>
      <c r="K117" t="s">
        <v>446</v>
      </c>
      <c r="L117" t="s">
        <v>446</v>
      </c>
      <c r="M117" t="s">
        <v>446</v>
      </c>
      <c r="N117" t="s">
        <v>446</v>
      </c>
      <c r="O117" t="s">
        <v>446</v>
      </c>
      <c r="P117" t="s">
        <v>446</v>
      </c>
      <c r="Q117" t="b">
        <v>1</v>
      </c>
      <c r="R117" t="b">
        <v>0</v>
      </c>
      <c r="S117" t="s">
        <v>1090</v>
      </c>
      <c r="T117" t="s">
        <v>1159</v>
      </c>
      <c r="U117" t="s">
        <v>1092</v>
      </c>
      <c r="V117" t="s">
        <v>1093</v>
      </c>
      <c r="W117" t="s">
        <v>1088</v>
      </c>
      <c r="X117" t="s">
        <v>1094</v>
      </c>
    </row>
    <row r="118" spans="1:24" x14ac:dyDescent="0.25">
      <c r="A118" t="s">
        <v>42</v>
      </c>
      <c r="B118" t="s">
        <v>1262</v>
      </c>
      <c r="C118" t="s">
        <v>279</v>
      </c>
      <c r="D118" t="s">
        <v>427</v>
      </c>
      <c r="E118" t="s">
        <v>998</v>
      </c>
      <c r="F118">
        <v>0</v>
      </c>
      <c r="G118" t="s">
        <v>1088</v>
      </c>
      <c r="H118" t="s">
        <v>446</v>
      </c>
      <c r="I118" t="s">
        <v>446</v>
      </c>
      <c r="J118" t="s">
        <v>1110</v>
      </c>
      <c r="K118" t="s">
        <v>446</v>
      </c>
      <c r="L118" t="s">
        <v>446</v>
      </c>
      <c r="M118" t="s">
        <v>446</v>
      </c>
      <c r="N118" t="s">
        <v>446</v>
      </c>
      <c r="O118" t="s">
        <v>446</v>
      </c>
      <c r="P118" t="s">
        <v>446</v>
      </c>
      <c r="Q118" t="b">
        <v>1</v>
      </c>
      <c r="R118" t="b">
        <v>0</v>
      </c>
      <c r="S118" t="s">
        <v>1090</v>
      </c>
      <c r="T118" t="s">
        <v>1159</v>
      </c>
      <c r="U118" t="s">
        <v>1092</v>
      </c>
      <c r="V118" t="s">
        <v>1093</v>
      </c>
      <c r="W118" t="s">
        <v>1088</v>
      </c>
      <c r="X118" t="s">
        <v>1094</v>
      </c>
    </row>
    <row r="119" spans="1:24" x14ac:dyDescent="0.25">
      <c r="A119" t="s">
        <v>42</v>
      </c>
      <c r="B119" t="s">
        <v>1263</v>
      </c>
      <c r="C119" t="s">
        <v>279</v>
      </c>
      <c r="D119" t="s">
        <v>427</v>
      </c>
      <c r="E119" t="s">
        <v>1006</v>
      </c>
      <c r="F119">
        <v>0</v>
      </c>
      <c r="G119" t="s">
        <v>1088</v>
      </c>
      <c r="H119" t="s">
        <v>446</v>
      </c>
      <c r="I119" t="s">
        <v>446</v>
      </c>
      <c r="J119" t="s">
        <v>1110</v>
      </c>
      <c r="K119" t="s">
        <v>446</v>
      </c>
      <c r="L119" t="s">
        <v>446</v>
      </c>
      <c r="M119" t="s">
        <v>446</v>
      </c>
      <c r="N119" t="s">
        <v>446</v>
      </c>
      <c r="O119" t="s">
        <v>446</v>
      </c>
      <c r="P119" t="s">
        <v>446</v>
      </c>
      <c r="Q119" t="b">
        <v>1</v>
      </c>
      <c r="R119" t="b">
        <v>0</v>
      </c>
      <c r="S119" t="s">
        <v>1090</v>
      </c>
      <c r="T119" t="s">
        <v>1159</v>
      </c>
      <c r="U119" t="s">
        <v>1092</v>
      </c>
      <c r="V119" t="s">
        <v>1093</v>
      </c>
      <c r="W119" t="s">
        <v>1088</v>
      </c>
      <c r="X119" t="s">
        <v>1094</v>
      </c>
    </row>
    <row r="120" spans="1:24" x14ac:dyDescent="0.25">
      <c r="A120" t="s">
        <v>42</v>
      </c>
      <c r="B120" t="s">
        <v>1264</v>
      </c>
      <c r="C120" t="s">
        <v>279</v>
      </c>
      <c r="D120" t="s">
        <v>427</v>
      </c>
      <c r="E120" t="s">
        <v>1013</v>
      </c>
      <c r="F120">
        <v>0</v>
      </c>
      <c r="G120" t="s">
        <v>1088</v>
      </c>
      <c r="H120" t="s">
        <v>446</v>
      </c>
      <c r="I120" t="s">
        <v>446</v>
      </c>
      <c r="J120" t="s">
        <v>1110</v>
      </c>
      <c r="K120" t="s">
        <v>446</v>
      </c>
      <c r="L120" t="s">
        <v>446</v>
      </c>
      <c r="M120" t="s">
        <v>446</v>
      </c>
      <c r="N120" t="s">
        <v>446</v>
      </c>
      <c r="O120" t="s">
        <v>446</v>
      </c>
      <c r="P120" t="s">
        <v>446</v>
      </c>
      <c r="Q120" t="b">
        <v>1</v>
      </c>
      <c r="R120" t="b">
        <v>0</v>
      </c>
      <c r="S120" t="s">
        <v>1090</v>
      </c>
      <c r="T120" t="s">
        <v>1159</v>
      </c>
      <c r="U120" t="s">
        <v>1092</v>
      </c>
      <c r="V120" t="s">
        <v>1093</v>
      </c>
      <c r="W120" t="s">
        <v>1088</v>
      </c>
      <c r="X120" t="s">
        <v>1094</v>
      </c>
    </row>
    <row r="121" spans="1:24" x14ac:dyDescent="0.25">
      <c r="A121" t="s">
        <v>42</v>
      </c>
      <c r="B121" t="s">
        <v>1265</v>
      </c>
      <c r="C121" t="s">
        <v>279</v>
      </c>
      <c r="D121" t="s">
        <v>427</v>
      </c>
      <c r="E121" t="s">
        <v>1018</v>
      </c>
      <c r="F121">
        <v>0</v>
      </c>
      <c r="G121" t="s">
        <v>1088</v>
      </c>
      <c r="H121" t="s">
        <v>446</v>
      </c>
      <c r="I121" t="s">
        <v>446</v>
      </c>
      <c r="J121" t="s">
        <v>1110</v>
      </c>
      <c r="K121" t="s">
        <v>446</v>
      </c>
      <c r="L121" t="s">
        <v>446</v>
      </c>
      <c r="M121" t="s">
        <v>446</v>
      </c>
      <c r="N121" t="s">
        <v>446</v>
      </c>
      <c r="O121" t="s">
        <v>446</v>
      </c>
      <c r="P121" t="s">
        <v>446</v>
      </c>
      <c r="Q121" t="b">
        <v>1</v>
      </c>
      <c r="R121" t="b">
        <v>0</v>
      </c>
      <c r="S121" t="s">
        <v>1090</v>
      </c>
      <c r="T121" t="s">
        <v>1159</v>
      </c>
      <c r="U121" t="s">
        <v>1092</v>
      </c>
      <c r="V121" t="s">
        <v>1093</v>
      </c>
      <c r="W121" t="s">
        <v>1088</v>
      </c>
      <c r="X121" t="s">
        <v>1094</v>
      </c>
    </row>
    <row r="122" spans="1:24" x14ac:dyDescent="0.25">
      <c r="A122" t="s">
        <v>42</v>
      </c>
      <c r="B122" t="s">
        <v>1266</v>
      </c>
      <c r="C122" t="s">
        <v>279</v>
      </c>
      <c r="D122" t="s">
        <v>427</v>
      </c>
      <c r="E122" t="s">
        <v>1023</v>
      </c>
      <c r="F122">
        <v>0</v>
      </c>
      <c r="G122" t="s">
        <v>1088</v>
      </c>
      <c r="H122" t="s">
        <v>446</v>
      </c>
      <c r="I122" t="s">
        <v>446</v>
      </c>
      <c r="J122" t="s">
        <v>1110</v>
      </c>
      <c r="K122" t="s">
        <v>446</v>
      </c>
      <c r="L122" t="s">
        <v>446</v>
      </c>
      <c r="M122" t="s">
        <v>446</v>
      </c>
      <c r="N122" t="s">
        <v>446</v>
      </c>
      <c r="O122" t="s">
        <v>446</v>
      </c>
      <c r="P122" t="s">
        <v>446</v>
      </c>
      <c r="Q122" t="b">
        <v>1</v>
      </c>
      <c r="R122" t="b">
        <v>0</v>
      </c>
      <c r="S122" t="s">
        <v>1090</v>
      </c>
      <c r="T122" t="s">
        <v>1159</v>
      </c>
      <c r="U122" t="s">
        <v>1092</v>
      </c>
      <c r="V122" t="s">
        <v>1093</v>
      </c>
      <c r="W122" t="s">
        <v>1088</v>
      </c>
      <c r="X122" t="s">
        <v>1094</v>
      </c>
    </row>
    <row r="123" spans="1:24" x14ac:dyDescent="0.25">
      <c r="A123" t="s">
        <v>42</v>
      </c>
      <c r="B123" t="s">
        <v>1267</v>
      </c>
      <c r="C123" t="s">
        <v>279</v>
      </c>
      <c r="D123" t="s">
        <v>427</v>
      </c>
      <c r="E123" t="s">
        <v>1029</v>
      </c>
      <c r="F123">
        <v>0</v>
      </c>
      <c r="G123" t="s">
        <v>1088</v>
      </c>
      <c r="H123" t="s">
        <v>446</v>
      </c>
      <c r="I123" t="s">
        <v>446</v>
      </c>
      <c r="J123" t="s">
        <v>1110</v>
      </c>
      <c r="K123" t="s">
        <v>446</v>
      </c>
      <c r="L123" t="s">
        <v>446</v>
      </c>
      <c r="M123" t="s">
        <v>446</v>
      </c>
      <c r="N123" t="s">
        <v>446</v>
      </c>
      <c r="O123" t="s">
        <v>446</v>
      </c>
      <c r="P123" t="s">
        <v>446</v>
      </c>
      <c r="Q123" t="b">
        <v>1</v>
      </c>
      <c r="R123" t="b">
        <v>0</v>
      </c>
      <c r="S123" t="s">
        <v>1090</v>
      </c>
      <c r="T123" t="s">
        <v>1159</v>
      </c>
      <c r="U123" t="s">
        <v>1092</v>
      </c>
      <c r="V123" t="s">
        <v>1093</v>
      </c>
      <c r="W123" t="s">
        <v>1088</v>
      </c>
      <c r="X123" t="s">
        <v>1094</v>
      </c>
    </row>
    <row r="124" spans="1:24" x14ac:dyDescent="0.25">
      <c r="A124" t="s">
        <v>42</v>
      </c>
      <c r="B124" t="s">
        <v>1268</v>
      </c>
      <c r="C124" t="s">
        <v>279</v>
      </c>
      <c r="D124" t="s">
        <v>427</v>
      </c>
      <c r="E124" t="s">
        <v>1035</v>
      </c>
      <c r="F124">
        <v>0</v>
      </c>
      <c r="G124" t="s">
        <v>1088</v>
      </c>
      <c r="H124" t="s">
        <v>446</v>
      </c>
      <c r="I124" t="s">
        <v>446</v>
      </c>
      <c r="J124" t="s">
        <v>1110</v>
      </c>
      <c r="K124" t="s">
        <v>446</v>
      </c>
      <c r="L124" t="s">
        <v>446</v>
      </c>
      <c r="M124" t="s">
        <v>446</v>
      </c>
      <c r="N124" t="s">
        <v>446</v>
      </c>
      <c r="O124" t="s">
        <v>446</v>
      </c>
      <c r="P124" t="s">
        <v>446</v>
      </c>
      <c r="Q124" t="b">
        <v>1</v>
      </c>
      <c r="R124" t="b">
        <v>0</v>
      </c>
      <c r="S124" t="s">
        <v>1090</v>
      </c>
      <c r="T124" t="s">
        <v>1159</v>
      </c>
      <c r="U124" t="s">
        <v>1092</v>
      </c>
      <c r="V124" t="s">
        <v>1093</v>
      </c>
      <c r="W124" t="s">
        <v>1088</v>
      </c>
      <c r="X124" t="s">
        <v>1094</v>
      </c>
    </row>
    <row r="125" spans="1:24" x14ac:dyDescent="0.25">
      <c r="A125" t="s">
        <v>42</v>
      </c>
      <c r="B125" t="s">
        <v>1269</v>
      </c>
      <c r="C125" t="s">
        <v>279</v>
      </c>
      <c r="D125" t="s">
        <v>427</v>
      </c>
      <c r="E125" t="s">
        <v>1040</v>
      </c>
      <c r="F125">
        <v>0</v>
      </c>
      <c r="G125" t="s">
        <v>1088</v>
      </c>
      <c r="H125" t="s">
        <v>446</v>
      </c>
      <c r="I125" t="s">
        <v>446</v>
      </c>
      <c r="J125" t="s">
        <v>1110</v>
      </c>
      <c r="K125" t="s">
        <v>446</v>
      </c>
      <c r="L125" t="s">
        <v>446</v>
      </c>
      <c r="M125" t="s">
        <v>446</v>
      </c>
      <c r="N125" t="s">
        <v>446</v>
      </c>
      <c r="O125" t="s">
        <v>446</v>
      </c>
      <c r="P125" t="s">
        <v>446</v>
      </c>
      <c r="Q125" t="b">
        <v>1</v>
      </c>
      <c r="R125" t="b">
        <v>0</v>
      </c>
      <c r="S125" t="s">
        <v>1090</v>
      </c>
      <c r="T125" t="s">
        <v>1270</v>
      </c>
      <c r="U125" t="s">
        <v>1092</v>
      </c>
      <c r="V125" t="s">
        <v>1093</v>
      </c>
      <c r="W125" t="s">
        <v>1088</v>
      </c>
      <c r="X125" t="s">
        <v>1094</v>
      </c>
    </row>
    <row r="126" spans="1:24" x14ac:dyDescent="0.25">
      <c r="A126" t="s">
        <v>42</v>
      </c>
      <c r="B126" t="s">
        <v>1271</v>
      </c>
      <c r="C126" t="s">
        <v>279</v>
      </c>
      <c r="D126" t="s">
        <v>427</v>
      </c>
      <c r="E126" t="s">
        <v>1051</v>
      </c>
      <c r="F126">
        <v>0</v>
      </c>
      <c r="G126" t="s">
        <v>1088</v>
      </c>
      <c r="H126" t="s">
        <v>446</v>
      </c>
      <c r="I126" t="s">
        <v>446</v>
      </c>
      <c r="J126" t="s">
        <v>1110</v>
      </c>
      <c r="K126" t="s">
        <v>446</v>
      </c>
      <c r="L126" t="s">
        <v>446</v>
      </c>
      <c r="M126" t="s">
        <v>446</v>
      </c>
      <c r="N126" t="s">
        <v>446</v>
      </c>
      <c r="O126" t="s">
        <v>446</v>
      </c>
      <c r="P126" t="s">
        <v>446</v>
      </c>
      <c r="Q126" t="b">
        <v>1</v>
      </c>
      <c r="R126" t="b">
        <v>0</v>
      </c>
      <c r="S126" t="s">
        <v>1090</v>
      </c>
      <c r="T126" t="s">
        <v>1159</v>
      </c>
      <c r="U126" t="s">
        <v>1092</v>
      </c>
      <c r="V126" t="s">
        <v>1093</v>
      </c>
      <c r="W126" t="s">
        <v>1088</v>
      </c>
      <c r="X126" t="s">
        <v>1094</v>
      </c>
    </row>
    <row r="127" spans="1:24" x14ac:dyDescent="0.25">
      <c r="A127" t="s">
        <v>42</v>
      </c>
      <c r="B127" t="s">
        <v>1272</v>
      </c>
      <c r="C127" t="s">
        <v>281</v>
      </c>
      <c r="D127" t="s">
        <v>427</v>
      </c>
      <c r="E127" t="s">
        <v>978</v>
      </c>
      <c r="F127">
        <v>0</v>
      </c>
      <c r="G127" t="s">
        <v>1088</v>
      </c>
      <c r="H127" t="s">
        <v>446</v>
      </c>
      <c r="I127" t="s">
        <v>446</v>
      </c>
      <c r="J127" t="s">
        <v>1110</v>
      </c>
      <c r="K127" t="s">
        <v>446</v>
      </c>
      <c r="L127" t="s">
        <v>446</v>
      </c>
      <c r="M127" t="s">
        <v>446</v>
      </c>
      <c r="N127" t="s">
        <v>446</v>
      </c>
      <c r="O127" t="s">
        <v>446</v>
      </c>
      <c r="P127" t="s">
        <v>446</v>
      </c>
      <c r="Q127" t="b">
        <v>1</v>
      </c>
      <c r="R127" t="b">
        <v>0</v>
      </c>
      <c r="S127" t="s">
        <v>1090</v>
      </c>
      <c r="T127" t="s">
        <v>1273</v>
      </c>
      <c r="U127" t="s">
        <v>1092</v>
      </c>
      <c r="V127" t="s">
        <v>1093</v>
      </c>
      <c r="W127" t="s">
        <v>1088</v>
      </c>
      <c r="X127" t="s">
        <v>1094</v>
      </c>
    </row>
    <row r="128" spans="1:24" x14ac:dyDescent="0.25">
      <c r="A128" t="s">
        <v>42</v>
      </c>
      <c r="B128" t="s">
        <v>1274</v>
      </c>
      <c r="C128" t="s">
        <v>281</v>
      </c>
      <c r="D128" t="s">
        <v>427</v>
      </c>
      <c r="E128" t="s">
        <v>986</v>
      </c>
      <c r="F128">
        <v>0</v>
      </c>
      <c r="G128" t="s">
        <v>1088</v>
      </c>
      <c r="H128" t="s">
        <v>446</v>
      </c>
      <c r="I128" t="s">
        <v>446</v>
      </c>
      <c r="J128" t="s">
        <v>1110</v>
      </c>
      <c r="K128" t="s">
        <v>446</v>
      </c>
      <c r="L128" t="s">
        <v>446</v>
      </c>
      <c r="M128" t="s">
        <v>446</v>
      </c>
      <c r="N128" t="s">
        <v>446</v>
      </c>
      <c r="O128" t="s">
        <v>446</v>
      </c>
      <c r="P128" t="s">
        <v>446</v>
      </c>
      <c r="Q128" t="b">
        <v>1</v>
      </c>
      <c r="R128" t="b">
        <v>0</v>
      </c>
      <c r="S128" t="s">
        <v>1090</v>
      </c>
      <c r="T128" t="s">
        <v>1275</v>
      </c>
      <c r="U128" t="s">
        <v>1092</v>
      </c>
      <c r="V128" t="s">
        <v>1093</v>
      </c>
      <c r="W128" t="s">
        <v>1088</v>
      </c>
      <c r="X128" t="s">
        <v>1094</v>
      </c>
    </row>
    <row r="129" spans="1:24" x14ac:dyDescent="0.25">
      <c r="A129" t="s">
        <v>42</v>
      </c>
      <c r="B129" t="s">
        <v>1276</v>
      </c>
      <c r="C129" t="s">
        <v>281</v>
      </c>
      <c r="D129" t="s">
        <v>427</v>
      </c>
      <c r="E129" t="s">
        <v>992</v>
      </c>
      <c r="F129">
        <v>0</v>
      </c>
      <c r="G129" t="s">
        <v>1088</v>
      </c>
      <c r="H129" t="s">
        <v>446</v>
      </c>
      <c r="I129" t="s">
        <v>446</v>
      </c>
      <c r="J129" t="s">
        <v>1110</v>
      </c>
      <c r="K129" t="s">
        <v>446</v>
      </c>
      <c r="L129" t="s">
        <v>446</v>
      </c>
      <c r="M129" t="s">
        <v>446</v>
      </c>
      <c r="N129" t="s">
        <v>446</v>
      </c>
      <c r="O129" t="s">
        <v>446</v>
      </c>
      <c r="P129" t="s">
        <v>446</v>
      </c>
      <c r="Q129" t="b">
        <v>1</v>
      </c>
      <c r="R129" t="b">
        <v>0</v>
      </c>
      <c r="S129" t="s">
        <v>1090</v>
      </c>
      <c r="T129" t="s">
        <v>1277</v>
      </c>
      <c r="U129" t="s">
        <v>1092</v>
      </c>
      <c r="V129" t="s">
        <v>1093</v>
      </c>
      <c r="W129" t="s">
        <v>1088</v>
      </c>
      <c r="X129" t="s">
        <v>1094</v>
      </c>
    </row>
    <row r="130" spans="1:24" x14ac:dyDescent="0.25">
      <c r="A130" t="s">
        <v>42</v>
      </c>
      <c r="B130" t="s">
        <v>1278</v>
      </c>
      <c r="C130" t="s">
        <v>281</v>
      </c>
      <c r="D130" t="s">
        <v>427</v>
      </c>
      <c r="E130" t="s">
        <v>1006</v>
      </c>
      <c r="F130">
        <v>0</v>
      </c>
      <c r="G130" t="s">
        <v>1088</v>
      </c>
      <c r="H130" t="s">
        <v>446</v>
      </c>
      <c r="I130" t="s">
        <v>446</v>
      </c>
      <c r="J130" t="s">
        <v>1110</v>
      </c>
      <c r="K130" t="s">
        <v>446</v>
      </c>
      <c r="L130" t="s">
        <v>446</v>
      </c>
      <c r="M130" t="s">
        <v>446</v>
      </c>
      <c r="N130" t="s">
        <v>446</v>
      </c>
      <c r="O130" t="s">
        <v>446</v>
      </c>
      <c r="P130" t="s">
        <v>446</v>
      </c>
      <c r="Q130" t="b">
        <v>1</v>
      </c>
      <c r="R130" t="b">
        <v>0</v>
      </c>
      <c r="S130" t="s">
        <v>1090</v>
      </c>
      <c r="T130" t="s">
        <v>1279</v>
      </c>
      <c r="U130" t="s">
        <v>1092</v>
      </c>
      <c r="V130" t="s">
        <v>1093</v>
      </c>
      <c r="W130" t="s">
        <v>1088</v>
      </c>
      <c r="X130" t="s">
        <v>1094</v>
      </c>
    </row>
    <row r="131" spans="1:24" x14ac:dyDescent="0.25">
      <c r="A131" t="s">
        <v>42</v>
      </c>
      <c r="B131" t="s">
        <v>1280</v>
      </c>
      <c r="C131" t="s">
        <v>281</v>
      </c>
      <c r="D131" t="s">
        <v>427</v>
      </c>
      <c r="E131" t="s">
        <v>1013</v>
      </c>
      <c r="F131">
        <v>0</v>
      </c>
      <c r="G131" t="s">
        <v>1088</v>
      </c>
      <c r="H131" t="s">
        <v>446</v>
      </c>
      <c r="I131" t="s">
        <v>446</v>
      </c>
      <c r="J131" t="s">
        <v>1110</v>
      </c>
      <c r="K131" t="s">
        <v>446</v>
      </c>
      <c r="L131" t="s">
        <v>446</v>
      </c>
      <c r="M131" t="s">
        <v>446</v>
      </c>
      <c r="N131" t="s">
        <v>446</v>
      </c>
      <c r="O131" t="s">
        <v>446</v>
      </c>
      <c r="P131" t="s">
        <v>446</v>
      </c>
      <c r="Q131" t="b">
        <v>1</v>
      </c>
      <c r="R131" t="b">
        <v>0</v>
      </c>
      <c r="S131" t="s">
        <v>1090</v>
      </c>
      <c r="T131" t="s">
        <v>1281</v>
      </c>
      <c r="U131" t="s">
        <v>1092</v>
      </c>
      <c r="V131" t="s">
        <v>1093</v>
      </c>
      <c r="W131" t="s">
        <v>1088</v>
      </c>
      <c r="X131" t="s">
        <v>1094</v>
      </c>
    </row>
    <row r="132" spans="1:24" x14ac:dyDescent="0.25">
      <c r="A132" t="s">
        <v>42</v>
      </c>
      <c r="B132" t="s">
        <v>1282</v>
      </c>
      <c r="C132" t="s">
        <v>281</v>
      </c>
      <c r="D132" t="s">
        <v>427</v>
      </c>
      <c r="E132" t="s">
        <v>1018</v>
      </c>
      <c r="F132">
        <v>0</v>
      </c>
      <c r="G132" t="s">
        <v>1088</v>
      </c>
      <c r="H132" t="s">
        <v>446</v>
      </c>
      <c r="I132" t="s">
        <v>446</v>
      </c>
      <c r="J132" t="s">
        <v>1110</v>
      </c>
      <c r="K132" t="s">
        <v>446</v>
      </c>
      <c r="L132" t="s">
        <v>446</v>
      </c>
      <c r="M132" t="s">
        <v>446</v>
      </c>
      <c r="N132" t="s">
        <v>446</v>
      </c>
      <c r="O132" t="s">
        <v>446</v>
      </c>
      <c r="P132" t="s">
        <v>446</v>
      </c>
      <c r="Q132" t="b">
        <v>1</v>
      </c>
      <c r="R132" t="b">
        <v>0</v>
      </c>
      <c r="S132" t="s">
        <v>1090</v>
      </c>
      <c r="T132" t="s">
        <v>1283</v>
      </c>
      <c r="U132" t="s">
        <v>1092</v>
      </c>
      <c r="V132" t="s">
        <v>1093</v>
      </c>
      <c r="W132" t="s">
        <v>1088</v>
      </c>
      <c r="X132" t="s">
        <v>1094</v>
      </c>
    </row>
    <row r="133" spans="1:24" x14ac:dyDescent="0.25">
      <c r="A133" t="s">
        <v>42</v>
      </c>
      <c r="B133" t="s">
        <v>1284</v>
      </c>
      <c r="C133" t="s">
        <v>281</v>
      </c>
      <c r="D133" t="s">
        <v>427</v>
      </c>
      <c r="E133" t="s">
        <v>1023</v>
      </c>
      <c r="F133">
        <v>0</v>
      </c>
      <c r="G133" t="s">
        <v>1088</v>
      </c>
      <c r="H133" t="s">
        <v>446</v>
      </c>
      <c r="I133" t="s">
        <v>446</v>
      </c>
      <c r="J133" t="s">
        <v>1110</v>
      </c>
      <c r="K133" t="s">
        <v>446</v>
      </c>
      <c r="L133" t="s">
        <v>446</v>
      </c>
      <c r="M133" t="s">
        <v>446</v>
      </c>
      <c r="N133" t="s">
        <v>446</v>
      </c>
      <c r="O133" t="s">
        <v>446</v>
      </c>
      <c r="P133" t="s">
        <v>446</v>
      </c>
      <c r="Q133" t="b">
        <v>1</v>
      </c>
      <c r="R133" t="b">
        <v>0</v>
      </c>
      <c r="S133" t="s">
        <v>1090</v>
      </c>
      <c r="T133" t="s">
        <v>1285</v>
      </c>
      <c r="U133" t="s">
        <v>1092</v>
      </c>
      <c r="V133" t="s">
        <v>1093</v>
      </c>
      <c r="W133" t="s">
        <v>1088</v>
      </c>
      <c r="X133" t="s">
        <v>1094</v>
      </c>
    </row>
    <row r="134" spans="1:24" x14ac:dyDescent="0.25">
      <c r="A134" t="s">
        <v>42</v>
      </c>
      <c r="B134" t="s">
        <v>1286</v>
      </c>
      <c r="C134" t="s">
        <v>281</v>
      </c>
      <c r="D134" t="s">
        <v>427</v>
      </c>
      <c r="E134" t="s">
        <v>1029</v>
      </c>
      <c r="F134">
        <v>0</v>
      </c>
      <c r="G134" t="s">
        <v>1088</v>
      </c>
      <c r="H134" t="s">
        <v>446</v>
      </c>
      <c r="I134" t="s">
        <v>446</v>
      </c>
      <c r="J134" t="s">
        <v>1110</v>
      </c>
      <c r="K134" t="s">
        <v>446</v>
      </c>
      <c r="L134" t="s">
        <v>446</v>
      </c>
      <c r="M134" t="s">
        <v>446</v>
      </c>
      <c r="N134" t="s">
        <v>446</v>
      </c>
      <c r="O134" t="s">
        <v>446</v>
      </c>
      <c r="P134" t="s">
        <v>446</v>
      </c>
      <c r="Q134" t="b">
        <v>1</v>
      </c>
      <c r="R134" t="b">
        <v>0</v>
      </c>
      <c r="S134" t="s">
        <v>1090</v>
      </c>
      <c r="T134" t="s">
        <v>1287</v>
      </c>
      <c r="U134" t="s">
        <v>1092</v>
      </c>
      <c r="V134" t="s">
        <v>1093</v>
      </c>
      <c r="W134" t="s">
        <v>1088</v>
      </c>
      <c r="X134" t="s">
        <v>1094</v>
      </c>
    </row>
    <row r="135" spans="1:24" x14ac:dyDescent="0.25">
      <c r="A135" t="s">
        <v>42</v>
      </c>
      <c r="B135" t="s">
        <v>1288</v>
      </c>
      <c r="C135" t="s">
        <v>281</v>
      </c>
      <c r="D135" t="s">
        <v>427</v>
      </c>
      <c r="E135" t="s">
        <v>1035</v>
      </c>
      <c r="F135">
        <v>0</v>
      </c>
      <c r="G135" t="s">
        <v>1088</v>
      </c>
      <c r="H135" t="s">
        <v>446</v>
      </c>
      <c r="I135" t="s">
        <v>446</v>
      </c>
      <c r="J135" t="s">
        <v>1110</v>
      </c>
      <c r="K135" t="s">
        <v>446</v>
      </c>
      <c r="L135" t="s">
        <v>446</v>
      </c>
      <c r="M135" t="s">
        <v>446</v>
      </c>
      <c r="N135" t="s">
        <v>446</v>
      </c>
      <c r="O135" t="s">
        <v>446</v>
      </c>
      <c r="P135" t="s">
        <v>446</v>
      </c>
      <c r="Q135" t="b">
        <v>1</v>
      </c>
      <c r="R135" t="b">
        <v>0</v>
      </c>
      <c r="S135" t="s">
        <v>1090</v>
      </c>
      <c r="T135" t="s">
        <v>1289</v>
      </c>
      <c r="U135" t="s">
        <v>1092</v>
      </c>
      <c r="V135" t="s">
        <v>1093</v>
      </c>
      <c r="W135" t="s">
        <v>1088</v>
      </c>
      <c r="X135" t="s">
        <v>1094</v>
      </c>
    </row>
    <row r="136" spans="1:24" x14ac:dyDescent="0.25">
      <c r="A136" t="s">
        <v>42</v>
      </c>
      <c r="B136" t="s">
        <v>1290</v>
      </c>
      <c r="C136" t="s">
        <v>281</v>
      </c>
      <c r="D136" t="s">
        <v>427</v>
      </c>
      <c r="E136" t="s">
        <v>1040</v>
      </c>
      <c r="F136">
        <v>0</v>
      </c>
      <c r="G136" t="s">
        <v>1088</v>
      </c>
      <c r="H136" t="s">
        <v>446</v>
      </c>
      <c r="I136" t="s">
        <v>446</v>
      </c>
      <c r="J136" t="s">
        <v>1110</v>
      </c>
      <c r="K136" t="s">
        <v>446</v>
      </c>
      <c r="L136" t="s">
        <v>446</v>
      </c>
      <c r="M136" t="s">
        <v>446</v>
      </c>
      <c r="N136" t="s">
        <v>446</v>
      </c>
      <c r="O136" t="s">
        <v>446</v>
      </c>
      <c r="P136" t="s">
        <v>446</v>
      </c>
      <c r="Q136" t="b">
        <v>1</v>
      </c>
      <c r="R136" t="b">
        <v>0</v>
      </c>
      <c r="S136" t="s">
        <v>1090</v>
      </c>
      <c r="T136" t="s">
        <v>1291</v>
      </c>
      <c r="U136" t="s">
        <v>1092</v>
      </c>
      <c r="V136" t="s">
        <v>1093</v>
      </c>
      <c r="W136" t="s">
        <v>1088</v>
      </c>
      <c r="X136" t="s">
        <v>1094</v>
      </c>
    </row>
    <row r="137" spans="1:24" x14ac:dyDescent="0.25">
      <c r="A137" t="s">
        <v>42</v>
      </c>
      <c r="B137" t="s">
        <v>1292</v>
      </c>
      <c r="C137" t="s">
        <v>281</v>
      </c>
      <c r="D137" t="s">
        <v>427</v>
      </c>
      <c r="E137" t="s">
        <v>1045</v>
      </c>
      <c r="F137">
        <v>0</v>
      </c>
      <c r="G137" t="s">
        <v>1088</v>
      </c>
      <c r="H137" t="s">
        <v>446</v>
      </c>
      <c r="I137" t="s">
        <v>446</v>
      </c>
      <c r="J137" t="s">
        <v>1110</v>
      </c>
      <c r="K137" t="s">
        <v>446</v>
      </c>
      <c r="L137" t="s">
        <v>446</v>
      </c>
      <c r="M137" t="s">
        <v>446</v>
      </c>
      <c r="N137" t="s">
        <v>446</v>
      </c>
      <c r="O137" t="s">
        <v>446</v>
      </c>
      <c r="P137" t="s">
        <v>446</v>
      </c>
      <c r="Q137" t="b">
        <v>1</v>
      </c>
      <c r="R137" t="b">
        <v>0</v>
      </c>
      <c r="S137" t="s">
        <v>1090</v>
      </c>
      <c r="T137" t="s">
        <v>1293</v>
      </c>
      <c r="U137" t="s">
        <v>1092</v>
      </c>
      <c r="V137" t="s">
        <v>1093</v>
      </c>
      <c r="W137" t="s">
        <v>1088</v>
      </c>
      <c r="X137" t="s">
        <v>1094</v>
      </c>
    </row>
    <row r="138" spans="1:24" x14ac:dyDescent="0.25">
      <c r="A138" t="s">
        <v>42</v>
      </c>
      <c r="B138" t="s">
        <v>1294</v>
      </c>
      <c r="C138" t="s">
        <v>281</v>
      </c>
      <c r="D138" t="s">
        <v>427</v>
      </c>
      <c r="E138" t="s">
        <v>1051</v>
      </c>
      <c r="F138">
        <v>0</v>
      </c>
      <c r="G138" t="s">
        <v>1088</v>
      </c>
      <c r="H138" t="s">
        <v>446</v>
      </c>
      <c r="I138" t="s">
        <v>446</v>
      </c>
      <c r="J138" t="s">
        <v>1110</v>
      </c>
      <c r="K138" t="s">
        <v>446</v>
      </c>
      <c r="L138" t="s">
        <v>446</v>
      </c>
      <c r="M138" t="s">
        <v>446</v>
      </c>
      <c r="N138" t="s">
        <v>446</v>
      </c>
      <c r="O138" t="s">
        <v>446</v>
      </c>
      <c r="P138" t="s">
        <v>446</v>
      </c>
      <c r="Q138" t="b">
        <v>1</v>
      </c>
      <c r="R138" t="b">
        <v>0</v>
      </c>
      <c r="S138" t="s">
        <v>1090</v>
      </c>
      <c r="T138" t="s">
        <v>1295</v>
      </c>
      <c r="U138" t="s">
        <v>1092</v>
      </c>
      <c r="V138" t="s">
        <v>1093</v>
      </c>
      <c r="W138" t="s">
        <v>1088</v>
      </c>
      <c r="X138" t="s">
        <v>1094</v>
      </c>
    </row>
    <row r="139" spans="1:24" x14ac:dyDescent="0.25">
      <c r="A139" t="s">
        <v>42</v>
      </c>
      <c r="B139" t="s">
        <v>1296</v>
      </c>
      <c r="C139" t="s">
        <v>283</v>
      </c>
      <c r="D139" t="s">
        <v>446</v>
      </c>
      <c r="E139" t="s">
        <v>978</v>
      </c>
      <c r="F139">
        <v>0</v>
      </c>
      <c r="G139" t="s">
        <v>1088</v>
      </c>
      <c r="H139" t="s">
        <v>446</v>
      </c>
      <c r="I139" t="s">
        <v>446</v>
      </c>
      <c r="J139" t="s">
        <v>1110</v>
      </c>
      <c r="K139" t="s">
        <v>446</v>
      </c>
      <c r="L139" t="s">
        <v>446</v>
      </c>
      <c r="M139" t="s">
        <v>446</v>
      </c>
      <c r="N139" t="s">
        <v>446</v>
      </c>
      <c r="O139" t="s">
        <v>446</v>
      </c>
      <c r="P139" t="s">
        <v>446</v>
      </c>
      <c r="Q139" t="b">
        <v>1</v>
      </c>
      <c r="R139" t="b">
        <v>0</v>
      </c>
      <c r="S139" t="s">
        <v>1090</v>
      </c>
      <c r="T139" t="s">
        <v>1159</v>
      </c>
      <c r="U139" t="s">
        <v>1092</v>
      </c>
      <c r="V139" t="s">
        <v>1093</v>
      </c>
      <c r="W139" t="s">
        <v>1088</v>
      </c>
      <c r="X139" t="s">
        <v>1094</v>
      </c>
    </row>
    <row r="140" spans="1:24" x14ac:dyDescent="0.25">
      <c r="A140" t="s">
        <v>42</v>
      </c>
      <c r="B140" t="s">
        <v>1297</v>
      </c>
      <c r="C140" t="s">
        <v>283</v>
      </c>
      <c r="D140" t="s">
        <v>446</v>
      </c>
      <c r="E140" t="s">
        <v>986</v>
      </c>
      <c r="F140">
        <v>0</v>
      </c>
      <c r="G140" t="s">
        <v>1088</v>
      </c>
      <c r="H140" t="s">
        <v>446</v>
      </c>
      <c r="I140" t="s">
        <v>446</v>
      </c>
      <c r="J140" t="s">
        <v>1110</v>
      </c>
      <c r="K140" t="s">
        <v>446</v>
      </c>
      <c r="L140" t="s">
        <v>446</v>
      </c>
      <c r="M140" t="s">
        <v>446</v>
      </c>
      <c r="N140" t="s">
        <v>446</v>
      </c>
      <c r="O140" t="s">
        <v>446</v>
      </c>
      <c r="P140" t="s">
        <v>446</v>
      </c>
      <c r="Q140" t="b">
        <v>1</v>
      </c>
      <c r="R140" t="b">
        <v>0</v>
      </c>
      <c r="S140" t="s">
        <v>1090</v>
      </c>
      <c r="T140" t="s">
        <v>1159</v>
      </c>
      <c r="U140" t="s">
        <v>1092</v>
      </c>
      <c r="V140" t="s">
        <v>1093</v>
      </c>
      <c r="W140" t="s">
        <v>1088</v>
      </c>
      <c r="X140" t="s">
        <v>1094</v>
      </c>
    </row>
    <row r="141" spans="1:24" x14ac:dyDescent="0.25">
      <c r="A141" t="s">
        <v>42</v>
      </c>
      <c r="B141" t="s">
        <v>1298</v>
      </c>
      <c r="C141" t="s">
        <v>283</v>
      </c>
      <c r="D141" t="s">
        <v>446</v>
      </c>
      <c r="E141" t="s">
        <v>992</v>
      </c>
      <c r="F141">
        <v>0</v>
      </c>
      <c r="G141" t="s">
        <v>1088</v>
      </c>
      <c r="H141" t="s">
        <v>446</v>
      </c>
      <c r="I141" t="s">
        <v>446</v>
      </c>
      <c r="J141" t="s">
        <v>1110</v>
      </c>
      <c r="K141" t="s">
        <v>446</v>
      </c>
      <c r="L141" t="s">
        <v>446</v>
      </c>
      <c r="M141" t="s">
        <v>446</v>
      </c>
      <c r="N141" t="s">
        <v>446</v>
      </c>
      <c r="O141" t="s">
        <v>446</v>
      </c>
      <c r="P141" t="s">
        <v>446</v>
      </c>
      <c r="Q141" t="b">
        <v>1</v>
      </c>
      <c r="R141" t="b">
        <v>0</v>
      </c>
      <c r="S141" t="s">
        <v>1090</v>
      </c>
      <c r="T141" t="s">
        <v>1159</v>
      </c>
      <c r="U141" t="s">
        <v>1092</v>
      </c>
      <c r="V141" t="s">
        <v>1093</v>
      </c>
      <c r="W141" t="s">
        <v>1088</v>
      </c>
      <c r="X141" t="s">
        <v>1094</v>
      </c>
    </row>
    <row r="142" spans="1:24" x14ac:dyDescent="0.25">
      <c r="A142" t="s">
        <v>42</v>
      </c>
      <c r="B142" t="s">
        <v>1299</v>
      </c>
      <c r="C142" t="s">
        <v>283</v>
      </c>
      <c r="D142" t="s">
        <v>446</v>
      </c>
      <c r="E142" t="s">
        <v>998</v>
      </c>
      <c r="F142">
        <v>0</v>
      </c>
      <c r="G142" t="s">
        <v>1088</v>
      </c>
      <c r="H142" t="s">
        <v>446</v>
      </c>
      <c r="I142" t="s">
        <v>446</v>
      </c>
      <c r="J142" t="s">
        <v>1110</v>
      </c>
      <c r="K142" t="s">
        <v>446</v>
      </c>
      <c r="L142" t="s">
        <v>446</v>
      </c>
      <c r="M142" t="s">
        <v>446</v>
      </c>
      <c r="N142" t="s">
        <v>446</v>
      </c>
      <c r="O142" t="s">
        <v>446</v>
      </c>
      <c r="P142" t="s">
        <v>446</v>
      </c>
      <c r="Q142" t="b">
        <v>1</v>
      </c>
      <c r="R142" t="b">
        <v>0</v>
      </c>
      <c r="S142" t="s">
        <v>1090</v>
      </c>
      <c r="T142" t="s">
        <v>1159</v>
      </c>
      <c r="U142" t="s">
        <v>1092</v>
      </c>
      <c r="V142" t="s">
        <v>1093</v>
      </c>
      <c r="W142" t="s">
        <v>1088</v>
      </c>
      <c r="X142" t="s">
        <v>1094</v>
      </c>
    </row>
    <row r="143" spans="1:24" x14ac:dyDescent="0.25">
      <c r="A143" t="s">
        <v>42</v>
      </c>
      <c r="B143" t="s">
        <v>1300</v>
      </c>
      <c r="C143" t="s">
        <v>283</v>
      </c>
      <c r="D143" t="s">
        <v>446</v>
      </c>
      <c r="E143" t="s">
        <v>1006</v>
      </c>
      <c r="F143">
        <v>0</v>
      </c>
      <c r="G143" t="s">
        <v>1088</v>
      </c>
      <c r="H143" t="s">
        <v>446</v>
      </c>
      <c r="I143" t="s">
        <v>446</v>
      </c>
      <c r="J143" t="s">
        <v>1110</v>
      </c>
      <c r="K143" t="s">
        <v>446</v>
      </c>
      <c r="L143" t="s">
        <v>446</v>
      </c>
      <c r="M143" t="s">
        <v>446</v>
      </c>
      <c r="N143" t="s">
        <v>446</v>
      </c>
      <c r="O143" t="s">
        <v>446</v>
      </c>
      <c r="P143" t="s">
        <v>446</v>
      </c>
      <c r="Q143" t="b">
        <v>1</v>
      </c>
      <c r="R143" t="b">
        <v>0</v>
      </c>
      <c r="S143" t="s">
        <v>1090</v>
      </c>
      <c r="T143" t="s">
        <v>1159</v>
      </c>
      <c r="U143" t="s">
        <v>1092</v>
      </c>
      <c r="V143" t="s">
        <v>1093</v>
      </c>
      <c r="W143" t="s">
        <v>1088</v>
      </c>
      <c r="X143" t="s">
        <v>1094</v>
      </c>
    </row>
    <row r="144" spans="1:24" x14ac:dyDescent="0.25">
      <c r="A144" t="s">
        <v>42</v>
      </c>
      <c r="B144" t="s">
        <v>1301</v>
      </c>
      <c r="C144" t="s">
        <v>283</v>
      </c>
      <c r="D144" t="s">
        <v>446</v>
      </c>
      <c r="E144" t="s">
        <v>1013</v>
      </c>
      <c r="F144">
        <v>0</v>
      </c>
      <c r="G144" t="s">
        <v>1088</v>
      </c>
      <c r="H144" t="s">
        <v>446</v>
      </c>
      <c r="I144" t="s">
        <v>446</v>
      </c>
      <c r="J144" t="s">
        <v>1110</v>
      </c>
      <c r="K144" t="s">
        <v>446</v>
      </c>
      <c r="L144" t="s">
        <v>446</v>
      </c>
      <c r="M144" t="s">
        <v>446</v>
      </c>
      <c r="N144" t="s">
        <v>446</v>
      </c>
      <c r="O144" t="s">
        <v>446</v>
      </c>
      <c r="P144" t="s">
        <v>446</v>
      </c>
      <c r="Q144" t="b">
        <v>1</v>
      </c>
      <c r="R144" t="b">
        <v>0</v>
      </c>
      <c r="S144" t="s">
        <v>1090</v>
      </c>
      <c r="T144" t="s">
        <v>1159</v>
      </c>
      <c r="U144" t="s">
        <v>1092</v>
      </c>
      <c r="V144" t="s">
        <v>1093</v>
      </c>
      <c r="W144" t="s">
        <v>1088</v>
      </c>
      <c r="X144" t="s">
        <v>1094</v>
      </c>
    </row>
    <row r="145" spans="1:24" x14ac:dyDescent="0.25">
      <c r="A145" t="s">
        <v>42</v>
      </c>
      <c r="B145" t="s">
        <v>1302</v>
      </c>
      <c r="C145" t="s">
        <v>283</v>
      </c>
      <c r="D145" t="s">
        <v>446</v>
      </c>
      <c r="E145" t="s">
        <v>1018</v>
      </c>
      <c r="F145">
        <v>0</v>
      </c>
      <c r="G145" t="s">
        <v>1088</v>
      </c>
      <c r="H145" t="s">
        <v>446</v>
      </c>
      <c r="I145" t="s">
        <v>446</v>
      </c>
      <c r="J145" t="s">
        <v>1110</v>
      </c>
      <c r="K145" t="s">
        <v>446</v>
      </c>
      <c r="L145" t="s">
        <v>446</v>
      </c>
      <c r="M145" t="s">
        <v>446</v>
      </c>
      <c r="N145" t="s">
        <v>446</v>
      </c>
      <c r="O145" t="s">
        <v>446</v>
      </c>
      <c r="P145" t="s">
        <v>446</v>
      </c>
      <c r="Q145" t="b">
        <v>1</v>
      </c>
      <c r="R145" t="b">
        <v>0</v>
      </c>
      <c r="S145" t="s">
        <v>1090</v>
      </c>
      <c r="T145" t="s">
        <v>1159</v>
      </c>
      <c r="U145" t="s">
        <v>1092</v>
      </c>
      <c r="V145" t="s">
        <v>1093</v>
      </c>
      <c r="W145" t="s">
        <v>1088</v>
      </c>
      <c r="X145" t="s">
        <v>1094</v>
      </c>
    </row>
    <row r="146" spans="1:24" x14ac:dyDescent="0.25">
      <c r="A146" t="s">
        <v>42</v>
      </c>
      <c r="B146" t="s">
        <v>1303</v>
      </c>
      <c r="C146" t="s">
        <v>283</v>
      </c>
      <c r="D146" t="s">
        <v>446</v>
      </c>
      <c r="E146" t="s">
        <v>1023</v>
      </c>
      <c r="F146">
        <v>0</v>
      </c>
      <c r="G146" t="s">
        <v>1088</v>
      </c>
      <c r="H146" t="s">
        <v>446</v>
      </c>
      <c r="I146" t="s">
        <v>446</v>
      </c>
      <c r="J146" t="s">
        <v>1110</v>
      </c>
      <c r="K146" t="s">
        <v>446</v>
      </c>
      <c r="L146" t="s">
        <v>446</v>
      </c>
      <c r="M146" t="s">
        <v>446</v>
      </c>
      <c r="N146" t="s">
        <v>446</v>
      </c>
      <c r="O146" t="s">
        <v>446</v>
      </c>
      <c r="P146" t="s">
        <v>446</v>
      </c>
      <c r="Q146" t="b">
        <v>1</v>
      </c>
      <c r="R146" t="b">
        <v>0</v>
      </c>
      <c r="S146" t="s">
        <v>1090</v>
      </c>
      <c r="T146" t="s">
        <v>1159</v>
      </c>
      <c r="U146" t="s">
        <v>1092</v>
      </c>
      <c r="V146" t="s">
        <v>1093</v>
      </c>
      <c r="W146" t="s">
        <v>1088</v>
      </c>
      <c r="X146" t="s">
        <v>1094</v>
      </c>
    </row>
    <row r="147" spans="1:24" x14ac:dyDescent="0.25">
      <c r="A147" t="s">
        <v>42</v>
      </c>
      <c r="B147" t="s">
        <v>1304</v>
      </c>
      <c r="C147" t="s">
        <v>283</v>
      </c>
      <c r="D147" t="s">
        <v>446</v>
      </c>
      <c r="E147" t="s">
        <v>1029</v>
      </c>
      <c r="F147">
        <v>0</v>
      </c>
      <c r="G147" t="s">
        <v>1088</v>
      </c>
      <c r="H147" t="s">
        <v>446</v>
      </c>
      <c r="I147" t="s">
        <v>446</v>
      </c>
      <c r="J147" t="s">
        <v>1110</v>
      </c>
      <c r="K147" t="s">
        <v>446</v>
      </c>
      <c r="L147" t="s">
        <v>446</v>
      </c>
      <c r="M147" t="s">
        <v>446</v>
      </c>
      <c r="N147" t="s">
        <v>446</v>
      </c>
      <c r="O147" t="s">
        <v>446</v>
      </c>
      <c r="P147" t="s">
        <v>446</v>
      </c>
      <c r="Q147" t="b">
        <v>1</v>
      </c>
      <c r="R147" t="b">
        <v>0</v>
      </c>
      <c r="S147" t="s">
        <v>1090</v>
      </c>
      <c r="T147" t="s">
        <v>1159</v>
      </c>
      <c r="U147" t="s">
        <v>1092</v>
      </c>
      <c r="V147" t="s">
        <v>1093</v>
      </c>
      <c r="W147" t="s">
        <v>1088</v>
      </c>
      <c r="X147" t="s">
        <v>1094</v>
      </c>
    </row>
    <row r="148" spans="1:24" x14ac:dyDescent="0.25">
      <c r="A148" t="s">
        <v>42</v>
      </c>
      <c r="B148" t="s">
        <v>1305</v>
      </c>
      <c r="C148" t="s">
        <v>283</v>
      </c>
      <c r="D148" t="s">
        <v>446</v>
      </c>
      <c r="E148" t="s">
        <v>1035</v>
      </c>
      <c r="F148">
        <v>0</v>
      </c>
      <c r="G148" t="s">
        <v>1088</v>
      </c>
      <c r="H148" t="s">
        <v>446</v>
      </c>
      <c r="I148" t="s">
        <v>446</v>
      </c>
      <c r="J148" t="s">
        <v>1110</v>
      </c>
      <c r="K148" t="s">
        <v>446</v>
      </c>
      <c r="L148" t="s">
        <v>446</v>
      </c>
      <c r="M148" t="s">
        <v>446</v>
      </c>
      <c r="N148" t="s">
        <v>446</v>
      </c>
      <c r="O148" t="s">
        <v>446</v>
      </c>
      <c r="P148" t="s">
        <v>446</v>
      </c>
      <c r="Q148" t="b">
        <v>1</v>
      </c>
      <c r="R148" t="b">
        <v>0</v>
      </c>
      <c r="S148" t="s">
        <v>1090</v>
      </c>
      <c r="T148" t="s">
        <v>1159</v>
      </c>
      <c r="U148" t="s">
        <v>1092</v>
      </c>
      <c r="V148" t="s">
        <v>1093</v>
      </c>
      <c r="W148" t="s">
        <v>1088</v>
      </c>
      <c r="X148" t="s">
        <v>1094</v>
      </c>
    </row>
    <row r="149" spans="1:24" x14ac:dyDescent="0.25">
      <c r="A149" t="s">
        <v>42</v>
      </c>
      <c r="B149" t="s">
        <v>1306</v>
      </c>
      <c r="C149" t="s">
        <v>283</v>
      </c>
      <c r="D149" t="s">
        <v>446</v>
      </c>
      <c r="E149" t="s">
        <v>1040</v>
      </c>
      <c r="F149">
        <v>0</v>
      </c>
      <c r="G149" t="s">
        <v>1088</v>
      </c>
      <c r="H149" t="s">
        <v>446</v>
      </c>
      <c r="I149" t="s">
        <v>446</v>
      </c>
      <c r="J149" t="s">
        <v>1110</v>
      </c>
      <c r="K149" t="s">
        <v>446</v>
      </c>
      <c r="L149" t="s">
        <v>446</v>
      </c>
      <c r="M149" t="s">
        <v>446</v>
      </c>
      <c r="N149" t="s">
        <v>446</v>
      </c>
      <c r="O149" t="s">
        <v>446</v>
      </c>
      <c r="P149" t="s">
        <v>446</v>
      </c>
      <c r="Q149" t="b">
        <v>1</v>
      </c>
      <c r="R149" t="b">
        <v>0</v>
      </c>
      <c r="S149" t="s">
        <v>1090</v>
      </c>
      <c r="T149" t="s">
        <v>1159</v>
      </c>
      <c r="U149" t="s">
        <v>1092</v>
      </c>
      <c r="V149" t="s">
        <v>1093</v>
      </c>
      <c r="W149" t="s">
        <v>1088</v>
      </c>
      <c r="X149" t="s">
        <v>1094</v>
      </c>
    </row>
    <row r="150" spans="1:24" x14ac:dyDescent="0.25">
      <c r="A150" t="s">
        <v>42</v>
      </c>
      <c r="B150" t="s">
        <v>1307</v>
      </c>
      <c r="C150" t="s">
        <v>283</v>
      </c>
      <c r="D150" t="s">
        <v>446</v>
      </c>
      <c r="E150" t="s">
        <v>1045</v>
      </c>
      <c r="F150">
        <v>0</v>
      </c>
      <c r="G150" t="s">
        <v>1088</v>
      </c>
      <c r="H150" t="s">
        <v>446</v>
      </c>
      <c r="I150" t="s">
        <v>446</v>
      </c>
      <c r="J150" t="s">
        <v>1110</v>
      </c>
      <c r="K150" t="s">
        <v>446</v>
      </c>
      <c r="L150" t="s">
        <v>446</v>
      </c>
      <c r="M150" t="s">
        <v>446</v>
      </c>
      <c r="N150" t="s">
        <v>446</v>
      </c>
      <c r="O150" t="s">
        <v>446</v>
      </c>
      <c r="P150" t="s">
        <v>446</v>
      </c>
      <c r="Q150" t="b">
        <v>1</v>
      </c>
      <c r="R150" t="b">
        <v>0</v>
      </c>
      <c r="S150" t="s">
        <v>1090</v>
      </c>
      <c r="T150" t="s">
        <v>1159</v>
      </c>
      <c r="U150" t="s">
        <v>1092</v>
      </c>
      <c r="V150" t="s">
        <v>1093</v>
      </c>
      <c r="W150" t="s">
        <v>1088</v>
      </c>
      <c r="X150" t="s">
        <v>1094</v>
      </c>
    </row>
    <row r="151" spans="1:24" x14ac:dyDescent="0.25">
      <c r="A151" t="s">
        <v>42</v>
      </c>
      <c r="B151" t="s">
        <v>1308</v>
      </c>
      <c r="C151" t="s">
        <v>283</v>
      </c>
      <c r="D151" t="s">
        <v>446</v>
      </c>
      <c r="E151" t="s">
        <v>1051</v>
      </c>
      <c r="F151">
        <v>0</v>
      </c>
      <c r="G151" t="s">
        <v>1088</v>
      </c>
      <c r="H151" t="s">
        <v>446</v>
      </c>
      <c r="I151" t="s">
        <v>446</v>
      </c>
      <c r="J151" t="s">
        <v>1110</v>
      </c>
      <c r="K151" t="s">
        <v>446</v>
      </c>
      <c r="L151" t="s">
        <v>446</v>
      </c>
      <c r="M151" t="s">
        <v>446</v>
      </c>
      <c r="N151" t="s">
        <v>446</v>
      </c>
      <c r="O151" t="s">
        <v>446</v>
      </c>
      <c r="P151" t="s">
        <v>446</v>
      </c>
      <c r="Q151" t="b">
        <v>1</v>
      </c>
      <c r="R151" t="b">
        <v>0</v>
      </c>
      <c r="S151" t="s">
        <v>1090</v>
      </c>
      <c r="T151" t="s">
        <v>1159</v>
      </c>
      <c r="U151" t="s">
        <v>1092</v>
      </c>
      <c r="V151" t="s">
        <v>1093</v>
      </c>
      <c r="W151" t="s">
        <v>1088</v>
      </c>
      <c r="X151" t="s">
        <v>1094</v>
      </c>
    </row>
    <row r="152" spans="1:24" x14ac:dyDescent="0.25">
      <c r="A152" t="s">
        <v>42</v>
      </c>
      <c r="B152" t="s">
        <v>1309</v>
      </c>
      <c r="C152" t="s">
        <v>284</v>
      </c>
      <c r="D152" t="s">
        <v>446</v>
      </c>
      <c r="E152" t="s">
        <v>978</v>
      </c>
      <c r="F152">
        <v>0</v>
      </c>
      <c r="G152" t="s">
        <v>1088</v>
      </c>
      <c r="H152" t="s">
        <v>446</v>
      </c>
      <c r="I152" t="s">
        <v>446</v>
      </c>
      <c r="J152" t="s">
        <v>1110</v>
      </c>
      <c r="K152" t="s">
        <v>446</v>
      </c>
      <c r="L152" t="s">
        <v>446</v>
      </c>
      <c r="M152" t="s">
        <v>446</v>
      </c>
      <c r="N152" t="s">
        <v>446</v>
      </c>
      <c r="O152" t="s">
        <v>446</v>
      </c>
      <c r="P152" t="s">
        <v>446</v>
      </c>
      <c r="Q152" t="b">
        <v>1</v>
      </c>
      <c r="R152" t="b">
        <v>0</v>
      </c>
      <c r="S152" t="s">
        <v>1090</v>
      </c>
      <c r="T152" t="s">
        <v>1159</v>
      </c>
      <c r="U152" t="s">
        <v>1092</v>
      </c>
      <c r="V152" t="s">
        <v>1093</v>
      </c>
      <c r="W152" t="s">
        <v>1088</v>
      </c>
      <c r="X152" t="s">
        <v>1094</v>
      </c>
    </row>
    <row r="153" spans="1:24" x14ac:dyDescent="0.25">
      <c r="A153" t="s">
        <v>42</v>
      </c>
      <c r="B153" t="s">
        <v>1310</v>
      </c>
      <c r="C153" t="s">
        <v>284</v>
      </c>
      <c r="D153" t="s">
        <v>446</v>
      </c>
      <c r="E153" t="s">
        <v>986</v>
      </c>
      <c r="F153">
        <v>0</v>
      </c>
      <c r="G153" t="s">
        <v>1088</v>
      </c>
      <c r="H153" t="s">
        <v>446</v>
      </c>
      <c r="I153" t="s">
        <v>446</v>
      </c>
      <c r="J153" t="s">
        <v>1110</v>
      </c>
      <c r="K153" t="s">
        <v>446</v>
      </c>
      <c r="L153" t="s">
        <v>446</v>
      </c>
      <c r="M153" t="s">
        <v>446</v>
      </c>
      <c r="N153" t="s">
        <v>446</v>
      </c>
      <c r="O153" t="s">
        <v>446</v>
      </c>
      <c r="P153" t="s">
        <v>446</v>
      </c>
      <c r="Q153" t="b">
        <v>1</v>
      </c>
      <c r="R153" t="b">
        <v>0</v>
      </c>
      <c r="S153" t="s">
        <v>1090</v>
      </c>
      <c r="T153" t="s">
        <v>1311</v>
      </c>
      <c r="U153" t="s">
        <v>1092</v>
      </c>
      <c r="V153" t="s">
        <v>1093</v>
      </c>
      <c r="W153" t="s">
        <v>1088</v>
      </c>
      <c r="X153" t="s">
        <v>1094</v>
      </c>
    </row>
    <row r="154" spans="1:24" x14ac:dyDescent="0.25">
      <c r="A154" t="s">
        <v>42</v>
      </c>
      <c r="B154" t="s">
        <v>1312</v>
      </c>
      <c r="C154" t="s">
        <v>284</v>
      </c>
      <c r="D154" t="s">
        <v>446</v>
      </c>
      <c r="E154" t="s">
        <v>998</v>
      </c>
      <c r="F154">
        <v>0</v>
      </c>
      <c r="G154" t="s">
        <v>1088</v>
      </c>
      <c r="H154" t="s">
        <v>446</v>
      </c>
      <c r="I154" t="s">
        <v>446</v>
      </c>
      <c r="J154" t="s">
        <v>1110</v>
      </c>
      <c r="K154" t="s">
        <v>446</v>
      </c>
      <c r="L154" t="s">
        <v>446</v>
      </c>
      <c r="M154" t="s">
        <v>446</v>
      </c>
      <c r="N154" t="s">
        <v>446</v>
      </c>
      <c r="O154" t="s">
        <v>446</v>
      </c>
      <c r="P154" t="s">
        <v>446</v>
      </c>
      <c r="Q154" t="b">
        <v>1</v>
      </c>
      <c r="R154" t="b">
        <v>0</v>
      </c>
      <c r="S154" t="s">
        <v>1090</v>
      </c>
      <c r="T154" t="s">
        <v>1313</v>
      </c>
      <c r="U154" t="s">
        <v>1092</v>
      </c>
      <c r="V154" t="s">
        <v>1093</v>
      </c>
      <c r="W154" t="s">
        <v>1088</v>
      </c>
      <c r="X154" t="s">
        <v>1094</v>
      </c>
    </row>
    <row r="155" spans="1:24" x14ac:dyDescent="0.25">
      <c r="A155" t="s">
        <v>42</v>
      </c>
      <c r="B155" t="s">
        <v>1314</v>
      </c>
      <c r="C155" t="s">
        <v>284</v>
      </c>
      <c r="D155" t="s">
        <v>446</v>
      </c>
      <c r="E155" t="s">
        <v>1006</v>
      </c>
      <c r="F155">
        <v>0</v>
      </c>
      <c r="G155" t="s">
        <v>1088</v>
      </c>
      <c r="H155" t="s">
        <v>446</v>
      </c>
      <c r="I155" t="s">
        <v>446</v>
      </c>
      <c r="J155" t="s">
        <v>1110</v>
      </c>
      <c r="K155" t="s">
        <v>446</v>
      </c>
      <c r="L155" t="s">
        <v>446</v>
      </c>
      <c r="M155" t="s">
        <v>446</v>
      </c>
      <c r="N155" t="s">
        <v>446</v>
      </c>
      <c r="O155" t="s">
        <v>446</v>
      </c>
      <c r="P155" t="s">
        <v>446</v>
      </c>
      <c r="Q155" t="b">
        <v>1</v>
      </c>
      <c r="R155" t="b">
        <v>0</v>
      </c>
      <c r="S155" t="s">
        <v>1090</v>
      </c>
      <c r="T155" t="s">
        <v>1315</v>
      </c>
      <c r="U155" t="s">
        <v>1092</v>
      </c>
      <c r="V155" t="s">
        <v>1093</v>
      </c>
      <c r="W155" t="s">
        <v>1088</v>
      </c>
      <c r="X155" t="s">
        <v>1094</v>
      </c>
    </row>
    <row r="156" spans="1:24" x14ac:dyDescent="0.25">
      <c r="A156" t="s">
        <v>42</v>
      </c>
      <c r="B156" t="s">
        <v>1316</v>
      </c>
      <c r="C156" t="s">
        <v>284</v>
      </c>
      <c r="D156" t="s">
        <v>446</v>
      </c>
      <c r="E156" t="s">
        <v>1013</v>
      </c>
      <c r="F156">
        <v>0</v>
      </c>
      <c r="G156" t="s">
        <v>1088</v>
      </c>
      <c r="H156" t="s">
        <v>446</v>
      </c>
      <c r="I156" t="s">
        <v>446</v>
      </c>
      <c r="J156" t="s">
        <v>1110</v>
      </c>
      <c r="K156" t="s">
        <v>446</v>
      </c>
      <c r="L156" t="s">
        <v>446</v>
      </c>
      <c r="M156" t="s">
        <v>446</v>
      </c>
      <c r="N156" t="s">
        <v>446</v>
      </c>
      <c r="O156" t="s">
        <v>446</v>
      </c>
      <c r="P156" t="s">
        <v>446</v>
      </c>
      <c r="Q156" t="b">
        <v>1</v>
      </c>
      <c r="R156" t="b">
        <v>0</v>
      </c>
      <c r="S156" t="s">
        <v>1090</v>
      </c>
      <c r="T156" t="s">
        <v>1317</v>
      </c>
      <c r="U156" t="s">
        <v>1092</v>
      </c>
      <c r="V156" t="s">
        <v>1093</v>
      </c>
      <c r="W156" t="s">
        <v>1088</v>
      </c>
      <c r="X156" t="s">
        <v>1094</v>
      </c>
    </row>
    <row r="157" spans="1:24" x14ac:dyDescent="0.25">
      <c r="A157" t="s">
        <v>42</v>
      </c>
      <c r="B157" t="s">
        <v>1318</v>
      </c>
      <c r="C157" t="s">
        <v>284</v>
      </c>
      <c r="D157" t="s">
        <v>446</v>
      </c>
      <c r="E157" t="s">
        <v>1018</v>
      </c>
      <c r="F157">
        <v>0</v>
      </c>
      <c r="G157" t="s">
        <v>1088</v>
      </c>
      <c r="H157" t="s">
        <v>446</v>
      </c>
      <c r="I157" t="s">
        <v>446</v>
      </c>
      <c r="J157" t="s">
        <v>1110</v>
      </c>
      <c r="K157" t="s">
        <v>446</v>
      </c>
      <c r="L157" t="s">
        <v>446</v>
      </c>
      <c r="M157" t="s">
        <v>446</v>
      </c>
      <c r="N157" t="s">
        <v>446</v>
      </c>
      <c r="O157" t="s">
        <v>446</v>
      </c>
      <c r="P157" t="s">
        <v>446</v>
      </c>
      <c r="Q157" t="b">
        <v>1</v>
      </c>
      <c r="R157" t="b">
        <v>0</v>
      </c>
      <c r="S157" t="s">
        <v>1090</v>
      </c>
      <c r="T157" t="s">
        <v>1319</v>
      </c>
      <c r="U157" t="s">
        <v>1092</v>
      </c>
      <c r="V157" t="s">
        <v>1093</v>
      </c>
      <c r="W157" t="s">
        <v>1088</v>
      </c>
      <c r="X157" t="s">
        <v>1094</v>
      </c>
    </row>
    <row r="158" spans="1:24" x14ac:dyDescent="0.25">
      <c r="A158" t="s">
        <v>42</v>
      </c>
      <c r="B158" t="s">
        <v>1320</v>
      </c>
      <c r="C158" t="s">
        <v>284</v>
      </c>
      <c r="D158" t="s">
        <v>446</v>
      </c>
      <c r="E158" t="s">
        <v>1023</v>
      </c>
      <c r="F158">
        <v>0</v>
      </c>
      <c r="G158" t="s">
        <v>1088</v>
      </c>
      <c r="H158" t="s">
        <v>446</v>
      </c>
      <c r="I158" t="s">
        <v>446</v>
      </c>
      <c r="J158" t="s">
        <v>1110</v>
      </c>
      <c r="K158" t="s">
        <v>446</v>
      </c>
      <c r="L158" t="s">
        <v>446</v>
      </c>
      <c r="M158" t="s">
        <v>446</v>
      </c>
      <c r="N158" t="s">
        <v>446</v>
      </c>
      <c r="O158" t="s">
        <v>446</v>
      </c>
      <c r="P158" t="s">
        <v>446</v>
      </c>
      <c r="Q158" t="b">
        <v>1</v>
      </c>
      <c r="R158" t="b">
        <v>0</v>
      </c>
      <c r="S158" t="s">
        <v>1090</v>
      </c>
      <c r="T158" t="s">
        <v>1321</v>
      </c>
      <c r="U158" t="s">
        <v>1092</v>
      </c>
      <c r="V158" t="s">
        <v>1093</v>
      </c>
      <c r="W158" t="s">
        <v>1088</v>
      </c>
      <c r="X158" t="s">
        <v>1094</v>
      </c>
    </row>
    <row r="159" spans="1:24" x14ac:dyDescent="0.25">
      <c r="A159" t="s">
        <v>42</v>
      </c>
      <c r="B159" t="s">
        <v>1322</v>
      </c>
      <c r="C159" t="s">
        <v>284</v>
      </c>
      <c r="D159" t="s">
        <v>446</v>
      </c>
      <c r="E159" t="s">
        <v>1029</v>
      </c>
      <c r="F159">
        <v>0</v>
      </c>
      <c r="G159" t="s">
        <v>1088</v>
      </c>
      <c r="H159" t="s">
        <v>446</v>
      </c>
      <c r="I159" t="s">
        <v>446</v>
      </c>
      <c r="J159" t="s">
        <v>1110</v>
      </c>
      <c r="K159" t="s">
        <v>446</v>
      </c>
      <c r="L159" t="s">
        <v>446</v>
      </c>
      <c r="M159" t="s">
        <v>446</v>
      </c>
      <c r="N159" t="s">
        <v>446</v>
      </c>
      <c r="O159" t="s">
        <v>446</v>
      </c>
      <c r="P159" t="s">
        <v>446</v>
      </c>
      <c r="Q159" t="b">
        <v>1</v>
      </c>
      <c r="R159" t="b">
        <v>0</v>
      </c>
      <c r="S159" t="s">
        <v>1090</v>
      </c>
      <c r="T159" t="s">
        <v>1323</v>
      </c>
      <c r="U159" t="s">
        <v>1092</v>
      </c>
      <c r="V159" t="s">
        <v>1093</v>
      </c>
      <c r="W159" t="s">
        <v>1088</v>
      </c>
      <c r="X159" t="s">
        <v>1094</v>
      </c>
    </row>
    <row r="160" spans="1:24" x14ac:dyDescent="0.25">
      <c r="A160" t="s">
        <v>42</v>
      </c>
      <c r="B160" t="s">
        <v>1324</v>
      </c>
      <c r="C160" t="s">
        <v>284</v>
      </c>
      <c r="D160" t="s">
        <v>446</v>
      </c>
      <c r="E160" t="s">
        <v>1035</v>
      </c>
      <c r="F160">
        <v>0</v>
      </c>
      <c r="G160" t="s">
        <v>1088</v>
      </c>
      <c r="H160" t="s">
        <v>446</v>
      </c>
      <c r="I160" t="s">
        <v>446</v>
      </c>
      <c r="J160" t="s">
        <v>1110</v>
      </c>
      <c r="K160" t="s">
        <v>446</v>
      </c>
      <c r="L160" t="s">
        <v>446</v>
      </c>
      <c r="M160" t="s">
        <v>446</v>
      </c>
      <c r="N160" t="s">
        <v>446</v>
      </c>
      <c r="O160" t="s">
        <v>446</v>
      </c>
      <c r="P160" t="s">
        <v>446</v>
      </c>
      <c r="Q160" t="b">
        <v>1</v>
      </c>
      <c r="R160" t="b">
        <v>0</v>
      </c>
      <c r="S160" t="s">
        <v>1090</v>
      </c>
      <c r="T160" t="s">
        <v>1325</v>
      </c>
      <c r="U160" t="s">
        <v>1092</v>
      </c>
      <c r="V160" t="s">
        <v>1093</v>
      </c>
      <c r="W160" t="s">
        <v>1088</v>
      </c>
      <c r="X160" t="s">
        <v>1094</v>
      </c>
    </row>
    <row r="161" spans="1:24" x14ac:dyDescent="0.25">
      <c r="A161" t="s">
        <v>42</v>
      </c>
      <c r="B161" t="s">
        <v>1326</v>
      </c>
      <c r="C161" t="s">
        <v>284</v>
      </c>
      <c r="D161" t="s">
        <v>446</v>
      </c>
      <c r="E161" t="s">
        <v>1040</v>
      </c>
      <c r="F161">
        <v>0</v>
      </c>
      <c r="G161" t="s">
        <v>1088</v>
      </c>
      <c r="H161" t="s">
        <v>446</v>
      </c>
      <c r="I161" t="s">
        <v>446</v>
      </c>
      <c r="J161" t="s">
        <v>1110</v>
      </c>
      <c r="K161" t="s">
        <v>446</v>
      </c>
      <c r="L161" t="s">
        <v>446</v>
      </c>
      <c r="M161" t="s">
        <v>446</v>
      </c>
      <c r="N161" t="s">
        <v>446</v>
      </c>
      <c r="O161" t="s">
        <v>446</v>
      </c>
      <c r="P161" t="s">
        <v>446</v>
      </c>
      <c r="Q161" t="b">
        <v>1</v>
      </c>
      <c r="R161" t="b">
        <v>0</v>
      </c>
      <c r="S161" t="s">
        <v>1090</v>
      </c>
      <c r="T161" t="s">
        <v>1327</v>
      </c>
      <c r="U161" t="s">
        <v>1092</v>
      </c>
      <c r="V161" t="s">
        <v>1093</v>
      </c>
      <c r="W161" t="s">
        <v>1088</v>
      </c>
      <c r="X161" t="s">
        <v>1094</v>
      </c>
    </row>
    <row r="162" spans="1:24" x14ac:dyDescent="0.25">
      <c r="A162" t="s">
        <v>42</v>
      </c>
      <c r="B162" t="s">
        <v>1328</v>
      </c>
      <c r="C162" t="s">
        <v>284</v>
      </c>
      <c r="D162" t="s">
        <v>446</v>
      </c>
      <c r="E162" t="s">
        <v>1045</v>
      </c>
      <c r="F162">
        <v>0</v>
      </c>
      <c r="G162" t="s">
        <v>1088</v>
      </c>
      <c r="H162" t="s">
        <v>446</v>
      </c>
      <c r="I162" t="s">
        <v>446</v>
      </c>
      <c r="J162" t="s">
        <v>1110</v>
      </c>
      <c r="K162" t="s">
        <v>446</v>
      </c>
      <c r="L162" t="s">
        <v>446</v>
      </c>
      <c r="M162" t="s">
        <v>446</v>
      </c>
      <c r="N162" t="s">
        <v>446</v>
      </c>
      <c r="O162" t="s">
        <v>446</v>
      </c>
      <c r="P162" t="s">
        <v>446</v>
      </c>
      <c r="Q162" t="b">
        <v>1</v>
      </c>
      <c r="R162" t="b">
        <v>0</v>
      </c>
      <c r="S162" t="s">
        <v>1090</v>
      </c>
      <c r="T162" t="s">
        <v>1159</v>
      </c>
      <c r="U162" t="s">
        <v>1092</v>
      </c>
      <c r="V162" t="s">
        <v>1093</v>
      </c>
      <c r="W162" t="s">
        <v>1088</v>
      </c>
      <c r="X162" t="s">
        <v>1094</v>
      </c>
    </row>
    <row r="163" spans="1:24" x14ac:dyDescent="0.25">
      <c r="A163" t="s">
        <v>42</v>
      </c>
      <c r="B163" t="s">
        <v>1329</v>
      </c>
      <c r="C163" t="s">
        <v>284</v>
      </c>
      <c r="D163" t="s">
        <v>446</v>
      </c>
      <c r="E163" t="s">
        <v>1051</v>
      </c>
      <c r="F163">
        <v>0</v>
      </c>
      <c r="G163" t="s">
        <v>1088</v>
      </c>
      <c r="H163" t="s">
        <v>446</v>
      </c>
      <c r="I163" t="s">
        <v>446</v>
      </c>
      <c r="J163" t="s">
        <v>1110</v>
      </c>
      <c r="K163" t="s">
        <v>446</v>
      </c>
      <c r="L163" t="s">
        <v>446</v>
      </c>
      <c r="M163" t="s">
        <v>446</v>
      </c>
      <c r="N163" t="s">
        <v>446</v>
      </c>
      <c r="O163" t="s">
        <v>446</v>
      </c>
      <c r="P163" t="s">
        <v>446</v>
      </c>
      <c r="Q163" t="b">
        <v>1</v>
      </c>
      <c r="R163" t="b">
        <v>0</v>
      </c>
      <c r="S163" t="s">
        <v>1090</v>
      </c>
      <c r="T163" t="s">
        <v>1159</v>
      </c>
      <c r="U163" t="s">
        <v>1092</v>
      </c>
      <c r="V163" t="s">
        <v>1093</v>
      </c>
      <c r="W163" t="s">
        <v>1088</v>
      </c>
      <c r="X163" t="s">
        <v>1094</v>
      </c>
    </row>
    <row r="164" spans="1:24" x14ac:dyDescent="0.25">
      <c r="A164" t="s">
        <v>42</v>
      </c>
      <c r="B164" t="s">
        <v>1330</v>
      </c>
      <c r="C164" t="s">
        <v>285</v>
      </c>
      <c r="D164" t="s">
        <v>446</v>
      </c>
      <c r="E164" t="s">
        <v>978</v>
      </c>
      <c r="F164">
        <v>0</v>
      </c>
      <c r="G164" t="s">
        <v>1088</v>
      </c>
      <c r="H164" t="s">
        <v>446</v>
      </c>
      <c r="I164" t="s">
        <v>446</v>
      </c>
      <c r="J164" t="s">
        <v>1110</v>
      </c>
      <c r="K164" t="s">
        <v>446</v>
      </c>
      <c r="L164" t="s">
        <v>446</v>
      </c>
      <c r="M164" t="s">
        <v>446</v>
      </c>
      <c r="N164" t="s">
        <v>446</v>
      </c>
      <c r="O164" t="s">
        <v>446</v>
      </c>
      <c r="P164" t="s">
        <v>446</v>
      </c>
      <c r="Q164" t="b">
        <v>1</v>
      </c>
      <c r="R164" t="b">
        <v>0</v>
      </c>
      <c r="S164" t="s">
        <v>1090</v>
      </c>
      <c r="T164" t="s">
        <v>1159</v>
      </c>
      <c r="U164" t="s">
        <v>1092</v>
      </c>
      <c r="V164" t="s">
        <v>1093</v>
      </c>
      <c r="W164" t="s">
        <v>1088</v>
      </c>
      <c r="X164" t="s">
        <v>1094</v>
      </c>
    </row>
    <row r="165" spans="1:24" x14ac:dyDescent="0.25">
      <c r="A165" t="s">
        <v>42</v>
      </c>
      <c r="B165" t="s">
        <v>1331</v>
      </c>
      <c r="C165" t="s">
        <v>285</v>
      </c>
      <c r="D165" t="s">
        <v>446</v>
      </c>
      <c r="E165" t="s">
        <v>986</v>
      </c>
      <c r="F165">
        <v>0</v>
      </c>
      <c r="G165" t="s">
        <v>1088</v>
      </c>
      <c r="H165" t="s">
        <v>446</v>
      </c>
      <c r="I165" t="s">
        <v>446</v>
      </c>
      <c r="J165" t="s">
        <v>1110</v>
      </c>
      <c r="K165" t="s">
        <v>446</v>
      </c>
      <c r="L165" t="s">
        <v>446</v>
      </c>
      <c r="M165" t="s">
        <v>446</v>
      </c>
      <c r="N165" t="s">
        <v>446</v>
      </c>
      <c r="O165" t="s">
        <v>446</v>
      </c>
      <c r="P165" t="s">
        <v>446</v>
      </c>
      <c r="Q165" t="b">
        <v>1</v>
      </c>
      <c r="R165" t="b">
        <v>0</v>
      </c>
      <c r="S165" t="s">
        <v>1090</v>
      </c>
      <c r="T165" t="s">
        <v>1159</v>
      </c>
      <c r="U165" t="s">
        <v>1092</v>
      </c>
      <c r="V165" t="s">
        <v>1093</v>
      </c>
      <c r="W165" t="s">
        <v>1088</v>
      </c>
      <c r="X165" t="s">
        <v>1094</v>
      </c>
    </row>
    <row r="166" spans="1:24" x14ac:dyDescent="0.25">
      <c r="A166" t="s">
        <v>42</v>
      </c>
      <c r="B166" t="s">
        <v>1332</v>
      </c>
      <c r="C166" t="s">
        <v>285</v>
      </c>
      <c r="D166" t="s">
        <v>446</v>
      </c>
      <c r="E166" t="s">
        <v>992</v>
      </c>
      <c r="F166">
        <v>0</v>
      </c>
      <c r="G166" t="s">
        <v>1088</v>
      </c>
      <c r="H166" t="s">
        <v>446</v>
      </c>
      <c r="I166" t="s">
        <v>446</v>
      </c>
      <c r="J166" t="s">
        <v>1110</v>
      </c>
      <c r="K166" t="s">
        <v>446</v>
      </c>
      <c r="L166" t="s">
        <v>446</v>
      </c>
      <c r="M166" t="s">
        <v>446</v>
      </c>
      <c r="N166" t="s">
        <v>446</v>
      </c>
      <c r="O166" t="s">
        <v>446</v>
      </c>
      <c r="P166" t="s">
        <v>446</v>
      </c>
      <c r="Q166" t="b">
        <v>1</v>
      </c>
      <c r="R166" t="b">
        <v>0</v>
      </c>
      <c r="S166" t="s">
        <v>1090</v>
      </c>
      <c r="T166" t="s">
        <v>1159</v>
      </c>
      <c r="U166" t="s">
        <v>1092</v>
      </c>
      <c r="V166" t="s">
        <v>1093</v>
      </c>
      <c r="W166" t="s">
        <v>1088</v>
      </c>
      <c r="X166" t="s">
        <v>1094</v>
      </c>
    </row>
    <row r="167" spans="1:24" x14ac:dyDescent="0.25">
      <c r="A167" t="s">
        <v>42</v>
      </c>
      <c r="B167" t="s">
        <v>1333</v>
      </c>
      <c r="C167" t="s">
        <v>285</v>
      </c>
      <c r="D167" t="s">
        <v>446</v>
      </c>
      <c r="E167" t="s">
        <v>998</v>
      </c>
      <c r="F167">
        <v>0</v>
      </c>
      <c r="G167" t="s">
        <v>1088</v>
      </c>
      <c r="H167" t="s">
        <v>446</v>
      </c>
      <c r="I167" t="s">
        <v>446</v>
      </c>
      <c r="J167" t="s">
        <v>1110</v>
      </c>
      <c r="K167" t="s">
        <v>446</v>
      </c>
      <c r="L167" t="s">
        <v>446</v>
      </c>
      <c r="M167" t="s">
        <v>446</v>
      </c>
      <c r="N167" t="s">
        <v>446</v>
      </c>
      <c r="O167" t="s">
        <v>446</v>
      </c>
      <c r="P167" t="s">
        <v>446</v>
      </c>
      <c r="Q167" t="b">
        <v>1</v>
      </c>
      <c r="R167" t="b">
        <v>0</v>
      </c>
      <c r="S167" t="s">
        <v>1090</v>
      </c>
      <c r="T167" t="s">
        <v>1159</v>
      </c>
      <c r="U167" t="s">
        <v>1092</v>
      </c>
      <c r="V167" t="s">
        <v>1093</v>
      </c>
      <c r="W167" t="s">
        <v>1088</v>
      </c>
      <c r="X167" t="s">
        <v>1094</v>
      </c>
    </row>
    <row r="168" spans="1:24" x14ac:dyDescent="0.25">
      <c r="A168" t="s">
        <v>42</v>
      </c>
      <c r="B168" t="s">
        <v>1334</v>
      </c>
      <c r="C168" t="s">
        <v>285</v>
      </c>
      <c r="D168" t="s">
        <v>446</v>
      </c>
      <c r="E168" t="s">
        <v>1006</v>
      </c>
      <c r="F168">
        <v>0</v>
      </c>
      <c r="G168" t="s">
        <v>1088</v>
      </c>
      <c r="H168" t="s">
        <v>446</v>
      </c>
      <c r="I168" t="s">
        <v>446</v>
      </c>
      <c r="J168" t="s">
        <v>1110</v>
      </c>
      <c r="K168" t="s">
        <v>446</v>
      </c>
      <c r="L168" t="s">
        <v>446</v>
      </c>
      <c r="M168" t="s">
        <v>446</v>
      </c>
      <c r="N168" t="s">
        <v>446</v>
      </c>
      <c r="O168" t="s">
        <v>446</v>
      </c>
      <c r="P168" t="s">
        <v>446</v>
      </c>
      <c r="Q168" t="b">
        <v>1</v>
      </c>
      <c r="R168" t="b">
        <v>0</v>
      </c>
      <c r="S168" t="s">
        <v>1090</v>
      </c>
      <c r="T168" t="s">
        <v>1159</v>
      </c>
      <c r="U168" t="s">
        <v>1092</v>
      </c>
      <c r="V168" t="s">
        <v>1093</v>
      </c>
      <c r="W168" t="s">
        <v>1088</v>
      </c>
      <c r="X168" t="s">
        <v>1094</v>
      </c>
    </row>
    <row r="169" spans="1:24" x14ac:dyDescent="0.25">
      <c r="A169" t="s">
        <v>42</v>
      </c>
      <c r="B169" t="s">
        <v>1335</v>
      </c>
      <c r="C169" t="s">
        <v>285</v>
      </c>
      <c r="D169" t="s">
        <v>446</v>
      </c>
      <c r="E169" t="s">
        <v>1013</v>
      </c>
      <c r="F169">
        <v>0</v>
      </c>
      <c r="G169" t="s">
        <v>1088</v>
      </c>
      <c r="H169" t="s">
        <v>446</v>
      </c>
      <c r="I169" t="s">
        <v>446</v>
      </c>
      <c r="J169" t="s">
        <v>1110</v>
      </c>
      <c r="K169" t="s">
        <v>446</v>
      </c>
      <c r="L169" t="s">
        <v>446</v>
      </c>
      <c r="M169" t="s">
        <v>446</v>
      </c>
      <c r="N169" t="s">
        <v>446</v>
      </c>
      <c r="O169" t="s">
        <v>446</v>
      </c>
      <c r="P169" t="s">
        <v>446</v>
      </c>
      <c r="Q169" t="b">
        <v>1</v>
      </c>
      <c r="R169" t="b">
        <v>0</v>
      </c>
      <c r="S169" t="s">
        <v>1090</v>
      </c>
      <c r="T169" t="s">
        <v>1159</v>
      </c>
      <c r="U169" t="s">
        <v>1092</v>
      </c>
      <c r="V169" t="s">
        <v>1093</v>
      </c>
      <c r="W169" t="s">
        <v>1088</v>
      </c>
      <c r="X169" t="s">
        <v>1094</v>
      </c>
    </row>
    <row r="170" spans="1:24" x14ac:dyDescent="0.25">
      <c r="A170" t="s">
        <v>42</v>
      </c>
      <c r="B170" t="s">
        <v>1336</v>
      </c>
      <c r="C170" t="s">
        <v>285</v>
      </c>
      <c r="D170" t="s">
        <v>446</v>
      </c>
      <c r="E170" t="s">
        <v>1018</v>
      </c>
      <c r="F170">
        <v>0</v>
      </c>
      <c r="G170" t="s">
        <v>1088</v>
      </c>
      <c r="H170" t="s">
        <v>446</v>
      </c>
      <c r="I170" t="s">
        <v>446</v>
      </c>
      <c r="J170" t="s">
        <v>1110</v>
      </c>
      <c r="K170" t="s">
        <v>446</v>
      </c>
      <c r="L170" t="s">
        <v>446</v>
      </c>
      <c r="M170" t="s">
        <v>446</v>
      </c>
      <c r="N170" t="s">
        <v>446</v>
      </c>
      <c r="O170" t="s">
        <v>446</v>
      </c>
      <c r="P170" t="s">
        <v>446</v>
      </c>
      <c r="Q170" t="b">
        <v>1</v>
      </c>
      <c r="R170" t="b">
        <v>0</v>
      </c>
      <c r="S170" t="s">
        <v>1090</v>
      </c>
      <c r="T170" t="s">
        <v>1159</v>
      </c>
      <c r="U170" t="s">
        <v>1092</v>
      </c>
      <c r="V170" t="s">
        <v>1093</v>
      </c>
      <c r="W170" t="s">
        <v>1088</v>
      </c>
      <c r="X170" t="s">
        <v>1094</v>
      </c>
    </row>
    <row r="171" spans="1:24" x14ac:dyDescent="0.25">
      <c r="A171" t="s">
        <v>42</v>
      </c>
      <c r="B171" t="s">
        <v>1337</v>
      </c>
      <c r="C171" t="s">
        <v>285</v>
      </c>
      <c r="D171" t="s">
        <v>446</v>
      </c>
      <c r="E171" t="s">
        <v>1023</v>
      </c>
      <c r="F171">
        <v>0</v>
      </c>
      <c r="G171" t="s">
        <v>1088</v>
      </c>
      <c r="H171" t="s">
        <v>446</v>
      </c>
      <c r="I171" t="s">
        <v>446</v>
      </c>
      <c r="J171" t="s">
        <v>1110</v>
      </c>
      <c r="K171" t="s">
        <v>446</v>
      </c>
      <c r="L171" t="s">
        <v>446</v>
      </c>
      <c r="M171" t="s">
        <v>446</v>
      </c>
      <c r="N171" t="s">
        <v>446</v>
      </c>
      <c r="O171" t="s">
        <v>446</v>
      </c>
      <c r="P171" t="s">
        <v>446</v>
      </c>
      <c r="Q171" t="b">
        <v>1</v>
      </c>
      <c r="R171" t="b">
        <v>0</v>
      </c>
      <c r="S171" t="s">
        <v>1090</v>
      </c>
      <c r="T171" t="s">
        <v>1159</v>
      </c>
      <c r="U171" t="s">
        <v>1092</v>
      </c>
      <c r="V171" t="s">
        <v>1093</v>
      </c>
      <c r="W171" t="s">
        <v>1088</v>
      </c>
      <c r="X171" t="s">
        <v>1094</v>
      </c>
    </row>
    <row r="172" spans="1:24" x14ac:dyDescent="0.25">
      <c r="A172" t="s">
        <v>42</v>
      </c>
      <c r="B172" t="s">
        <v>1338</v>
      </c>
      <c r="C172" t="s">
        <v>285</v>
      </c>
      <c r="D172" t="s">
        <v>446</v>
      </c>
      <c r="E172" t="s">
        <v>1029</v>
      </c>
      <c r="F172">
        <v>0</v>
      </c>
      <c r="G172" t="s">
        <v>1088</v>
      </c>
      <c r="H172" t="s">
        <v>446</v>
      </c>
      <c r="I172" t="s">
        <v>446</v>
      </c>
      <c r="J172" t="s">
        <v>1110</v>
      </c>
      <c r="K172" t="s">
        <v>446</v>
      </c>
      <c r="L172" t="s">
        <v>446</v>
      </c>
      <c r="M172" t="s">
        <v>446</v>
      </c>
      <c r="N172" t="s">
        <v>446</v>
      </c>
      <c r="O172" t="s">
        <v>446</v>
      </c>
      <c r="P172" t="s">
        <v>446</v>
      </c>
      <c r="Q172" t="b">
        <v>1</v>
      </c>
      <c r="R172" t="b">
        <v>0</v>
      </c>
      <c r="S172" t="s">
        <v>1090</v>
      </c>
      <c r="T172" t="s">
        <v>1159</v>
      </c>
      <c r="U172" t="s">
        <v>1092</v>
      </c>
      <c r="V172" t="s">
        <v>1093</v>
      </c>
      <c r="W172" t="s">
        <v>1088</v>
      </c>
      <c r="X172" t="s">
        <v>1094</v>
      </c>
    </row>
    <row r="173" spans="1:24" x14ac:dyDescent="0.25">
      <c r="A173" t="s">
        <v>42</v>
      </c>
      <c r="B173" t="s">
        <v>1339</v>
      </c>
      <c r="C173" t="s">
        <v>285</v>
      </c>
      <c r="D173" t="s">
        <v>446</v>
      </c>
      <c r="E173" t="s">
        <v>1035</v>
      </c>
      <c r="F173">
        <v>0</v>
      </c>
      <c r="G173" t="s">
        <v>1088</v>
      </c>
      <c r="H173" t="s">
        <v>446</v>
      </c>
      <c r="I173" t="s">
        <v>446</v>
      </c>
      <c r="J173" t="s">
        <v>1110</v>
      </c>
      <c r="K173" t="s">
        <v>446</v>
      </c>
      <c r="L173" t="s">
        <v>446</v>
      </c>
      <c r="M173" t="s">
        <v>446</v>
      </c>
      <c r="N173" t="s">
        <v>446</v>
      </c>
      <c r="O173" t="s">
        <v>446</v>
      </c>
      <c r="P173" t="s">
        <v>446</v>
      </c>
      <c r="Q173" t="b">
        <v>1</v>
      </c>
      <c r="R173" t="b">
        <v>0</v>
      </c>
      <c r="S173" t="s">
        <v>1090</v>
      </c>
      <c r="T173" t="s">
        <v>1159</v>
      </c>
      <c r="U173" t="s">
        <v>1092</v>
      </c>
      <c r="V173" t="s">
        <v>1093</v>
      </c>
      <c r="W173" t="s">
        <v>1088</v>
      </c>
      <c r="X173" t="s">
        <v>1094</v>
      </c>
    </row>
    <row r="174" spans="1:24" x14ac:dyDescent="0.25">
      <c r="A174" t="s">
        <v>42</v>
      </c>
      <c r="B174" t="s">
        <v>1340</v>
      </c>
      <c r="C174" t="s">
        <v>285</v>
      </c>
      <c r="D174" t="s">
        <v>446</v>
      </c>
      <c r="E174" t="s">
        <v>1040</v>
      </c>
      <c r="F174">
        <v>0</v>
      </c>
      <c r="G174" t="s">
        <v>1088</v>
      </c>
      <c r="H174" t="s">
        <v>446</v>
      </c>
      <c r="I174" t="s">
        <v>446</v>
      </c>
      <c r="J174" t="s">
        <v>1110</v>
      </c>
      <c r="K174" t="s">
        <v>446</v>
      </c>
      <c r="L174" t="s">
        <v>446</v>
      </c>
      <c r="M174" t="s">
        <v>446</v>
      </c>
      <c r="N174" t="s">
        <v>446</v>
      </c>
      <c r="O174" t="s">
        <v>446</v>
      </c>
      <c r="P174" t="s">
        <v>446</v>
      </c>
      <c r="Q174" t="b">
        <v>1</v>
      </c>
      <c r="R174" t="b">
        <v>0</v>
      </c>
      <c r="S174" t="s">
        <v>1090</v>
      </c>
      <c r="T174" t="s">
        <v>1159</v>
      </c>
      <c r="U174" t="s">
        <v>1092</v>
      </c>
      <c r="V174" t="s">
        <v>1093</v>
      </c>
      <c r="W174" t="s">
        <v>1088</v>
      </c>
      <c r="X174" t="s">
        <v>1094</v>
      </c>
    </row>
    <row r="175" spans="1:24" x14ac:dyDescent="0.25">
      <c r="A175" t="s">
        <v>42</v>
      </c>
      <c r="B175" t="s">
        <v>1341</v>
      </c>
      <c r="C175" t="s">
        <v>285</v>
      </c>
      <c r="D175" t="s">
        <v>446</v>
      </c>
      <c r="E175" t="s">
        <v>1045</v>
      </c>
      <c r="F175">
        <v>0</v>
      </c>
      <c r="G175" t="s">
        <v>1088</v>
      </c>
      <c r="H175" t="s">
        <v>446</v>
      </c>
      <c r="I175" t="s">
        <v>446</v>
      </c>
      <c r="J175" t="s">
        <v>1110</v>
      </c>
      <c r="K175" t="s">
        <v>446</v>
      </c>
      <c r="L175" t="s">
        <v>446</v>
      </c>
      <c r="M175" t="s">
        <v>446</v>
      </c>
      <c r="N175" t="s">
        <v>446</v>
      </c>
      <c r="O175" t="s">
        <v>446</v>
      </c>
      <c r="P175" t="s">
        <v>446</v>
      </c>
      <c r="Q175" t="b">
        <v>1</v>
      </c>
      <c r="R175" t="b">
        <v>0</v>
      </c>
      <c r="S175" t="s">
        <v>1090</v>
      </c>
      <c r="T175" t="s">
        <v>1159</v>
      </c>
      <c r="U175" t="s">
        <v>1092</v>
      </c>
      <c r="V175" t="s">
        <v>1093</v>
      </c>
      <c r="W175" t="s">
        <v>1088</v>
      </c>
      <c r="X175" t="s">
        <v>1094</v>
      </c>
    </row>
    <row r="176" spans="1:24" x14ac:dyDescent="0.25">
      <c r="A176" t="s">
        <v>42</v>
      </c>
      <c r="B176" t="s">
        <v>1342</v>
      </c>
      <c r="C176" t="s">
        <v>285</v>
      </c>
      <c r="D176" t="s">
        <v>446</v>
      </c>
      <c r="E176" t="s">
        <v>1051</v>
      </c>
      <c r="F176">
        <v>0</v>
      </c>
      <c r="G176" t="s">
        <v>1088</v>
      </c>
      <c r="H176" t="s">
        <v>446</v>
      </c>
      <c r="I176" t="s">
        <v>446</v>
      </c>
      <c r="J176" t="s">
        <v>1110</v>
      </c>
      <c r="K176" t="s">
        <v>446</v>
      </c>
      <c r="L176" t="s">
        <v>446</v>
      </c>
      <c r="M176" t="s">
        <v>446</v>
      </c>
      <c r="N176" t="s">
        <v>446</v>
      </c>
      <c r="O176" t="s">
        <v>446</v>
      </c>
      <c r="P176" t="s">
        <v>446</v>
      </c>
      <c r="Q176" t="b">
        <v>1</v>
      </c>
      <c r="R176" t="b">
        <v>0</v>
      </c>
      <c r="S176" t="s">
        <v>1090</v>
      </c>
      <c r="T176" t="s">
        <v>1159</v>
      </c>
      <c r="U176" t="s">
        <v>1092</v>
      </c>
      <c r="V176" t="s">
        <v>1093</v>
      </c>
      <c r="W176" t="s">
        <v>1088</v>
      </c>
      <c r="X176" t="s">
        <v>1094</v>
      </c>
    </row>
    <row r="177" spans="1:24" x14ac:dyDescent="0.25">
      <c r="A177" t="s">
        <v>42</v>
      </c>
      <c r="B177" t="s">
        <v>1343</v>
      </c>
      <c r="C177" t="s">
        <v>286</v>
      </c>
      <c r="D177" t="s">
        <v>446</v>
      </c>
      <c r="E177" t="s">
        <v>978</v>
      </c>
      <c r="F177">
        <v>0</v>
      </c>
      <c r="G177" t="s">
        <v>1088</v>
      </c>
      <c r="H177" t="s">
        <v>446</v>
      </c>
      <c r="I177" t="s">
        <v>446</v>
      </c>
      <c r="J177" t="s">
        <v>1110</v>
      </c>
      <c r="K177" t="s">
        <v>446</v>
      </c>
      <c r="L177" t="s">
        <v>446</v>
      </c>
      <c r="M177" t="s">
        <v>446</v>
      </c>
      <c r="N177" t="s">
        <v>446</v>
      </c>
      <c r="O177" t="s">
        <v>446</v>
      </c>
      <c r="P177" t="s">
        <v>446</v>
      </c>
      <c r="Q177" t="b">
        <v>1</v>
      </c>
      <c r="R177" t="b">
        <v>0</v>
      </c>
      <c r="S177" t="s">
        <v>1090</v>
      </c>
      <c r="T177" t="s">
        <v>1159</v>
      </c>
      <c r="U177" t="s">
        <v>1092</v>
      </c>
      <c r="V177" t="s">
        <v>1093</v>
      </c>
      <c r="W177" t="s">
        <v>1088</v>
      </c>
      <c r="X177" t="s">
        <v>1094</v>
      </c>
    </row>
    <row r="178" spans="1:24" x14ac:dyDescent="0.25">
      <c r="A178" t="s">
        <v>42</v>
      </c>
      <c r="B178" t="s">
        <v>1344</v>
      </c>
      <c r="C178" t="s">
        <v>286</v>
      </c>
      <c r="D178" t="s">
        <v>446</v>
      </c>
      <c r="E178" t="s">
        <v>986</v>
      </c>
      <c r="F178">
        <v>0</v>
      </c>
      <c r="G178" t="s">
        <v>1088</v>
      </c>
      <c r="H178" t="s">
        <v>446</v>
      </c>
      <c r="I178" t="s">
        <v>446</v>
      </c>
      <c r="J178" t="s">
        <v>1110</v>
      </c>
      <c r="K178" t="s">
        <v>446</v>
      </c>
      <c r="L178" t="s">
        <v>446</v>
      </c>
      <c r="M178" t="s">
        <v>446</v>
      </c>
      <c r="N178" t="s">
        <v>446</v>
      </c>
      <c r="O178" t="s">
        <v>446</v>
      </c>
      <c r="P178" t="s">
        <v>446</v>
      </c>
      <c r="Q178" t="b">
        <v>1</v>
      </c>
      <c r="R178" t="b">
        <v>0</v>
      </c>
      <c r="S178" t="s">
        <v>1090</v>
      </c>
      <c r="T178" t="s">
        <v>1159</v>
      </c>
      <c r="U178" t="s">
        <v>1092</v>
      </c>
      <c r="V178" t="s">
        <v>1093</v>
      </c>
      <c r="W178" t="s">
        <v>1088</v>
      </c>
      <c r="X178" t="s">
        <v>1094</v>
      </c>
    </row>
    <row r="179" spans="1:24" x14ac:dyDescent="0.25">
      <c r="A179" t="s">
        <v>42</v>
      </c>
      <c r="B179" t="s">
        <v>1345</v>
      </c>
      <c r="C179" t="s">
        <v>286</v>
      </c>
      <c r="D179" t="s">
        <v>446</v>
      </c>
      <c r="E179" t="s">
        <v>992</v>
      </c>
      <c r="F179">
        <v>0</v>
      </c>
      <c r="G179" t="s">
        <v>1088</v>
      </c>
      <c r="H179" t="s">
        <v>446</v>
      </c>
      <c r="I179" t="s">
        <v>446</v>
      </c>
      <c r="J179" t="s">
        <v>1110</v>
      </c>
      <c r="K179" t="s">
        <v>446</v>
      </c>
      <c r="L179" t="s">
        <v>446</v>
      </c>
      <c r="M179" t="s">
        <v>446</v>
      </c>
      <c r="N179" t="s">
        <v>446</v>
      </c>
      <c r="O179" t="s">
        <v>446</v>
      </c>
      <c r="P179" t="s">
        <v>446</v>
      </c>
      <c r="Q179" t="b">
        <v>1</v>
      </c>
      <c r="R179" t="b">
        <v>0</v>
      </c>
      <c r="S179" t="s">
        <v>1090</v>
      </c>
      <c r="T179" t="s">
        <v>1159</v>
      </c>
      <c r="U179" t="s">
        <v>1092</v>
      </c>
      <c r="V179" t="s">
        <v>1093</v>
      </c>
      <c r="W179" t="s">
        <v>1088</v>
      </c>
      <c r="X179" t="s">
        <v>1094</v>
      </c>
    </row>
    <row r="180" spans="1:24" x14ac:dyDescent="0.25">
      <c r="A180" t="s">
        <v>42</v>
      </c>
      <c r="B180" t="s">
        <v>1346</v>
      </c>
      <c r="C180" t="s">
        <v>286</v>
      </c>
      <c r="D180" t="s">
        <v>446</v>
      </c>
      <c r="E180" t="s">
        <v>998</v>
      </c>
      <c r="F180">
        <v>0</v>
      </c>
      <c r="G180" t="s">
        <v>1088</v>
      </c>
      <c r="H180" t="s">
        <v>446</v>
      </c>
      <c r="I180" t="s">
        <v>446</v>
      </c>
      <c r="J180" t="s">
        <v>1110</v>
      </c>
      <c r="K180" t="s">
        <v>446</v>
      </c>
      <c r="L180" t="s">
        <v>446</v>
      </c>
      <c r="M180" t="s">
        <v>446</v>
      </c>
      <c r="N180" t="s">
        <v>446</v>
      </c>
      <c r="O180" t="s">
        <v>446</v>
      </c>
      <c r="P180" t="s">
        <v>446</v>
      </c>
      <c r="Q180" t="b">
        <v>1</v>
      </c>
      <c r="R180" t="b">
        <v>0</v>
      </c>
      <c r="S180" t="s">
        <v>1090</v>
      </c>
      <c r="T180" t="s">
        <v>1159</v>
      </c>
      <c r="U180" t="s">
        <v>1092</v>
      </c>
      <c r="V180" t="s">
        <v>1093</v>
      </c>
      <c r="W180" t="s">
        <v>1088</v>
      </c>
      <c r="X180" t="s">
        <v>1094</v>
      </c>
    </row>
    <row r="181" spans="1:24" x14ac:dyDescent="0.25">
      <c r="A181" t="s">
        <v>42</v>
      </c>
      <c r="B181" t="s">
        <v>1347</v>
      </c>
      <c r="C181" t="s">
        <v>286</v>
      </c>
      <c r="D181" t="s">
        <v>446</v>
      </c>
      <c r="E181" t="s">
        <v>1006</v>
      </c>
      <c r="F181">
        <v>0</v>
      </c>
      <c r="G181" t="s">
        <v>1088</v>
      </c>
      <c r="H181" t="s">
        <v>446</v>
      </c>
      <c r="I181" t="s">
        <v>446</v>
      </c>
      <c r="J181" t="s">
        <v>1110</v>
      </c>
      <c r="K181" t="s">
        <v>446</v>
      </c>
      <c r="L181" t="s">
        <v>446</v>
      </c>
      <c r="M181" t="s">
        <v>446</v>
      </c>
      <c r="N181" t="s">
        <v>446</v>
      </c>
      <c r="O181" t="s">
        <v>446</v>
      </c>
      <c r="P181" t="s">
        <v>446</v>
      </c>
      <c r="Q181" t="b">
        <v>1</v>
      </c>
      <c r="R181" t="b">
        <v>0</v>
      </c>
      <c r="S181" t="s">
        <v>1090</v>
      </c>
      <c r="T181" t="s">
        <v>1159</v>
      </c>
      <c r="U181" t="s">
        <v>1092</v>
      </c>
      <c r="V181" t="s">
        <v>1093</v>
      </c>
      <c r="W181" t="s">
        <v>1088</v>
      </c>
      <c r="X181" t="s">
        <v>1094</v>
      </c>
    </row>
    <row r="182" spans="1:24" x14ac:dyDescent="0.25">
      <c r="A182" t="s">
        <v>42</v>
      </c>
      <c r="B182" t="s">
        <v>1348</v>
      </c>
      <c r="C182" t="s">
        <v>286</v>
      </c>
      <c r="D182" t="s">
        <v>446</v>
      </c>
      <c r="E182" t="s">
        <v>1013</v>
      </c>
      <c r="F182">
        <v>0</v>
      </c>
      <c r="G182" t="s">
        <v>1088</v>
      </c>
      <c r="H182" t="s">
        <v>446</v>
      </c>
      <c r="I182" t="s">
        <v>446</v>
      </c>
      <c r="J182" t="s">
        <v>1110</v>
      </c>
      <c r="K182" t="s">
        <v>446</v>
      </c>
      <c r="L182" t="s">
        <v>446</v>
      </c>
      <c r="M182" t="s">
        <v>446</v>
      </c>
      <c r="N182" t="s">
        <v>446</v>
      </c>
      <c r="O182" t="s">
        <v>446</v>
      </c>
      <c r="P182" t="s">
        <v>446</v>
      </c>
      <c r="Q182" t="b">
        <v>1</v>
      </c>
      <c r="R182" t="b">
        <v>0</v>
      </c>
      <c r="S182" t="s">
        <v>1090</v>
      </c>
      <c r="T182" t="s">
        <v>1159</v>
      </c>
      <c r="U182" t="s">
        <v>1092</v>
      </c>
      <c r="V182" t="s">
        <v>1093</v>
      </c>
      <c r="W182" t="s">
        <v>1088</v>
      </c>
      <c r="X182" t="s">
        <v>1094</v>
      </c>
    </row>
    <row r="183" spans="1:24" x14ac:dyDescent="0.25">
      <c r="A183" t="s">
        <v>42</v>
      </c>
      <c r="B183" t="s">
        <v>1349</v>
      </c>
      <c r="C183" t="s">
        <v>286</v>
      </c>
      <c r="D183" t="s">
        <v>446</v>
      </c>
      <c r="E183" t="s">
        <v>1018</v>
      </c>
      <c r="F183">
        <v>0</v>
      </c>
      <c r="G183" t="s">
        <v>1088</v>
      </c>
      <c r="H183" t="s">
        <v>446</v>
      </c>
      <c r="I183" t="s">
        <v>446</v>
      </c>
      <c r="J183" t="s">
        <v>1110</v>
      </c>
      <c r="K183" t="s">
        <v>446</v>
      </c>
      <c r="L183" t="s">
        <v>446</v>
      </c>
      <c r="M183" t="s">
        <v>446</v>
      </c>
      <c r="N183" t="s">
        <v>446</v>
      </c>
      <c r="O183" t="s">
        <v>446</v>
      </c>
      <c r="P183" t="s">
        <v>446</v>
      </c>
      <c r="Q183" t="b">
        <v>1</v>
      </c>
      <c r="R183" t="b">
        <v>0</v>
      </c>
      <c r="S183" t="s">
        <v>1090</v>
      </c>
      <c r="T183" t="s">
        <v>1159</v>
      </c>
      <c r="U183" t="s">
        <v>1092</v>
      </c>
      <c r="V183" t="s">
        <v>1093</v>
      </c>
      <c r="W183" t="s">
        <v>1088</v>
      </c>
      <c r="X183" t="s">
        <v>1094</v>
      </c>
    </row>
    <row r="184" spans="1:24" x14ac:dyDescent="0.25">
      <c r="A184" t="s">
        <v>42</v>
      </c>
      <c r="B184" t="s">
        <v>1350</v>
      </c>
      <c r="C184" t="s">
        <v>286</v>
      </c>
      <c r="D184" t="s">
        <v>446</v>
      </c>
      <c r="E184" t="s">
        <v>1023</v>
      </c>
      <c r="F184">
        <v>0</v>
      </c>
      <c r="G184" t="s">
        <v>1088</v>
      </c>
      <c r="H184" t="s">
        <v>446</v>
      </c>
      <c r="I184" t="s">
        <v>446</v>
      </c>
      <c r="J184" t="s">
        <v>1110</v>
      </c>
      <c r="K184" t="s">
        <v>446</v>
      </c>
      <c r="L184" t="s">
        <v>446</v>
      </c>
      <c r="M184" t="s">
        <v>446</v>
      </c>
      <c r="N184" t="s">
        <v>446</v>
      </c>
      <c r="O184" t="s">
        <v>446</v>
      </c>
      <c r="P184" t="s">
        <v>446</v>
      </c>
      <c r="Q184" t="b">
        <v>1</v>
      </c>
      <c r="R184" t="b">
        <v>0</v>
      </c>
      <c r="S184" t="s">
        <v>1090</v>
      </c>
      <c r="T184" t="s">
        <v>1159</v>
      </c>
      <c r="U184" t="s">
        <v>1092</v>
      </c>
      <c r="V184" t="s">
        <v>1093</v>
      </c>
      <c r="W184" t="s">
        <v>1088</v>
      </c>
      <c r="X184" t="s">
        <v>1094</v>
      </c>
    </row>
    <row r="185" spans="1:24" x14ac:dyDescent="0.25">
      <c r="A185" t="s">
        <v>42</v>
      </c>
      <c r="B185" t="s">
        <v>1351</v>
      </c>
      <c r="C185" t="s">
        <v>286</v>
      </c>
      <c r="D185" t="s">
        <v>446</v>
      </c>
      <c r="E185" t="s">
        <v>1029</v>
      </c>
      <c r="F185">
        <v>0</v>
      </c>
      <c r="G185" t="s">
        <v>1088</v>
      </c>
      <c r="H185" t="s">
        <v>446</v>
      </c>
      <c r="I185" t="s">
        <v>446</v>
      </c>
      <c r="J185" t="s">
        <v>1110</v>
      </c>
      <c r="K185" t="s">
        <v>446</v>
      </c>
      <c r="L185" t="s">
        <v>446</v>
      </c>
      <c r="M185" t="s">
        <v>446</v>
      </c>
      <c r="N185" t="s">
        <v>446</v>
      </c>
      <c r="O185" t="s">
        <v>446</v>
      </c>
      <c r="P185" t="s">
        <v>446</v>
      </c>
      <c r="Q185" t="b">
        <v>1</v>
      </c>
      <c r="R185" t="b">
        <v>0</v>
      </c>
      <c r="S185" t="s">
        <v>1090</v>
      </c>
      <c r="T185" t="s">
        <v>1159</v>
      </c>
      <c r="U185" t="s">
        <v>1092</v>
      </c>
      <c r="V185" t="s">
        <v>1093</v>
      </c>
      <c r="W185" t="s">
        <v>1088</v>
      </c>
      <c r="X185" t="s">
        <v>1094</v>
      </c>
    </row>
    <row r="186" spans="1:24" x14ac:dyDescent="0.25">
      <c r="A186" t="s">
        <v>42</v>
      </c>
      <c r="B186" t="s">
        <v>1352</v>
      </c>
      <c r="C186" t="s">
        <v>286</v>
      </c>
      <c r="D186" t="s">
        <v>446</v>
      </c>
      <c r="E186" t="s">
        <v>1035</v>
      </c>
      <c r="F186">
        <v>0</v>
      </c>
      <c r="G186" t="s">
        <v>1088</v>
      </c>
      <c r="H186" t="s">
        <v>446</v>
      </c>
      <c r="I186" t="s">
        <v>446</v>
      </c>
      <c r="J186" t="s">
        <v>1110</v>
      </c>
      <c r="K186" t="s">
        <v>446</v>
      </c>
      <c r="L186" t="s">
        <v>446</v>
      </c>
      <c r="M186" t="s">
        <v>446</v>
      </c>
      <c r="N186" t="s">
        <v>446</v>
      </c>
      <c r="O186" t="s">
        <v>446</v>
      </c>
      <c r="P186" t="s">
        <v>446</v>
      </c>
      <c r="Q186" t="b">
        <v>1</v>
      </c>
      <c r="R186" t="b">
        <v>0</v>
      </c>
      <c r="S186" t="s">
        <v>1090</v>
      </c>
      <c r="T186" t="s">
        <v>1159</v>
      </c>
      <c r="U186" t="s">
        <v>1092</v>
      </c>
      <c r="V186" t="s">
        <v>1093</v>
      </c>
      <c r="W186" t="s">
        <v>1088</v>
      </c>
      <c r="X186" t="s">
        <v>1094</v>
      </c>
    </row>
    <row r="187" spans="1:24" x14ac:dyDescent="0.25">
      <c r="A187" t="s">
        <v>42</v>
      </c>
      <c r="B187" t="s">
        <v>1353</v>
      </c>
      <c r="C187" t="s">
        <v>286</v>
      </c>
      <c r="D187" t="s">
        <v>446</v>
      </c>
      <c r="E187" t="s">
        <v>1040</v>
      </c>
      <c r="F187">
        <v>0</v>
      </c>
      <c r="G187" t="s">
        <v>1088</v>
      </c>
      <c r="H187" t="s">
        <v>446</v>
      </c>
      <c r="I187" t="s">
        <v>446</v>
      </c>
      <c r="J187" t="s">
        <v>1110</v>
      </c>
      <c r="K187" t="s">
        <v>446</v>
      </c>
      <c r="L187" t="s">
        <v>446</v>
      </c>
      <c r="M187" t="s">
        <v>446</v>
      </c>
      <c r="N187" t="s">
        <v>446</v>
      </c>
      <c r="O187" t="s">
        <v>446</v>
      </c>
      <c r="P187" t="s">
        <v>446</v>
      </c>
      <c r="Q187" t="b">
        <v>1</v>
      </c>
      <c r="R187" t="b">
        <v>0</v>
      </c>
      <c r="S187" t="s">
        <v>1090</v>
      </c>
      <c r="T187" t="s">
        <v>1159</v>
      </c>
      <c r="U187" t="s">
        <v>1092</v>
      </c>
      <c r="V187" t="s">
        <v>1093</v>
      </c>
      <c r="W187" t="s">
        <v>1088</v>
      </c>
      <c r="X187" t="s">
        <v>1094</v>
      </c>
    </row>
    <row r="188" spans="1:24" x14ac:dyDescent="0.25">
      <c r="A188" t="s">
        <v>42</v>
      </c>
      <c r="B188" t="s">
        <v>1354</v>
      </c>
      <c r="C188" t="s">
        <v>286</v>
      </c>
      <c r="D188" t="s">
        <v>446</v>
      </c>
      <c r="E188" t="s">
        <v>1045</v>
      </c>
      <c r="F188">
        <v>0</v>
      </c>
      <c r="G188" t="s">
        <v>1088</v>
      </c>
      <c r="H188" t="s">
        <v>446</v>
      </c>
      <c r="I188" t="s">
        <v>446</v>
      </c>
      <c r="J188" t="s">
        <v>1110</v>
      </c>
      <c r="K188" t="s">
        <v>446</v>
      </c>
      <c r="L188" t="s">
        <v>446</v>
      </c>
      <c r="M188" t="s">
        <v>446</v>
      </c>
      <c r="N188" t="s">
        <v>446</v>
      </c>
      <c r="O188" t="s">
        <v>446</v>
      </c>
      <c r="P188" t="s">
        <v>446</v>
      </c>
      <c r="Q188" t="b">
        <v>1</v>
      </c>
      <c r="R188" t="b">
        <v>0</v>
      </c>
      <c r="S188" t="s">
        <v>1090</v>
      </c>
      <c r="T188" t="s">
        <v>1159</v>
      </c>
      <c r="U188" t="s">
        <v>1092</v>
      </c>
      <c r="V188" t="s">
        <v>1093</v>
      </c>
      <c r="W188" t="s">
        <v>1088</v>
      </c>
      <c r="X188" t="s">
        <v>1094</v>
      </c>
    </row>
    <row r="189" spans="1:24" x14ac:dyDescent="0.25">
      <c r="A189" t="s">
        <v>42</v>
      </c>
      <c r="B189" t="s">
        <v>1355</v>
      </c>
      <c r="C189" t="s">
        <v>286</v>
      </c>
      <c r="D189" t="s">
        <v>446</v>
      </c>
      <c r="E189" t="s">
        <v>1051</v>
      </c>
      <c r="F189">
        <v>0</v>
      </c>
      <c r="G189" t="s">
        <v>1088</v>
      </c>
      <c r="H189" t="s">
        <v>446</v>
      </c>
      <c r="I189" t="s">
        <v>446</v>
      </c>
      <c r="J189" t="s">
        <v>1110</v>
      </c>
      <c r="K189" t="s">
        <v>446</v>
      </c>
      <c r="L189" t="s">
        <v>446</v>
      </c>
      <c r="M189" t="s">
        <v>446</v>
      </c>
      <c r="N189" t="s">
        <v>446</v>
      </c>
      <c r="O189" t="s">
        <v>446</v>
      </c>
      <c r="P189" t="s">
        <v>446</v>
      </c>
      <c r="Q189" t="b">
        <v>1</v>
      </c>
      <c r="R189" t="b">
        <v>0</v>
      </c>
      <c r="S189" t="s">
        <v>1090</v>
      </c>
      <c r="T189" t="s">
        <v>1159</v>
      </c>
      <c r="U189" t="s">
        <v>1092</v>
      </c>
      <c r="V189" t="s">
        <v>1093</v>
      </c>
      <c r="W189" t="s">
        <v>1088</v>
      </c>
      <c r="X189" t="s">
        <v>1094</v>
      </c>
    </row>
    <row r="190" spans="1:24" x14ac:dyDescent="0.25">
      <c r="A190" t="s">
        <v>42</v>
      </c>
      <c r="B190" t="s">
        <v>1356</v>
      </c>
      <c r="C190" t="s">
        <v>330</v>
      </c>
      <c r="D190" t="s">
        <v>323</v>
      </c>
      <c r="E190" t="s">
        <v>1029</v>
      </c>
      <c r="F190">
        <v>0</v>
      </c>
      <c r="G190" t="s">
        <v>1088</v>
      </c>
      <c r="H190" t="s">
        <v>446</v>
      </c>
      <c r="I190" t="s">
        <v>446</v>
      </c>
      <c r="J190" t="s">
        <v>1089</v>
      </c>
      <c r="K190" t="s">
        <v>446</v>
      </c>
      <c r="L190" t="s">
        <v>446</v>
      </c>
      <c r="M190" t="s">
        <v>446</v>
      </c>
      <c r="N190" t="s">
        <v>446</v>
      </c>
      <c r="O190" t="s">
        <v>446</v>
      </c>
      <c r="P190" t="s">
        <v>446</v>
      </c>
      <c r="Q190" t="b">
        <v>1</v>
      </c>
      <c r="R190" t="b">
        <v>0</v>
      </c>
      <c r="S190" t="s">
        <v>1090</v>
      </c>
      <c r="T190" t="s">
        <v>1357</v>
      </c>
      <c r="U190" t="s">
        <v>1092</v>
      </c>
      <c r="V190" t="s">
        <v>1093</v>
      </c>
      <c r="W190" t="s">
        <v>1088</v>
      </c>
      <c r="X190" t="s">
        <v>1094</v>
      </c>
    </row>
    <row r="191" spans="1:24" x14ac:dyDescent="0.25">
      <c r="A191" t="s">
        <v>42</v>
      </c>
      <c r="B191" t="s">
        <v>1358</v>
      </c>
      <c r="C191" t="s">
        <v>330</v>
      </c>
      <c r="D191" t="s">
        <v>323</v>
      </c>
      <c r="E191" t="s">
        <v>1035</v>
      </c>
      <c r="F191">
        <v>0</v>
      </c>
      <c r="G191" t="s">
        <v>1088</v>
      </c>
      <c r="H191" t="s">
        <v>446</v>
      </c>
      <c r="I191" t="s">
        <v>446</v>
      </c>
      <c r="J191" t="s">
        <v>1089</v>
      </c>
      <c r="K191" t="s">
        <v>446</v>
      </c>
      <c r="L191" t="s">
        <v>446</v>
      </c>
      <c r="M191" t="s">
        <v>446</v>
      </c>
      <c r="N191" t="s">
        <v>446</v>
      </c>
      <c r="O191" t="s">
        <v>446</v>
      </c>
      <c r="P191" t="s">
        <v>446</v>
      </c>
      <c r="Q191" t="b">
        <v>1</v>
      </c>
      <c r="R191" t="b">
        <v>0</v>
      </c>
      <c r="S191" t="s">
        <v>1090</v>
      </c>
      <c r="T191" t="s">
        <v>1359</v>
      </c>
      <c r="U191" t="s">
        <v>1092</v>
      </c>
      <c r="V191" t="s">
        <v>1093</v>
      </c>
      <c r="W191" t="s">
        <v>1088</v>
      </c>
      <c r="X191" t="s">
        <v>1094</v>
      </c>
    </row>
    <row r="192" spans="1:24" x14ac:dyDescent="0.25">
      <c r="A192" t="s">
        <v>42</v>
      </c>
      <c r="B192" t="s">
        <v>1360</v>
      </c>
      <c r="C192" t="s">
        <v>330</v>
      </c>
      <c r="D192" t="s">
        <v>323</v>
      </c>
      <c r="E192" t="s">
        <v>1040</v>
      </c>
      <c r="F192">
        <v>0</v>
      </c>
      <c r="G192" t="s">
        <v>1088</v>
      </c>
      <c r="H192" t="s">
        <v>446</v>
      </c>
      <c r="I192" t="s">
        <v>446</v>
      </c>
      <c r="J192" t="s">
        <v>1089</v>
      </c>
      <c r="K192" t="s">
        <v>446</v>
      </c>
      <c r="L192" t="s">
        <v>446</v>
      </c>
      <c r="M192" t="s">
        <v>446</v>
      </c>
      <c r="N192" t="s">
        <v>446</v>
      </c>
      <c r="O192" t="s">
        <v>446</v>
      </c>
      <c r="P192" t="s">
        <v>446</v>
      </c>
      <c r="Q192" t="b">
        <v>1</v>
      </c>
      <c r="R192" t="b">
        <v>0</v>
      </c>
      <c r="S192" t="s">
        <v>1090</v>
      </c>
      <c r="T192" t="s">
        <v>1361</v>
      </c>
      <c r="U192" t="s">
        <v>1092</v>
      </c>
      <c r="V192" t="s">
        <v>1093</v>
      </c>
      <c r="W192" t="s">
        <v>1088</v>
      </c>
      <c r="X192" t="s">
        <v>1094</v>
      </c>
    </row>
    <row r="193" spans="1:24" x14ac:dyDescent="0.25">
      <c r="A193" t="s">
        <v>42</v>
      </c>
      <c r="B193" t="s">
        <v>1362</v>
      </c>
      <c r="C193" t="s">
        <v>330</v>
      </c>
      <c r="D193" t="s">
        <v>323</v>
      </c>
      <c r="E193" t="s">
        <v>1045</v>
      </c>
      <c r="F193">
        <v>0</v>
      </c>
      <c r="G193" t="s">
        <v>1088</v>
      </c>
      <c r="H193" t="s">
        <v>446</v>
      </c>
      <c r="I193" t="s">
        <v>446</v>
      </c>
      <c r="J193" t="s">
        <v>1089</v>
      </c>
      <c r="K193" t="s">
        <v>446</v>
      </c>
      <c r="L193" t="s">
        <v>446</v>
      </c>
      <c r="M193" t="s">
        <v>446</v>
      </c>
      <c r="N193" t="s">
        <v>446</v>
      </c>
      <c r="O193" t="s">
        <v>446</v>
      </c>
      <c r="P193" t="s">
        <v>446</v>
      </c>
      <c r="Q193" t="b">
        <v>1</v>
      </c>
      <c r="R193" t="b">
        <v>0</v>
      </c>
      <c r="S193" t="s">
        <v>1090</v>
      </c>
      <c r="T193" t="s">
        <v>1363</v>
      </c>
      <c r="U193" t="s">
        <v>1092</v>
      </c>
      <c r="V193" t="s">
        <v>1093</v>
      </c>
      <c r="W193" t="s">
        <v>1088</v>
      </c>
      <c r="X193" t="s">
        <v>1094</v>
      </c>
    </row>
    <row r="194" spans="1:24" x14ac:dyDescent="0.25">
      <c r="A194" t="s">
        <v>42</v>
      </c>
      <c r="B194" t="s">
        <v>1364</v>
      </c>
      <c r="C194" t="s">
        <v>331</v>
      </c>
      <c r="D194" t="s">
        <v>323</v>
      </c>
      <c r="E194" t="s">
        <v>978</v>
      </c>
      <c r="F194">
        <v>0</v>
      </c>
      <c r="G194" t="s">
        <v>1088</v>
      </c>
      <c r="H194" t="s">
        <v>446</v>
      </c>
      <c r="I194" t="s">
        <v>446</v>
      </c>
      <c r="J194" t="s">
        <v>1089</v>
      </c>
      <c r="K194" t="s">
        <v>446</v>
      </c>
      <c r="L194" t="s">
        <v>446</v>
      </c>
      <c r="M194" t="s">
        <v>446</v>
      </c>
      <c r="N194" t="s">
        <v>446</v>
      </c>
      <c r="O194" t="s">
        <v>446</v>
      </c>
      <c r="P194" t="s">
        <v>446</v>
      </c>
      <c r="Q194" t="b">
        <v>1</v>
      </c>
      <c r="R194" t="b">
        <v>0</v>
      </c>
      <c r="S194" t="s">
        <v>1090</v>
      </c>
      <c r="T194" t="s">
        <v>1159</v>
      </c>
      <c r="U194" t="s">
        <v>1092</v>
      </c>
      <c r="V194" t="s">
        <v>1093</v>
      </c>
      <c r="W194" t="s">
        <v>1088</v>
      </c>
      <c r="X194" t="s">
        <v>1094</v>
      </c>
    </row>
    <row r="195" spans="1:24" x14ac:dyDescent="0.25">
      <c r="A195" t="s">
        <v>42</v>
      </c>
      <c r="B195" t="s">
        <v>1365</v>
      </c>
      <c r="C195" t="s">
        <v>331</v>
      </c>
      <c r="D195" t="s">
        <v>323</v>
      </c>
      <c r="E195" t="s">
        <v>986</v>
      </c>
      <c r="F195">
        <v>0</v>
      </c>
      <c r="G195" t="s">
        <v>1088</v>
      </c>
      <c r="H195" t="s">
        <v>446</v>
      </c>
      <c r="I195" t="s">
        <v>446</v>
      </c>
      <c r="J195" t="s">
        <v>1089</v>
      </c>
      <c r="K195" t="s">
        <v>446</v>
      </c>
      <c r="L195" t="s">
        <v>446</v>
      </c>
      <c r="M195" t="s">
        <v>446</v>
      </c>
      <c r="N195" t="s">
        <v>446</v>
      </c>
      <c r="O195" t="s">
        <v>446</v>
      </c>
      <c r="P195" t="s">
        <v>446</v>
      </c>
      <c r="Q195" t="b">
        <v>1</v>
      </c>
      <c r="R195" t="b">
        <v>0</v>
      </c>
      <c r="S195" t="s">
        <v>1090</v>
      </c>
      <c r="T195" t="s">
        <v>1159</v>
      </c>
      <c r="U195" t="s">
        <v>1092</v>
      </c>
      <c r="V195" t="s">
        <v>1093</v>
      </c>
      <c r="W195" t="s">
        <v>1088</v>
      </c>
      <c r="X195" t="s">
        <v>1094</v>
      </c>
    </row>
    <row r="196" spans="1:24" x14ac:dyDescent="0.25">
      <c r="A196" t="s">
        <v>42</v>
      </c>
      <c r="B196" t="s">
        <v>1366</v>
      </c>
      <c r="C196" t="s">
        <v>331</v>
      </c>
      <c r="D196" t="s">
        <v>323</v>
      </c>
      <c r="E196" t="s">
        <v>992</v>
      </c>
      <c r="F196">
        <v>0</v>
      </c>
      <c r="G196" t="s">
        <v>1088</v>
      </c>
      <c r="H196" t="s">
        <v>446</v>
      </c>
      <c r="I196" t="s">
        <v>446</v>
      </c>
      <c r="J196" t="s">
        <v>1089</v>
      </c>
      <c r="K196" t="s">
        <v>446</v>
      </c>
      <c r="L196" t="s">
        <v>446</v>
      </c>
      <c r="M196" t="s">
        <v>446</v>
      </c>
      <c r="N196" t="s">
        <v>446</v>
      </c>
      <c r="O196" t="s">
        <v>446</v>
      </c>
      <c r="P196" t="s">
        <v>446</v>
      </c>
      <c r="Q196" t="b">
        <v>1</v>
      </c>
      <c r="R196" t="b">
        <v>0</v>
      </c>
      <c r="S196" t="s">
        <v>1090</v>
      </c>
      <c r="T196" t="s">
        <v>1159</v>
      </c>
      <c r="U196" t="s">
        <v>1092</v>
      </c>
      <c r="V196" t="s">
        <v>1093</v>
      </c>
      <c r="W196" t="s">
        <v>1088</v>
      </c>
      <c r="X196" t="s">
        <v>1094</v>
      </c>
    </row>
    <row r="197" spans="1:24" x14ac:dyDescent="0.25">
      <c r="A197" t="s">
        <v>42</v>
      </c>
      <c r="B197" t="s">
        <v>1367</v>
      </c>
      <c r="C197" t="s">
        <v>331</v>
      </c>
      <c r="D197" t="s">
        <v>323</v>
      </c>
      <c r="E197" t="s">
        <v>998</v>
      </c>
      <c r="F197">
        <v>0</v>
      </c>
      <c r="G197" t="s">
        <v>1088</v>
      </c>
      <c r="H197" t="s">
        <v>446</v>
      </c>
      <c r="I197" t="s">
        <v>446</v>
      </c>
      <c r="J197" t="s">
        <v>1089</v>
      </c>
      <c r="K197" t="s">
        <v>446</v>
      </c>
      <c r="L197" t="s">
        <v>446</v>
      </c>
      <c r="M197" t="s">
        <v>446</v>
      </c>
      <c r="N197" t="s">
        <v>446</v>
      </c>
      <c r="O197" t="s">
        <v>446</v>
      </c>
      <c r="P197" t="s">
        <v>446</v>
      </c>
      <c r="Q197" t="b">
        <v>1</v>
      </c>
      <c r="R197" t="b">
        <v>0</v>
      </c>
      <c r="S197" t="s">
        <v>1090</v>
      </c>
      <c r="T197" t="s">
        <v>1159</v>
      </c>
      <c r="U197" t="s">
        <v>1092</v>
      </c>
      <c r="V197" t="s">
        <v>1093</v>
      </c>
      <c r="W197" t="s">
        <v>1088</v>
      </c>
      <c r="X197" t="s">
        <v>1094</v>
      </c>
    </row>
    <row r="198" spans="1:24" x14ac:dyDescent="0.25">
      <c r="A198" t="s">
        <v>42</v>
      </c>
      <c r="B198" t="s">
        <v>1368</v>
      </c>
      <c r="C198" t="s">
        <v>331</v>
      </c>
      <c r="D198" t="s">
        <v>323</v>
      </c>
      <c r="E198" t="s">
        <v>1006</v>
      </c>
      <c r="F198">
        <v>0</v>
      </c>
      <c r="G198" t="s">
        <v>1088</v>
      </c>
      <c r="H198" t="s">
        <v>446</v>
      </c>
      <c r="I198" t="s">
        <v>446</v>
      </c>
      <c r="J198" t="s">
        <v>1089</v>
      </c>
      <c r="K198" t="s">
        <v>446</v>
      </c>
      <c r="L198" t="s">
        <v>446</v>
      </c>
      <c r="M198" t="s">
        <v>446</v>
      </c>
      <c r="N198" t="s">
        <v>446</v>
      </c>
      <c r="O198" t="s">
        <v>446</v>
      </c>
      <c r="P198" t="s">
        <v>446</v>
      </c>
      <c r="Q198" t="b">
        <v>1</v>
      </c>
      <c r="R198" t="b">
        <v>0</v>
      </c>
      <c r="S198" t="s">
        <v>1090</v>
      </c>
      <c r="T198" t="s">
        <v>1159</v>
      </c>
      <c r="U198" t="s">
        <v>1092</v>
      </c>
      <c r="V198" t="s">
        <v>1093</v>
      </c>
      <c r="W198" t="s">
        <v>1088</v>
      </c>
      <c r="X198" t="s">
        <v>1094</v>
      </c>
    </row>
    <row r="199" spans="1:24" x14ac:dyDescent="0.25">
      <c r="A199" t="s">
        <v>42</v>
      </c>
      <c r="B199" t="s">
        <v>1369</v>
      </c>
      <c r="C199" t="s">
        <v>331</v>
      </c>
      <c r="D199" t="s">
        <v>323</v>
      </c>
      <c r="E199" t="s">
        <v>1013</v>
      </c>
      <c r="F199">
        <v>0</v>
      </c>
      <c r="G199" t="s">
        <v>1088</v>
      </c>
      <c r="H199" t="s">
        <v>446</v>
      </c>
      <c r="I199" t="s">
        <v>446</v>
      </c>
      <c r="J199" t="s">
        <v>1089</v>
      </c>
      <c r="K199" t="s">
        <v>446</v>
      </c>
      <c r="L199" t="s">
        <v>446</v>
      </c>
      <c r="M199" t="s">
        <v>446</v>
      </c>
      <c r="N199" t="s">
        <v>446</v>
      </c>
      <c r="O199" t="s">
        <v>446</v>
      </c>
      <c r="P199" t="s">
        <v>446</v>
      </c>
      <c r="Q199" t="b">
        <v>1</v>
      </c>
      <c r="R199" t="b">
        <v>0</v>
      </c>
      <c r="S199" t="s">
        <v>1090</v>
      </c>
      <c r="T199" t="s">
        <v>1159</v>
      </c>
      <c r="U199" t="s">
        <v>1092</v>
      </c>
      <c r="V199" t="s">
        <v>1093</v>
      </c>
      <c r="W199" t="s">
        <v>1088</v>
      </c>
      <c r="X199" t="s">
        <v>1094</v>
      </c>
    </row>
    <row r="200" spans="1:24" x14ac:dyDescent="0.25">
      <c r="A200" t="s">
        <v>42</v>
      </c>
      <c r="B200" t="s">
        <v>1370</v>
      </c>
      <c r="C200" t="s">
        <v>331</v>
      </c>
      <c r="D200" t="s">
        <v>323</v>
      </c>
      <c r="E200" t="s">
        <v>1018</v>
      </c>
      <c r="F200">
        <v>0</v>
      </c>
      <c r="G200" t="s">
        <v>1088</v>
      </c>
      <c r="H200" t="s">
        <v>446</v>
      </c>
      <c r="I200" t="s">
        <v>446</v>
      </c>
      <c r="J200" t="s">
        <v>1089</v>
      </c>
      <c r="K200" t="s">
        <v>446</v>
      </c>
      <c r="L200" t="s">
        <v>446</v>
      </c>
      <c r="M200" t="s">
        <v>446</v>
      </c>
      <c r="N200" t="s">
        <v>446</v>
      </c>
      <c r="O200" t="s">
        <v>446</v>
      </c>
      <c r="P200" t="s">
        <v>446</v>
      </c>
      <c r="Q200" t="b">
        <v>1</v>
      </c>
      <c r="R200" t="b">
        <v>0</v>
      </c>
      <c r="S200" t="s">
        <v>1090</v>
      </c>
      <c r="T200" t="s">
        <v>1159</v>
      </c>
      <c r="U200" t="s">
        <v>1092</v>
      </c>
      <c r="V200" t="s">
        <v>1093</v>
      </c>
      <c r="W200" t="s">
        <v>1088</v>
      </c>
      <c r="X200" t="s">
        <v>1094</v>
      </c>
    </row>
    <row r="201" spans="1:24" x14ac:dyDescent="0.25">
      <c r="A201" t="s">
        <v>42</v>
      </c>
      <c r="B201" t="s">
        <v>1371</v>
      </c>
      <c r="C201" t="s">
        <v>331</v>
      </c>
      <c r="D201" t="s">
        <v>323</v>
      </c>
      <c r="E201" t="s">
        <v>1023</v>
      </c>
      <c r="F201">
        <v>0</v>
      </c>
      <c r="G201" t="s">
        <v>1088</v>
      </c>
      <c r="H201" t="s">
        <v>446</v>
      </c>
      <c r="I201" t="s">
        <v>446</v>
      </c>
      <c r="J201" t="s">
        <v>1089</v>
      </c>
      <c r="K201" t="s">
        <v>446</v>
      </c>
      <c r="L201" t="s">
        <v>446</v>
      </c>
      <c r="M201" t="s">
        <v>446</v>
      </c>
      <c r="N201" t="s">
        <v>446</v>
      </c>
      <c r="O201" t="s">
        <v>446</v>
      </c>
      <c r="P201" t="s">
        <v>446</v>
      </c>
      <c r="Q201" t="b">
        <v>1</v>
      </c>
      <c r="R201" t="b">
        <v>0</v>
      </c>
      <c r="S201" t="s">
        <v>1090</v>
      </c>
      <c r="T201" t="s">
        <v>1159</v>
      </c>
      <c r="U201" t="s">
        <v>1092</v>
      </c>
      <c r="V201" t="s">
        <v>1093</v>
      </c>
      <c r="W201" t="s">
        <v>1088</v>
      </c>
      <c r="X201" t="s">
        <v>1094</v>
      </c>
    </row>
    <row r="202" spans="1:24" x14ac:dyDescent="0.25">
      <c r="A202" t="s">
        <v>42</v>
      </c>
      <c r="B202" t="s">
        <v>1372</v>
      </c>
      <c r="C202" t="s">
        <v>331</v>
      </c>
      <c r="D202" t="s">
        <v>323</v>
      </c>
      <c r="E202" t="s">
        <v>1029</v>
      </c>
      <c r="F202">
        <v>0</v>
      </c>
      <c r="G202" t="s">
        <v>1088</v>
      </c>
      <c r="H202" t="s">
        <v>446</v>
      </c>
      <c r="I202" t="s">
        <v>446</v>
      </c>
      <c r="J202" t="s">
        <v>1089</v>
      </c>
      <c r="K202" t="s">
        <v>446</v>
      </c>
      <c r="L202" t="s">
        <v>446</v>
      </c>
      <c r="M202" t="s">
        <v>446</v>
      </c>
      <c r="N202" t="s">
        <v>446</v>
      </c>
      <c r="O202" t="s">
        <v>446</v>
      </c>
      <c r="P202" t="s">
        <v>446</v>
      </c>
      <c r="Q202" t="b">
        <v>1</v>
      </c>
      <c r="R202" t="b">
        <v>0</v>
      </c>
      <c r="S202" t="s">
        <v>1090</v>
      </c>
      <c r="T202" t="s">
        <v>1159</v>
      </c>
      <c r="U202" t="s">
        <v>1092</v>
      </c>
      <c r="V202" t="s">
        <v>1093</v>
      </c>
      <c r="W202" t="s">
        <v>1088</v>
      </c>
      <c r="X202" t="s">
        <v>1094</v>
      </c>
    </row>
    <row r="203" spans="1:24" x14ac:dyDescent="0.25">
      <c r="A203" t="s">
        <v>42</v>
      </c>
      <c r="B203" t="s">
        <v>1373</v>
      </c>
      <c r="C203" t="s">
        <v>331</v>
      </c>
      <c r="D203" t="s">
        <v>323</v>
      </c>
      <c r="E203" t="s">
        <v>1035</v>
      </c>
      <c r="F203">
        <v>0</v>
      </c>
      <c r="G203" t="s">
        <v>1088</v>
      </c>
      <c r="H203" t="s">
        <v>446</v>
      </c>
      <c r="I203" t="s">
        <v>446</v>
      </c>
      <c r="J203" t="s">
        <v>1089</v>
      </c>
      <c r="K203" t="s">
        <v>446</v>
      </c>
      <c r="L203" t="s">
        <v>446</v>
      </c>
      <c r="M203" t="s">
        <v>446</v>
      </c>
      <c r="N203" t="s">
        <v>446</v>
      </c>
      <c r="O203" t="s">
        <v>446</v>
      </c>
      <c r="P203" t="s">
        <v>446</v>
      </c>
      <c r="Q203" t="b">
        <v>1</v>
      </c>
      <c r="R203" t="b">
        <v>0</v>
      </c>
      <c r="S203" t="s">
        <v>1090</v>
      </c>
      <c r="T203" t="s">
        <v>1159</v>
      </c>
      <c r="U203" t="s">
        <v>1092</v>
      </c>
      <c r="V203" t="s">
        <v>1093</v>
      </c>
      <c r="W203" t="s">
        <v>1088</v>
      </c>
      <c r="X203" t="s">
        <v>1094</v>
      </c>
    </row>
    <row r="204" spans="1:24" x14ac:dyDescent="0.25">
      <c r="A204" t="s">
        <v>42</v>
      </c>
      <c r="B204" t="s">
        <v>1374</v>
      </c>
      <c r="C204" t="s">
        <v>331</v>
      </c>
      <c r="D204" t="s">
        <v>323</v>
      </c>
      <c r="E204" t="s">
        <v>1040</v>
      </c>
      <c r="F204">
        <v>0</v>
      </c>
      <c r="G204" t="s">
        <v>1088</v>
      </c>
      <c r="H204" t="s">
        <v>446</v>
      </c>
      <c r="I204" t="s">
        <v>446</v>
      </c>
      <c r="J204" t="s">
        <v>1089</v>
      </c>
      <c r="K204" t="s">
        <v>446</v>
      </c>
      <c r="L204" t="s">
        <v>446</v>
      </c>
      <c r="M204" t="s">
        <v>446</v>
      </c>
      <c r="N204" t="s">
        <v>446</v>
      </c>
      <c r="O204" t="s">
        <v>446</v>
      </c>
      <c r="P204" t="s">
        <v>446</v>
      </c>
      <c r="Q204" t="b">
        <v>1</v>
      </c>
      <c r="R204" t="b">
        <v>0</v>
      </c>
      <c r="S204" t="s">
        <v>1090</v>
      </c>
      <c r="T204" t="s">
        <v>1159</v>
      </c>
      <c r="U204" t="s">
        <v>1092</v>
      </c>
      <c r="V204" t="s">
        <v>1093</v>
      </c>
      <c r="W204" t="s">
        <v>1088</v>
      </c>
      <c r="X204" t="s">
        <v>1094</v>
      </c>
    </row>
    <row r="205" spans="1:24" x14ac:dyDescent="0.25">
      <c r="A205" t="s">
        <v>42</v>
      </c>
      <c r="B205" t="s">
        <v>1375</v>
      </c>
      <c r="C205" t="s">
        <v>331</v>
      </c>
      <c r="D205" t="s">
        <v>323</v>
      </c>
      <c r="E205" t="s">
        <v>1045</v>
      </c>
      <c r="F205">
        <v>0</v>
      </c>
      <c r="G205" t="s">
        <v>1088</v>
      </c>
      <c r="H205" t="s">
        <v>446</v>
      </c>
      <c r="I205" t="s">
        <v>446</v>
      </c>
      <c r="J205" t="s">
        <v>1089</v>
      </c>
      <c r="K205" t="s">
        <v>446</v>
      </c>
      <c r="L205" t="s">
        <v>446</v>
      </c>
      <c r="M205" t="s">
        <v>446</v>
      </c>
      <c r="N205" t="s">
        <v>446</v>
      </c>
      <c r="O205" t="s">
        <v>446</v>
      </c>
      <c r="P205" t="s">
        <v>446</v>
      </c>
      <c r="Q205" t="b">
        <v>1</v>
      </c>
      <c r="R205" t="b">
        <v>0</v>
      </c>
      <c r="S205" t="s">
        <v>1090</v>
      </c>
      <c r="T205" t="s">
        <v>1159</v>
      </c>
      <c r="U205" t="s">
        <v>1092</v>
      </c>
      <c r="V205" t="s">
        <v>1093</v>
      </c>
      <c r="W205" t="s">
        <v>1088</v>
      </c>
      <c r="X205" t="s">
        <v>1094</v>
      </c>
    </row>
    <row r="206" spans="1:24" x14ac:dyDescent="0.25">
      <c r="A206" t="s">
        <v>42</v>
      </c>
      <c r="B206" t="s">
        <v>1376</v>
      </c>
      <c r="C206" t="s">
        <v>331</v>
      </c>
      <c r="D206" t="s">
        <v>323</v>
      </c>
      <c r="E206" t="s">
        <v>1051</v>
      </c>
      <c r="F206">
        <v>0</v>
      </c>
      <c r="G206" t="s">
        <v>1088</v>
      </c>
      <c r="H206" t="s">
        <v>446</v>
      </c>
      <c r="I206" t="s">
        <v>446</v>
      </c>
      <c r="J206" t="s">
        <v>1089</v>
      </c>
      <c r="K206" t="s">
        <v>446</v>
      </c>
      <c r="L206" t="s">
        <v>446</v>
      </c>
      <c r="M206" t="s">
        <v>446</v>
      </c>
      <c r="N206" t="s">
        <v>446</v>
      </c>
      <c r="O206" t="s">
        <v>446</v>
      </c>
      <c r="P206" t="s">
        <v>446</v>
      </c>
      <c r="Q206" t="b">
        <v>1</v>
      </c>
      <c r="R206" t="b">
        <v>0</v>
      </c>
      <c r="S206" t="s">
        <v>1090</v>
      </c>
      <c r="T206" t="s">
        <v>1159</v>
      </c>
      <c r="U206" t="s">
        <v>1092</v>
      </c>
      <c r="V206" t="s">
        <v>1093</v>
      </c>
      <c r="W206" t="s">
        <v>1088</v>
      </c>
      <c r="X206" t="s">
        <v>1094</v>
      </c>
    </row>
    <row r="207" spans="1:24" x14ac:dyDescent="0.25">
      <c r="A207" t="s">
        <v>42</v>
      </c>
      <c r="B207" t="s">
        <v>1377</v>
      </c>
      <c r="C207" t="s">
        <v>332</v>
      </c>
      <c r="D207" t="s">
        <v>323</v>
      </c>
      <c r="E207" t="s">
        <v>978</v>
      </c>
      <c r="F207">
        <v>0</v>
      </c>
      <c r="G207" t="s">
        <v>1088</v>
      </c>
      <c r="H207" t="s">
        <v>446</v>
      </c>
      <c r="I207" t="s">
        <v>446</v>
      </c>
      <c r="J207" t="s">
        <v>1089</v>
      </c>
      <c r="K207" t="s">
        <v>446</v>
      </c>
      <c r="L207" t="s">
        <v>446</v>
      </c>
      <c r="M207" t="s">
        <v>446</v>
      </c>
      <c r="N207" t="s">
        <v>446</v>
      </c>
      <c r="O207" t="s">
        <v>446</v>
      </c>
      <c r="P207" t="s">
        <v>446</v>
      </c>
      <c r="Q207" t="b">
        <v>1</v>
      </c>
      <c r="R207" t="b">
        <v>0</v>
      </c>
      <c r="S207" t="s">
        <v>1090</v>
      </c>
      <c r="T207" t="s">
        <v>1378</v>
      </c>
      <c r="U207" t="s">
        <v>1092</v>
      </c>
      <c r="V207" t="s">
        <v>1093</v>
      </c>
      <c r="W207" t="s">
        <v>1088</v>
      </c>
      <c r="X207" t="s">
        <v>1094</v>
      </c>
    </row>
    <row r="208" spans="1:24" x14ac:dyDescent="0.25">
      <c r="A208" t="s">
        <v>42</v>
      </c>
      <c r="B208" t="s">
        <v>1379</v>
      </c>
      <c r="C208" t="s">
        <v>332</v>
      </c>
      <c r="D208" t="s">
        <v>323</v>
      </c>
      <c r="E208" t="s">
        <v>986</v>
      </c>
      <c r="F208">
        <v>0</v>
      </c>
      <c r="G208" t="s">
        <v>1088</v>
      </c>
      <c r="H208" t="s">
        <v>446</v>
      </c>
      <c r="I208" t="s">
        <v>446</v>
      </c>
      <c r="J208" t="s">
        <v>1089</v>
      </c>
      <c r="K208" t="s">
        <v>446</v>
      </c>
      <c r="L208" t="s">
        <v>446</v>
      </c>
      <c r="M208" t="s">
        <v>446</v>
      </c>
      <c r="N208" t="s">
        <v>446</v>
      </c>
      <c r="O208" t="s">
        <v>446</v>
      </c>
      <c r="P208" t="s">
        <v>446</v>
      </c>
      <c r="Q208" t="b">
        <v>1</v>
      </c>
      <c r="R208" t="b">
        <v>0</v>
      </c>
      <c r="S208" t="s">
        <v>1090</v>
      </c>
      <c r="T208" t="s">
        <v>1380</v>
      </c>
      <c r="U208" t="s">
        <v>1092</v>
      </c>
      <c r="V208" t="s">
        <v>1093</v>
      </c>
      <c r="W208" t="s">
        <v>1088</v>
      </c>
      <c r="X208" t="s">
        <v>1094</v>
      </c>
    </row>
    <row r="209" spans="1:24" x14ac:dyDescent="0.25">
      <c r="A209" t="s">
        <v>42</v>
      </c>
      <c r="B209" t="s">
        <v>1381</v>
      </c>
      <c r="C209" t="s">
        <v>332</v>
      </c>
      <c r="D209" t="s">
        <v>323</v>
      </c>
      <c r="E209" t="s">
        <v>992</v>
      </c>
      <c r="F209">
        <v>0</v>
      </c>
      <c r="G209" t="s">
        <v>1088</v>
      </c>
      <c r="H209" t="s">
        <v>446</v>
      </c>
      <c r="I209" t="s">
        <v>446</v>
      </c>
      <c r="J209" t="s">
        <v>1089</v>
      </c>
      <c r="K209" t="s">
        <v>446</v>
      </c>
      <c r="L209" t="s">
        <v>446</v>
      </c>
      <c r="M209" t="s">
        <v>446</v>
      </c>
      <c r="N209" t="s">
        <v>446</v>
      </c>
      <c r="O209" t="s">
        <v>446</v>
      </c>
      <c r="P209" t="s">
        <v>446</v>
      </c>
      <c r="Q209" t="b">
        <v>1</v>
      </c>
      <c r="R209" t="b">
        <v>0</v>
      </c>
      <c r="S209" t="s">
        <v>1090</v>
      </c>
      <c r="T209" t="s">
        <v>1382</v>
      </c>
      <c r="U209" t="s">
        <v>1092</v>
      </c>
      <c r="V209" t="s">
        <v>1093</v>
      </c>
      <c r="W209" t="s">
        <v>1088</v>
      </c>
      <c r="X209" t="s">
        <v>1094</v>
      </c>
    </row>
    <row r="210" spans="1:24" x14ac:dyDescent="0.25">
      <c r="A210" t="s">
        <v>42</v>
      </c>
      <c r="B210" t="s">
        <v>1383</v>
      </c>
      <c r="C210" t="s">
        <v>332</v>
      </c>
      <c r="D210" t="s">
        <v>323</v>
      </c>
      <c r="E210" t="s">
        <v>998</v>
      </c>
      <c r="F210">
        <v>0</v>
      </c>
      <c r="G210" t="s">
        <v>1088</v>
      </c>
      <c r="H210" t="s">
        <v>446</v>
      </c>
      <c r="I210" t="s">
        <v>446</v>
      </c>
      <c r="J210" t="s">
        <v>1089</v>
      </c>
      <c r="K210" t="s">
        <v>446</v>
      </c>
      <c r="L210" t="s">
        <v>446</v>
      </c>
      <c r="M210" t="s">
        <v>446</v>
      </c>
      <c r="N210" t="s">
        <v>446</v>
      </c>
      <c r="O210" t="s">
        <v>446</v>
      </c>
      <c r="P210" t="s">
        <v>446</v>
      </c>
      <c r="Q210" t="b">
        <v>1</v>
      </c>
      <c r="R210" t="b">
        <v>0</v>
      </c>
      <c r="S210" t="s">
        <v>1090</v>
      </c>
      <c r="T210" t="s">
        <v>1384</v>
      </c>
      <c r="U210" t="s">
        <v>1092</v>
      </c>
      <c r="V210" t="s">
        <v>1093</v>
      </c>
      <c r="W210" t="s">
        <v>1088</v>
      </c>
      <c r="X210" t="s">
        <v>1094</v>
      </c>
    </row>
    <row r="211" spans="1:24" x14ac:dyDescent="0.25">
      <c r="A211" t="s">
        <v>42</v>
      </c>
      <c r="B211" t="s">
        <v>1385</v>
      </c>
      <c r="C211" t="s">
        <v>332</v>
      </c>
      <c r="D211" t="s">
        <v>323</v>
      </c>
      <c r="E211" t="s">
        <v>1006</v>
      </c>
      <c r="F211">
        <v>0</v>
      </c>
      <c r="G211" t="s">
        <v>1088</v>
      </c>
      <c r="H211" t="s">
        <v>446</v>
      </c>
      <c r="I211" t="s">
        <v>446</v>
      </c>
      <c r="J211" t="s">
        <v>1089</v>
      </c>
      <c r="K211" t="s">
        <v>446</v>
      </c>
      <c r="L211" t="s">
        <v>446</v>
      </c>
      <c r="M211" t="s">
        <v>446</v>
      </c>
      <c r="N211" t="s">
        <v>446</v>
      </c>
      <c r="O211" t="s">
        <v>446</v>
      </c>
      <c r="P211" t="s">
        <v>446</v>
      </c>
      <c r="Q211" t="b">
        <v>1</v>
      </c>
      <c r="R211" t="b">
        <v>0</v>
      </c>
      <c r="S211" t="s">
        <v>1090</v>
      </c>
      <c r="T211" t="s">
        <v>1386</v>
      </c>
      <c r="U211" t="s">
        <v>1092</v>
      </c>
      <c r="V211" t="s">
        <v>1093</v>
      </c>
      <c r="W211" t="s">
        <v>1088</v>
      </c>
      <c r="X211" t="s">
        <v>1094</v>
      </c>
    </row>
    <row r="212" spans="1:24" x14ac:dyDescent="0.25">
      <c r="A212" t="s">
        <v>42</v>
      </c>
      <c r="B212" t="s">
        <v>1387</v>
      </c>
      <c r="C212" t="s">
        <v>332</v>
      </c>
      <c r="D212" t="s">
        <v>323</v>
      </c>
      <c r="E212" t="s">
        <v>1013</v>
      </c>
      <c r="F212">
        <v>0</v>
      </c>
      <c r="G212" t="s">
        <v>1088</v>
      </c>
      <c r="H212" t="s">
        <v>446</v>
      </c>
      <c r="I212" t="s">
        <v>446</v>
      </c>
      <c r="J212" t="s">
        <v>1089</v>
      </c>
      <c r="K212" t="s">
        <v>446</v>
      </c>
      <c r="L212" t="s">
        <v>446</v>
      </c>
      <c r="M212" t="s">
        <v>446</v>
      </c>
      <c r="N212" t="s">
        <v>446</v>
      </c>
      <c r="O212" t="s">
        <v>446</v>
      </c>
      <c r="P212" t="s">
        <v>446</v>
      </c>
      <c r="Q212" t="b">
        <v>1</v>
      </c>
      <c r="R212" t="b">
        <v>0</v>
      </c>
      <c r="S212" t="s">
        <v>1090</v>
      </c>
      <c r="T212" t="s">
        <v>1388</v>
      </c>
      <c r="U212" t="s">
        <v>1092</v>
      </c>
      <c r="V212" t="s">
        <v>1093</v>
      </c>
      <c r="W212" t="s">
        <v>1088</v>
      </c>
      <c r="X212" t="s">
        <v>1094</v>
      </c>
    </row>
    <row r="213" spans="1:24" x14ac:dyDescent="0.25">
      <c r="A213" t="s">
        <v>42</v>
      </c>
      <c r="B213" t="s">
        <v>1389</v>
      </c>
      <c r="C213" t="s">
        <v>332</v>
      </c>
      <c r="D213" t="s">
        <v>323</v>
      </c>
      <c r="E213" t="s">
        <v>1018</v>
      </c>
      <c r="F213">
        <v>0</v>
      </c>
      <c r="G213" t="s">
        <v>1088</v>
      </c>
      <c r="H213" t="s">
        <v>446</v>
      </c>
      <c r="I213" t="s">
        <v>446</v>
      </c>
      <c r="J213" t="s">
        <v>1089</v>
      </c>
      <c r="K213" t="s">
        <v>446</v>
      </c>
      <c r="L213" t="s">
        <v>446</v>
      </c>
      <c r="M213" t="s">
        <v>446</v>
      </c>
      <c r="N213" t="s">
        <v>446</v>
      </c>
      <c r="O213" t="s">
        <v>446</v>
      </c>
      <c r="P213" t="s">
        <v>446</v>
      </c>
      <c r="Q213" t="b">
        <v>1</v>
      </c>
      <c r="R213" t="b">
        <v>0</v>
      </c>
      <c r="S213" t="s">
        <v>1090</v>
      </c>
      <c r="T213" t="s">
        <v>1390</v>
      </c>
      <c r="U213" t="s">
        <v>1092</v>
      </c>
      <c r="V213" t="s">
        <v>1093</v>
      </c>
      <c r="W213" t="s">
        <v>1088</v>
      </c>
      <c r="X213" t="s">
        <v>1094</v>
      </c>
    </row>
    <row r="214" spans="1:24" x14ac:dyDescent="0.25">
      <c r="A214" t="s">
        <v>42</v>
      </c>
      <c r="B214" t="s">
        <v>1391</v>
      </c>
      <c r="C214" t="s">
        <v>332</v>
      </c>
      <c r="D214" t="s">
        <v>323</v>
      </c>
      <c r="E214" t="s">
        <v>1023</v>
      </c>
      <c r="F214">
        <v>0</v>
      </c>
      <c r="G214" t="s">
        <v>1088</v>
      </c>
      <c r="H214" t="s">
        <v>446</v>
      </c>
      <c r="I214" t="s">
        <v>446</v>
      </c>
      <c r="J214" t="s">
        <v>1089</v>
      </c>
      <c r="K214" t="s">
        <v>446</v>
      </c>
      <c r="L214" t="s">
        <v>446</v>
      </c>
      <c r="M214" t="s">
        <v>446</v>
      </c>
      <c r="N214" t="s">
        <v>446</v>
      </c>
      <c r="O214" t="s">
        <v>446</v>
      </c>
      <c r="P214" t="s">
        <v>446</v>
      </c>
      <c r="Q214" t="b">
        <v>1</v>
      </c>
      <c r="R214" t="b">
        <v>0</v>
      </c>
      <c r="S214" t="s">
        <v>1090</v>
      </c>
      <c r="T214" t="s">
        <v>1392</v>
      </c>
      <c r="U214" t="s">
        <v>1092</v>
      </c>
      <c r="V214" t="s">
        <v>1093</v>
      </c>
      <c r="W214" t="s">
        <v>1088</v>
      </c>
      <c r="X214" t="s">
        <v>1094</v>
      </c>
    </row>
    <row r="215" spans="1:24" x14ac:dyDescent="0.25">
      <c r="A215" t="s">
        <v>42</v>
      </c>
      <c r="B215" t="s">
        <v>1393</v>
      </c>
      <c r="C215" t="s">
        <v>332</v>
      </c>
      <c r="D215" t="s">
        <v>323</v>
      </c>
      <c r="E215" t="s">
        <v>1029</v>
      </c>
      <c r="F215">
        <v>0</v>
      </c>
      <c r="G215" t="s">
        <v>1088</v>
      </c>
      <c r="H215" t="s">
        <v>446</v>
      </c>
      <c r="I215" t="s">
        <v>446</v>
      </c>
      <c r="J215" t="s">
        <v>1089</v>
      </c>
      <c r="K215" t="s">
        <v>446</v>
      </c>
      <c r="L215" t="s">
        <v>446</v>
      </c>
      <c r="M215" t="s">
        <v>446</v>
      </c>
      <c r="N215" t="s">
        <v>446</v>
      </c>
      <c r="O215" t="s">
        <v>446</v>
      </c>
      <c r="P215" t="s">
        <v>446</v>
      </c>
      <c r="Q215" t="b">
        <v>1</v>
      </c>
      <c r="R215" t="b">
        <v>0</v>
      </c>
      <c r="S215" t="s">
        <v>1090</v>
      </c>
      <c r="T215" t="s">
        <v>1394</v>
      </c>
      <c r="U215" t="s">
        <v>1092</v>
      </c>
      <c r="V215" t="s">
        <v>1093</v>
      </c>
      <c r="W215" t="s">
        <v>1088</v>
      </c>
      <c r="X215" t="s">
        <v>1094</v>
      </c>
    </row>
    <row r="216" spans="1:24" x14ac:dyDescent="0.25">
      <c r="A216" t="s">
        <v>42</v>
      </c>
      <c r="B216" t="s">
        <v>1395</v>
      </c>
      <c r="C216" t="s">
        <v>332</v>
      </c>
      <c r="D216" t="s">
        <v>323</v>
      </c>
      <c r="E216" t="s">
        <v>1035</v>
      </c>
      <c r="F216">
        <v>0</v>
      </c>
      <c r="G216" t="s">
        <v>1088</v>
      </c>
      <c r="H216" t="s">
        <v>446</v>
      </c>
      <c r="I216" t="s">
        <v>446</v>
      </c>
      <c r="J216" t="s">
        <v>1089</v>
      </c>
      <c r="K216" t="s">
        <v>446</v>
      </c>
      <c r="L216" t="s">
        <v>446</v>
      </c>
      <c r="M216" t="s">
        <v>446</v>
      </c>
      <c r="N216" t="s">
        <v>446</v>
      </c>
      <c r="O216" t="s">
        <v>446</v>
      </c>
      <c r="P216" t="s">
        <v>446</v>
      </c>
      <c r="Q216" t="b">
        <v>1</v>
      </c>
      <c r="R216" t="b">
        <v>0</v>
      </c>
      <c r="S216" t="s">
        <v>1090</v>
      </c>
      <c r="T216" t="s">
        <v>1396</v>
      </c>
      <c r="U216" t="s">
        <v>1092</v>
      </c>
      <c r="V216" t="s">
        <v>1093</v>
      </c>
      <c r="W216" t="s">
        <v>1088</v>
      </c>
      <c r="X216" t="s">
        <v>1094</v>
      </c>
    </row>
    <row r="217" spans="1:24" x14ac:dyDescent="0.25">
      <c r="A217" t="s">
        <v>42</v>
      </c>
      <c r="B217" t="s">
        <v>1397</v>
      </c>
      <c r="C217" t="s">
        <v>332</v>
      </c>
      <c r="D217" t="s">
        <v>323</v>
      </c>
      <c r="E217" t="s">
        <v>1040</v>
      </c>
      <c r="F217">
        <v>0</v>
      </c>
      <c r="G217" t="s">
        <v>1088</v>
      </c>
      <c r="H217" t="s">
        <v>446</v>
      </c>
      <c r="I217" t="s">
        <v>446</v>
      </c>
      <c r="J217" t="s">
        <v>1089</v>
      </c>
      <c r="K217" t="s">
        <v>446</v>
      </c>
      <c r="L217" t="s">
        <v>446</v>
      </c>
      <c r="M217" t="s">
        <v>446</v>
      </c>
      <c r="N217" t="s">
        <v>446</v>
      </c>
      <c r="O217" t="s">
        <v>446</v>
      </c>
      <c r="P217" t="s">
        <v>446</v>
      </c>
      <c r="Q217" t="b">
        <v>1</v>
      </c>
      <c r="R217" t="b">
        <v>0</v>
      </c>
      <c r="S217" t="s">
        <v>1090</v>
      </c>
      <c r="T217" t="s">
        <v>1398</v>
      </c>
      <c r="U217" t="s">
        <v>1092</v>
      </c>
      <c r="V217" t="s">
        <v>1093</v>
      </c>
      <c r="W217" t="s">
        <v>1088</v>
      </c>
      <c r="X217" t="s">
        <v>1094</v>
      </c>
    </row>
    <row r="218" spans="1:24" x14ac:dyDescent="0.25">
      <c r="A218" t="s">
        <v>42</v>
      </c>
      <c r="B218" t="s">
        <v>1399</v>
      </c>
      <c r="C218" t="s">
        <v>332</v>
      </c>
      <c r="D218" t="s">
        <v>323</v>
      </c>
      <c r="E218" t="s">
        <v>1045</v>
      </c>
      <c r="F218">
        <v>0</v>
      </c>
      <c r="G218" t="s">
        <v>1088</v>
      </c>
      <c r="H218" t="s">
        <v>446</v>
      </c>
      <c r="I218" t="s">
        <v>446</v>
      </c>
      <c r="J218" t="s">
        <v>1089</v>
      </c>
      <c r="K218" t="s">
        <v>446</v>
      </c>
      <c r="L218" t="s">
        <v>446</v>
      </c>
      <c r="M218" t="s">
        <v>446</v>
      </c>
      <c r="N218" t="s">
        <v>446</v>
      </c>
      <c r="O218" t="s">
        <v>446</v>
      </c>
      <c r="P218" t="s">
        <v>446</v>
      </c>
      <c r="Q218" t="b">
        <v>1</v>
      </c>
      <c r="R218" t="b">
        <v>0</v>
      </c>
      <c r="S218" t="s">
        <v>1090</v>
      </c>
      <c r="T218" t="s">
        <v>1400</v>
      </c>
      <c r="U218" t="s">
        <v>1092</v>
      </c>
      <c r="V218" t="s">
        <v>1093</v>
      </c>
      <c r="W218" t="s">
        <v>1088</v>
      </c>
      <c r="X218" t="s">
        <v>1094</v>
      </c>
    </row>
    <row r="219" spans="1:24" x14ac:dyDescent="0.25">
      <c r="A219" t="s">
        <v>42</v>
      </c>
      <c r="B219" t="s">
        <v>1401</v>
      </c>
      <c r="C219" t="s">
        <v>332</v>
      </c>
      <c r="D219" t="s">
        <v>323</v>
      </c>
      <c r="E219" t="s">
        <v>1051</v>
      </c>
      <c r="F219">
        <v>0</v>
      </c>
      <c r="G219" t="s">
        <v>1088</v>
      </c>
      <c r="H219" t="s">
        <v>446</v>
      </c>
      <c r="I219" t="s">
        <v>446</v>
      </c>
      <c r="J219" t="s">
        <v>1089</v>
      </c>
      <c r="K219" t="s">
        <v>446</v>
      </c>
      <c r="L219" t="s">
        <v>446</v>
      </c>
      <c r="M219" t="s">
        <v>446</v>
      </c>
      <c r="N219" t="s">
        <v>446</v>
      </c>
      <c r="O219" t="s">
        <v>446</v>
      </c>
      <c r="P219" t="s">
        <v>446</v>
      </c>
      <c r="Q219" t="b">
        <v>1</v>
      </c>
      <c r="R219" t="b">
        <v>0</v>
      </c>
      <c r="S219" t="s">
        <v>1090</v>
      </c>
      <c r="T219" t="s">
        <v>1402</v>
      </c>
      <c r="U219" t="s">
        <v>1092</v>
      </c>
      <c r="V219" t="s">
        <v>1093</v>
      </c>
      <c r="W219" t="s">
        <v>1088</v>
      </c>
      <c r="X219" t="s">
        <v>1094</v>
      </c>
    </row>
    <row r="220" spans="1:24" x14ac:dyDescent="0.25">
      <c r="A220" t="s">
        <v>42</v>
      </c>
      <c r="B220" t="s">
        <v>1403</v>
      </c>
      <c r="C220" t="s">
        <v>333</v>
      </c>
      <c r="D220" t="s">
        <v>323</v>
      </c>
      <c r="E220" t="s">
        <v>978</v>
      </c>
      <c r="F220">
        <v>0</v>
      </c>
      <c r="G220" t="s">
        <v>1088</v>
      </c>
      <c r="H220" t="s">
        <v>446</v>
      </c>
      <c r="I220" t="s">
        <v>446</v>
      </c>
      <c r="J220" t="s">
        <v>1089</v>
      </c>
      <c r="K220" t="s">
        <v>446</v>
      </c>
      <c r="L220" t="s">
        <v>446</v>
      </c>
      <c r="M220" t="s">
        <v>446</v>
      </c>
      <c r="N220" t="s">
        <v>446</v>
      </c>
      <c r="O220" t="s">
        <v>446</v>
      </c>
      <c r="P220" t="s">
        <v>446</v>
      </c>
      <c r="Q220" t="b">
        <v>1</v>
      </c>
      <c r="R220" t="b">
        <v>0</v>
      </c>
      <c r="S220" t="s">
        <v>1090</v>
      </c>
      <c r="T220" t="s">
        <v>1404</v>
      </c>
      <c r="U220" t="s">
        <v>1092</v>
      </c>
      <c r="V220" t="s">
        <v>1093</v>
      </c>
      <c r="W220" t="s">
        <v>1088</v>
      </c>
      <c r="X220" t="s">
        <v>1094</v>
      </c>
    </row>
    <row r="221" spans="1:24" x14ac:dyDescent="0.25">
      <c r="A221" t="s">
        <v>42</v>
      </c>
      <c r="B221" t="s">
        <v>1405</v>
      </c>
      <c r="C221" t="s">
        <v>333</v>
      </c>
      <c r="D221" t="s">
        <v>323</v>
      </c>
      <c r="E221" t="s">
        <v>986</v>
      </c>
      <c r="F221">
        <v>0</v>
      </c>
      <c r="G221" t="s">
        <v>1088</v>
      </c>
      <c r="H221" t="s">
        <v>446</v>
      </c>
      <c r="I221" t="s">
        <v>446</v>
      </c>
      <c r="J221" t="s">
        <v>1089</v>
      </c>
      <c r="K221" t="s">
        <v>446</v>
      </c>
      <c r="L221" t="s">
        <v>446</v>
      </c>
      <c r="M221" t="s">
        <v>446</v>
      </c>
      <c r="N221" t="s">
        <v>446</v>
      </c>
      <c r="O221" t="s">
        <v>446</v>
      </c>
      <c r="P221" t="s">
        <v>446</v>
      </c>
      <c r="Q221" t="b">
        <v>1</v>
      </c>
      <c r="R221" t="b">
        <v>0</v>
      </c>
      <c r="S221" t="s">
        <v>1090</v>
      </c>
      <c r="T221" t="s">
        <v>1406</v>
      </c>
      <c r="U221" t="s">
        <v>1092</v>
      </c>
      <c r="V221" t="s">
        <v>1093</v>
      </c>
      <c r="W221" t="s">
        <v>1088</v>
      </c>
      <c r="X221" t="s">
        <v>1094</v>
      </c>
    </row>
    <row r="222" spans="1:24" x14ac:dyDescent="0.25">
      <c r="A222" t="s">
        <v>42</v>
      </c>
      <c r="B222" t="s">
        <v>1407</v>
      </c>
      <c r="C222" t="s">
        <v>333</v>
      </c>
      <c r="D222" t="s">
        <v>323</v>
      </c>
      <c r="E222" t="s">
        <v>992</v>
      </c>
      <c r="F222">
        <v>0</v>
      </c>
      <c r="G222" t="s">
        <v>1088</v>
      </c>
      <c r="H222" t="s">
        <v>446</v>
      </c>
      <c r="I222" t="s">
        <v>446</v>
      </c>
      <c r="J222" t="s">
        <v>1089</v>
      </c>
      <c r="K222" t="s">
        <v>446</v>
      </c>
      <c r="L222" t="s">
        <v>446</v>
      </c>
      <c r="M222" t="s">
        <v>446</v>
      </c>
      <c r="N222" t="s">
        <v>446</v>
      </c>
      <c r="O222" t="s">
        <v>446</v>
      </c>
      <c r="P222" t="s">
        <v>446</v>
      </c>
      <c r="Q222" t="b">
        <v>1</v>
      </c>
      <c r="R222" t="b">
        <v>0</v>
      </c>
      <c r="S222" t="s">
        <v>1090</v>
      </c>
      <c r="T222" t="s">
        <v>1408</v>
      </c>
      <c r="U222" t="s">
        <v>1092</v>
      </c>
      <c r="V222" t="s">
        <v>1093</v>
      </c>
      <c r="W222" t="s">
        <v>1088</v>
      </c>
      <c r="X222" t="s">
        <v>1094</v>
      </c>
    </row>
    <row r="223" spans="1:24" x14ac:dyDescent="0.25">
      <c r="A223" t="s">
        <v>42</v>
      </c>
      <c r="B223" t="s">
        <v>1409</v>
      </c>
      <c r="C223" t="s">
        <v>333</v>
      </c>
      <c r="D223" t="s">
        <v>323</v>
      </c>
      <c r="E223" t="s">
        <v>998</v>
      </c>
      <c r="F223">
        <v>0</v>
      </c>
      <c r="G223" t="s">
        <v>1088</v>
      </c>
      <c r="H223" t="s">
        <v>446</v>
      </c>
      <c r="I223" t="s">
        <v>446</v>
      </c>
      <c r="J223" t="s">
        <v>1089</v>
      </c>
      <c r="K223" t="s">
        <v>446</v>
      </c>
      <c r="L223" t="s">
        <v>446</v>
      </c>
      <c r="M223" t="s">
        <v>446</v>
      </c>
      <c r="N223" t="s">
        <v>446</v>
      </c>
      <c r="O223" t="s">
        <v>446</v>
      </c>
      <c r="P223" t="s">
        <v>446</v>
      </c>
      <c r="Q223" t="b">
        <v>1</v>
      </c>
      <c r="R223" t="b">
        <v>0</v>
      </c>
      <c r="S223" t="s">
        <v>1090</v>
      </c>
      <c r="T223" t="s">
        <v>1410</v>
      </c>
      <c r="U223" t="s">
        <v>1092</v>
      </c>
      <c r="V223" t="s">
        <v>1093</v>
      </c>
      <c r="W223" t="s">
        <v>1088</v>
      </c>
      <c r="X223" t="s">
        <v>1094</v>
      </c>
    </row>
    <row r="224" spans="1:24" x14ac:dyDescent="0.25">
      <c r="A224" t="s">
        <v>42</v>
      </c>
      <c r="B224" t="s">
        <v>1411</v>
      </c>
      <c r="C224" t="s">
        <v>333</v>
      </c>
      <c r="D224" t="s">
        <v>323</v>
      </c>
      <c r="E224" t="s">
        <v>1006</v>
      </c>
      <c r="F224">
        <v>0</v>
      </c>
      <c r="G224" t="s">
        <v>1088</v>
      </c>
      <c r="H224" t="s">
        <v>446</v>
      </c>
      <c r="I224" t="s">
        <v>446</v>
      </c>
      <c r="J224" t="s">
        <v>1089</v>
      </c>
      <c r="K224" t="s">
        <v>446</v>
      </c>
      <c r="L224" t="s">
        <v>446</v>
      </c>
      <c r="M224" t="s">
        <v>446</v>
      </c>
      <c r="N224" t="s">
        <v>446</v>
      </c>
      <c r="O224" t="s">
        <v>446</v>
      </c>
      <c r="P224" t="s">
        <v>446</v>
      </c>
      <c r="Q224" t="b">
        <v>1</v>
      </c>
      <c r="R224" t="b">
        <v>0</v>
      </c>
      <c r="S224" t="s">
        <v>1090</v>
      </c>
      <c r="T224" t="s">
        <v>1412</v>
      </c>
      <c r="U224" t="s">
        <v>1092</v>
      </c>
      <c r="V224" t="s">
        <v>1093</v>
      </c>
      <c r="W224" t="s">
        <v>1088</v>
      </c>
      <c r="X224" t="s">
        <v>1094</v>
      </c>
    </row>
    <row r="225" spans="1:24" x14ac:dyDescent="0.25">
      <c r="A225" t="s">
        <v>42</v>
      </c>
      <c r="B225" t="s">
        <v>1413</v>
      </c>
      <c r="C225" t="s">
        <v>333</v>
      </c>
      <c r="D225" t="s">
        <v>323</v>
      </c>
      <c r="E225" t="s">
        <v>1013</v>
      </c>
      <c r="F225">
        <v>0</v>
      </c>
      <c r="G225" t="s">
        <v>1088</v>
      </c>
      <c r="H225" t="s">
        <v>446</v>
      </c>
      <c r="I225" t="s">
        <v>446</v>
      </c>
      <c r="J225" t="s">
        <v>1089</v>
      </c>
      <c r="K225" t="s">
        <v>446</v>
      </c>
      <c r="L225" t="s">
        <v>446</v>
      </c>
      <c r="M225" t="s">
        <v>446</v>
      </c>
      <c r="N225" t="s">
        <v>446</v>
      </c>
      <c r="O225" t="s">
        <v>446</v>
      </c>
      <c r="P225" t="s">
        <v>446</v>
      </c>
      <c r="Q225" t="b">
        <v>1</v>
      </c>
      <c r="R225" t="b">
        <v>0</v>
      </c>
      <c r="S225" t="s">
        <v>1090</v>
      </c>
      <c r="T225" t="s">
        <v>1414</v>
      </c>
      <c r="U225" t="s">
        <v>1092</v>
      </c>
      <c r="V225" t="s">
        <v>1093</v>
      </c>
      <c r="W225" t="s">
        <v>1088</v>
      </c>
      <c r="X225" t="s">
        <v>1094</v>
      </c>
    </row>
    <row r="226" spans="1:24" x14ac:dyDescent="0.25">
      <c r="A226" t="s">
        <v>42</v>
      </c>
      <c r="B226" t="s">
        <v>1415</v>
      </c>
      <c r="C226" t="s">
        <v>333</v>
      </c>
      <c r="D226" t="s">
        <v>323</v>
      </c>
      <c r="E226" t="s">
        <v>1018</v>
      </c>
      <c r="F226">
        <v>0</v>
      </c>
      <c r="G226" t="s">
        <v>1088</v>
      </c>
      <c r="H226" t="s">
        <v>446</v>
      </c>
      <c r="I226" t="s">
        <v>446</v>
      </c>
      <c r="J226" t="s">
        <v>1089</v>
      </c>
      <c r="K226" t="s">
        <v>446</v>
      </c>
      <c r="L226" t="s">
        <v>446</v>
      </c>
      <c r="M226" t="s">
        <v>446</v>
      </c>
      <c r="N226" t="s">
        <v>446</v>
      </c>
      <c r="O226" t="s">
        <v>446</v>
      </c>
      <c r="P226" t="s">
        <v>446</v>
      </c>
      <c r="Q226" t="b">
        <v>1</v>
      </c>
      <c r="R226" t="b">
        <v>0</v>
      </c>
      <c r="S226" t="s">
        <v>1090</v>
      </c>
      <c r="T226" t="s">
        <v>1416</v>
      </c>
      <c r="U226" t="s">
        <v>1092</v>
      </c>
      <c r="V226" t="s">
        <v>1093</v>
      </c>
      <c r="W226" t="s">
        <v>1088</v>
      </c>
      <c r="X226" t="s">
        <v>1094</v>
      </c>
    </row>
    <row r="227" spans="1:24" x14ac:dyDescent="0.25">
      <c r="A227" t="s">
        <v>42</v>
      </c>
      <c r="B227" t="s">
        <v>1417</v>
      </c>
      <c r="C227" t="s">
        <v>333</v>
      </c>
      <c r="D227" t="s">
        <v>323</v>
      </c>
      <c r="E227" t="s">
        <v>1023</v>
      </c>
      <c r="F227">
        <v>0</v>
      </c>
      <c r="G227" t="s">
        <v>1088</v>
      </c>
      <c r="H227" t="s">
        <v>446</v>
      </c>
      <c r="I227" t="s">
        <v>446</v>
      </c>
      <c r="J227" t="s">
        <v>1089</v>
      </c>
      <c r="K227" t="s">
        <v>446</v>
      </c>
      <c r="L227" t="s">
        <v>446</v>
      </c>
      <c r="M227" t="s">
        <v>446</v>
      </c>
      <c r="N227" t="s">
        <v>446</v>
      </c>
      <c r="O227" t="s">
        <v>446</v>
      </c>
      <c r="P227" t="s">
        <v>446</v>
      </c>
      <c r="Q227" t="b">
        <v>1</v>
      </c>
      <c r="R227" t="b">
        <v>0</v>
      </c>
      <c r="S227" t="s">
        <v>1090</v>
      </c>
      <c r="T227" t="s">
        <v>1418</v>
      </c>
      <c r="U227" t="s">
        <v>1092</v>
      </c>
      <c r="V227" t="s">
        <v>1093</v>
      </c>
      <c r="W227" t="s">
        <v>1088</v>
      </c>
      <c r="X227" t="s">
        <v>1094</v>
      </c>
    </row>
    <row r="228" spans="1:24" x14ac:dyDescent="0.25">
      <c r="A228" t="s">
        <v>42</v>
      </c>
      <c r="B228" t="s">
        <v>1419</v>
      </c>
      <c r="C228" t="s">
        <v>333</v>
      </c>
      <c r="D228" t="s">
        <v>323</v>
      </c>
      <c r="E228" t="s">
        <v>1029</v>
      </c>
      <c r="F228">
        <v>0</v>
      </c>
      <c r="G228" t="s">
        <v>1088</v>
      </c>
      <c r="H228" t="s">
        <v>446</v>
      </c>
      <c r="I228" t="s">
        <v>446</v>
      </c>
      <c r="J228" t="s">
        <v>1089</v>
      </c>
      <c r="K228" t="s">
        <v>446</v>
      </c>
      <c r="L228" t="s">
        <v>446</v>
      </c>
      <c r="M228" t="s">
        <v>446</v>
      </c>
      <c r="N228" t="s">
        <v>446</v>
      </c>
      <c r="O228" t="s">
        <v>446</v>
      </c>
      <c r="P228" t="s">
        <v>446</v>
      </c>
      <c r="Q228" t="b">
        <v>1</v>
      </c>
      <c r="R228" t="b">
        <v>0</v>
      </c>
      <c r="S228" t="s">
        <v>1090</v>
      </c>
      <c r="T228" t="s">
        <v>1420</v>
      </c>
      <c r="U228" t="s">
        <v>1092</v>
      </c>
      <c r="V228" t="s">
        <v>1093</v>
      </c>
      <c r="W228" t="s">
        <v>1088</v>
      </c>
      <c r="X228" t="s">
        <v>1094</v>
      </c>
    </row>
    <row r="229" spans="1:24" x14ac:dyDescent="0.25">
      <c r="A229" t="s">
        <v>42</v>
      </c>
      <c r="B229" t="s">
        <v>1421</v>
      </c>
      <c r="C229" t="s">
        <v>333</v>
      </c>
      <c r="D229" t="s">
        <v>323</v>
      </c>
      <c r="E229" t="s">
        <v>1035</v>
      </c>
      <c r="F229">
        <v>0</v>
      </c>
      <c r="G229" t="s">
        <v>1088</v>
      </c>
      <c r="H229" t="s">
        <v>446</v>
      </c>
      <c r="I229" t="s">
        <v>446</v>
      </c>
      <c r="J229" t="s">
        <v>1089</v>
      </c>
      <c r="K229" t="s">
        <v>446</v>
      </c>
      <c r="L229" t="s">
        <v>446</v>
      </c>
      <c r="M229" t="s">
        <v>446</v>
      </c>
      <c r="N229" t="s">
        <v>446</v>
      </c>
      <c r="O229" t="s">
        <v>446</v>
      </c>
      <c r="P229" t="s">
        <v>446</v>
      </c>
      <c r="Q229" t="b">
        <v>1</v>
      </c>
      <c r="R229" t="b">
        <v>0</v>
      </c>
      <c r="S229" t="s">
        <v>1090</v>
      </c>
      <c r="T229" t="s">
        <v>1422</v>
      </c>
      <c r="U229" t="s">
        <v>1092</v>
      </c>
      <c r="V229" t="s">
        <v>1093</v>
      </c>
      <c r="W229" t="s">
        <v>1088</v>
      </c>
      <c r="X229" t="s">
        <v>1094</v>
      </c>
    </row>
    <row r="230" spans="1:24" x14ac:dyDescent="0.25">
      <c r="A230" t="s">
        <v>42</v>
      </c>
      <c r="B230" t="s">
        <v>1423</v>
      </c>
      <c r="C230" t="s">
        <v>333</v>
      </c>
      <c r="D230" t="s">
        <v>323</v>
      </c>
      <c r="E230" t="s">
        <v>1040</v>
      </c>
      <c r="F230">
        <v>0</v>
      </c>
      <c r="G230" t="s">
        <v>1088</v>
      </c>
      <c r="H230" t="s">
        <v>446</v>
      </c>
      <c r="I230" t="s">
        <v>446</v>
      </c>
      <c r="J230" t="s">
        <v>1089</v>
      </c>
      <c r="K230" t="s">
        <v>446</v>
      </c>
      <c r="L230" t="s">
        <v>446</v>
      </c>
      <c r="M230" t="s">
        <v>446</v>
      </c>
      <c r="N230" t="s">
        <v>446</v>
      </c>
      <c r="O230" t="s">
        <v>446</v>
      </c>
      <c r="P230" t="s">
        <v>446</v>
      </c>
      <c r="Q230" t="b">
        <v>1</v>
      </c>
      <c r="R230" t="b">
        <v>0</v>
      </c>
      <c r="S230" t="s">
        <v>1090</v>
      </c>
      <c r="T230" t="s">
        <v>1424</v>
      </c>
      <c r="U230" t="s">
        <v>1092</v>
      </c>
      <c r="V230" t="s">
        <v>1093</v>
      </c>
      <c r="W230" t="s">
        <v>1088</v>
      </c>
      <c r="X230" t="s">
        <v>1094</v>
      </c>
    </row>
    <row r="231" spans="1:24" x14ac:dyDescent="0.25">
      <c r="A231" t="s">
        <v>42</v>
      </c>
      <c r="B231" t="s">
        <v>1425</v>
      </c>
      <c r="C231" t="s">
        <v>333</v>
      </c>
      <c r="D231" t="s">
        <v>323</v>
      </c>
      <c r="E231" t="s">
        <v>1045</v>
      </c>
      <c r="F231">
        <v>0</v>
      </c>
      <c r="G231" t="s">
        <v>1088</v>
      </c>
      <c r="H231" t="s">
        <v>446</v>
      </c>
      <c r="I231" t="s">
        <v>446</v>
      </c>
      <c r="J231" t="s">
        <v>1089</v>
      </c>
      <c r="K231" t="s">
        <v>446</v>
      </c>
      <c r="L231" t="s">
        <v>446</v>
      </c>
      <c r="M231" t="s">
        <v>446</v>
      </c>
      <c r="N231" t="s">
        <v>446</v>
      </c>
      <c r="O231" t="s">
        <v>446</v>
      </c>
      <c r="P231" t="s">
        <v>446</v>
      </c>
      <c r="Q231" t="b">
        <v>1</v>
      </c>
      <c r="R231" t="b">
        <v>0</v>
      </c>
      <c r="S231" t="s">
        <v>1090</v>
      </c>
      <c r="T231" t="s">
        <v>1426</v>
      </c>
      <c r="U231" t="s">
        <v>1092</v>
      </c>
      <c r="V231" t="s">
        <v>1093</v>
      </c>
      <c r="W231" t="s">
        <v>1088</v>
      </c>
      <c r="X231" t="s">
        <v>1094</v>
      </c>
    </row>
    <row r="232" spans="1:24" x14ac:dyDescent="0.25">
      <c r="A232" t="s">
        <v>42</v>
      </c>
      <c r="B232" t="s">
        <v>1427</v>
      </c>
      <c r="C232" t="s">
        <v>333</v>
      </c>
      <c r="D232" t="s">
        <v>323</v>
      </c>
      <c r="E232" t="s">
        <v>1051</v>
      </c>
      <c r="F232">
        <v>0</v>
      </c>
      <c r="G232" t="s">
        <v>1088</v>
      </c>
      <c r="H232" t="s">
        <v>446</v>
      </c>
      <c r="I232" t="s">
        <v>446</v>
      </c>
      <c r="J232" t="s">
        <v>1089</v>
      </c>
      <c r="K232" t="s">
        <v>446</v>
      </c>
      <c r="L232" t="s">
        <v>446</v>
      </c>
      <c r="M232" t="s">
        <v>446</v>
      </c>
      <c r="N232" t="s">
        <v>446</v>
      </c>
      <c r="O232" t="s">
        <v>446</v>
      </c>
      <c r="P232" t="s">
        <v>446</v>
      </c>
      <c r="Q232" t="b">
        <v>1</v>
      </c>
      <c r="R232" t="b">
        <v>0</v>
      </c>
      <c r="S232" t="s">
        <v>1090</v>
      </c>
      <c r="T232" t="s">
        <v>1428</v>
      </c>
      <c r="U232" t="s">
        <v>1092</v>
      </c>
      <c r="V232" t="s">
        <v>1093</v>
      </c>
      <c r="W232" t="s">
        <v>1088</v>
      </c>
      <c r="X232" t="s">
        <v>1094</v>
      </c>
    </row>
    <row r="233" spans="1:24" x14ac:dyDescent="0.25">
      <c r="A233" t="s">
        <v>42</v>
      </c>
      <c r="B233" t="s">
        <v>1429</v>
      </c>
      <c r="C233" t="s">
        <v>335</v>
      </c>
      <c r="D233" t="s">
        <v>323</v>
      </c>
      <c r="E233" t="s">
        <v>978</v>
      </c>
      <c r="F233">
        <v>0</v>
      </c>
      <c r="G233" t="s">
        <v>1088</v>
      </c>
      <c r="H233" t="s">
        <v>446</v>
      </c>
      <c r="I233" t="s">
        <v>446</v>
      </c>
      <c r="J233" t="s">
        <v>1089</v>
      </c>
      <c r="K233" t="s">
        <v>446</v>
      </c>
      <c r="L233" t="s">
        <v>446</v>
      </c>
      <c r="M233" t="s">
        <v>446</v>
      </c>
      <c r="N233" t="s">
        <v>446</v>
      </c>
      <c r="O233" t="s">
        <v>446</v>
      </c>
      <c r="P233" t="s">
        <v>446</v>
      </c>
      <c r="Q233" t="b">
        <v>1</v>
      </c>
      <c r="R233" t="b">
        <v>0</v>
      </c>
      <c r="S233" t="s">
        <v>1090</v>
      </c>
      <c r="T233" t="s">
        <v>1430</v>
      </c>
      <c r="U233" t="s">
        <v>1092</v>
      </c>
      <c r="V233" t="s">
        <v>1093</v>
      </c>
      <c r="W233" t="s">
        <v>1088</v>
      </c>
      <c r="X233" t="s">
        <v>1094</v>
      </c>
    </row>
    <row r="234" spans="1:24" x14ac:dyDescent="0.25">
      <c r="A234" t="s">
        <v>42</v>
      </c>
      <c r="B234" t="s">
        <v>1431</v>
      </c>
      <c r="C234" t="s">
        <v>335</v>
      </c>
      <c r="D234" t="s">
        <v>323</v>
      </c>
      <c r="E234" t="s">
        <v>986</v>
      </c>
      <c r="F234">
        <v>0</v>
      </c>
      <c r="G234" t="s">
        <v>1088</v>
      </c>
      <c r="H234" t="s">
        <v>446</v>
      </c>
      <c r="I234" t="s">
        <v>446</v>
      </c>
      <c r="J234" t="s">
        <v>1089</v>
      </c>
      <c r="K234" t="s">
        <v>446</v>
      </c>
      <c r="L234" t="s">
        <v>446</v>
      </c>
      <c r="M234" t="s">
        <v>446</v>
      </c>
      <c r="N234" t="s">
        <v>446</v>
      </c>
      <c r="O234" t="s">
        <v>446</v>
      </c>
      <c r="P234" t="s">
        <v>446</v>
      </c>
      <c r="Q234" t="b">
        <v>1</v>
      </c>
      <c r="R234" t="b">
        <v>0</v>
      </c>
      <c r="S234" t="s">
        <v>1090</v>
      </c>
      <c r="T234" t="s">
        <v>1432</v>
      </c>
      <c r="U234" t="s">
        <v>1092</v>
      </c>
      <c r="V234" t="s">
        <v>1093</v>
      </c>
      <c r="W234" t="s">
        <v>1088</v>
      </c>
      <c r="X234" t="s">
        <v>1094</v>
      </c>
    </row>
    <row r="235" spans="1:24" x14ac:dyDescent="0.25">
      <c r="A235" t="s">
        <v>42</v>
      </c>
      <c r="B235" t="s">
        <v>1433</v>
      </c>
      <c r="C235" t="s">
        <v>335</v>
      </c>
      <c r="D235" t="s">
        <v>323</v>
      </c>
      <c r="E235" t="s">
        <v>992</v>
      </c>
      <c r="F235">
        <v>0</v>
      </c>
      <c r="G235" t="s">
        <v>1088</v>
      </c>
      <c r="H235" t="s">
        <v>446</v>
      </c>
      <c r="I235" t="s">
        <v>446</v>
      </c>
      <c r="J235" t="s">
        <v>1089</v>
      </c>
      <c r="K235" t="s">
        <v>446</v>
      </c>
      <c r="L235" t="s">
        <v>446</v>
      </c>
      <c r="M235" t="s">
        <v>446</v>
      </c>
      <c r="N235" t="s">
        <v>446</v>
      </c>
      <c r="O235" t="s">
        <v>446</v>
      </c>
      <c r="P235" t="s">
        <v>446</v>
      </c>
      <c r="Q235" t="b">
        <v>1</v>
      </c>
      <c r="R235" t="b">
        <v>0</v>
      </c>
      <c r="S235" t="s">
        <v>1090</v>
      </c>
      <c r="T235" t="s">
        <v>1434</v>
      </c>
      <c r="U235" t="s">
        <v>1092</v>
      </c>
      <c r="V235" t="s">
        <v>1093</v>
      </c>
      <c r="W235" t="s">
        <v>1088</v>
      </c>
      <c r="X235" t="s">
        <v>1094</v>
      </c>
    </row>
    <row r="236" spans="1:24" x14ac:dyDescent="0.25">
      <c r="A236" t="s">
        <v>42</v>
      </c>
      <c r="B236" t="s">
        <v>1435</v>
      </c>
      <c r="C236" t="s">
        <v>335</v>
      </c>
      <c r="D236" t="s">
        <v>323</v>
      </c>
      <c r="E236" t="s">
        <v>998</v>
      </c>
      <c r="F236">
        <v>0</v>
      </c>
      <c r="G236" t="s">
        <v>1088</v>
      </c>
      <c r="H236" t="s">
        <v>446</v>
      </c>
      <c r="I236" t="s">
        <v>446</v>
      </c>
      <c r="J236" t="s">
        <v>1089</v>
      </c>
      <c r="K236" t="s">
        <v>446</v>
      </c>
      <c r="L236" t="s">
        <v>446</v>
      </c>
      <c r="M236" t="s">
        <v>446</v>
      </c>
      <c r="N236" t="s">
        <v>446</v>
      </c>
      <c r="O236" t="s">
        <v>446</v>
      </c>
      <c r="P236" t="s">
        <v>446</v>
      </c>
      <c r="Q236" t="b">
        <v>1</v>
      </c>
      <c r="R236" t="b">
        <v>0</v>
      </c>
      <c r="S236" t="s">
        <v>1090</v>
      </c>
      <c r="T236" t="s">
        <v>1436</v>
      </c>
      <c r="U236" t="s">
        <v>1092</v>
      </c>
      <c r="V236" t="s">
        <v>1093</v>
      </c>
      <c r="W236" t="s">
        <v>1088</v>
      </c>
      <c r="X236" t="s">
        <v>1094</v>
      </c>
    </row>
    <row r="237" spans="1:24" x14ac:dyDescent="0.25">
      <c r="A237" t="s">
        <v>42</v>
      </c>
      <c r="B237" t="s">
        <v>1437</v>
      </c>
      <c r="C237" t="s">
        <v>335</v>
      </c>
      <c r="D237" t="s">
        <v>323</v>
      </c>
      <c r="E237" t="s">
        <v>1006</v>
      </c>
      <c r="F237">
        <v>0</v>
      </c>
      <c r="G237" t="s">
        <v>1088</v>
      </c>
      <c r="H237" t="s">
        <v>446</v>
      </c>
      <c r="I237" t="s">
        <v>446</v>
      </c>
      <c r="J237" t="s">
        <v>1089</v>
      </c>
      <c r="K237" t="s">
        <v>446</v>
      </c>
      <c r="L237" t="s">
        <v>446</v>
      </c>
      <c r="M237" t="s">
        <v>446</v>
      </c>
      <c r="N237" t="s">
        <v>446</v>
      </c>
      <c r="O237" t="s">
        <v>446</v>
      </c>
      <c r="P237" t="s">
        <v>446</v>
      </c>
      <c r="Q237" t="b">
        <v>1</v>
      </c>
      <c r="R237" t="b">
        <v>0</v>
      </c>
      <c r="S237" t="s">
        <v>1090</v>
      </c>
      <c r="T237" t="s">
        <v>1438</v>
      </c>
      <c r="U237" t="s">
        <v>1092</v>
      </c>
      <c r="V237" t="s">
        <v>1093</v>
      </c>
      <c r="W237" t="s">
        <v>1088</v>
      </c>
      <c r="X237" t="s">
        <v>1094</v>
      </c>
    </row>
    <row r="238" spans="1:24" x14ac:dyDescent="0.25">
      <c r="A238" t="s">
        <v>42</v>
      </c>
      <c r="B238" t="s">
        <v>1439</v>
      </c>
      <c r="C238" t="s">
        <v>335</v>
      </c>
      <c r="D238" t="s">
        <v>323</v>
      </c>
      <c r="E238" t="s">
        <v>1013</v>
      </c>
      <c r="F238">
        <v>0</v>
      </c>
      <c r="G238" t="s">
        <v>1088</v>
      </c>
      <c r="H238" t="s">
        <v>446</v>
      </c>
      <c r="I238" t="s">
        <v>446</v>
      </c>
      <c r="J238" t="s">
        <v>1089</v>
      </c>
      <c r="K238" t="s">
        <v>446</v>
      </c>
      <c r="L238" t="s">
        <v>446</v>
      </c>
      <c r="M238" t="s">
        <v>446</v>
      </c>
      <c r="N238" t="s">
        <v>446</v>
      </c>
      <c r="O238" t="s">
        <v>446</v>
      </c>
      <c r="P238" t="s">
        <v>446</v>
      </c>
      <c r="Q238" t="b">
        <v>1</v>
      </c>
      <c r="R238" t="b">
        <v>0</v>
      </c>
      <c r="S238" t="s">
        <v>1090</v>
      </c>
      <c r="T238" t="s">
        <v>1440</v>
      </c>
      <c r="U238" t="s">
        <v>1092</v>
      </c>
      <c r="V238" t="s">
        <v>1093</v>
      </c>
      <c r="W238" t="s">
        <v>1088</v>
      </c>
      <c r="X238" t="s">
        <v>1094</v>
      </c>
    </row>
    <row r="239" spans="1:24" x14ac:dyDescent="0.25">
      <c r="A239" t="s">
        <v>42</v>
      </c>
      <c r="B239" t="s">
        <v>1441</v>
      </c>
      <c r="C239" t="s">
        <v>335</v>
      </c>
      <c r="D239" t="s">
        <v>323</v>
      </c>
      <c r="E239" t="s">
        <v>1018</v>
      </c>
      <c r="F239">
        <v>0</v>
      </c>
      <c r="G239" t="s">
        <v>1088</v>
      </c>
      <c r="H239" t="s">
        <v>446</v>
      </c>
      <c r="I239" t="s">
        <v>446</v>
      </c>
      <c r="J239" t="s">
        <v>1089</v>
      </c>
      <c r="K239" t="s">
        <v>446</v>
      </c>
      <c r="L239" t="s">
        <v>446</v>
      </c>
      <c r="M239" t="s">
        <v>446</v>
      </c>
      <c r="N239" t="s">
        <v>446</v>
      </c>
      <c r="O239" t="s">
        <v>446</v>
      </c>
      <c r="P239" t="s">
        <v>446</v>
      </c>
      <c r="Q239" t="b">
        <v>1</v>
      </c>
      <c r="R239" t="b">
        <v>0</v>
      </c>
      <c r="S239" t="s">
        <v>1090</v>
      </c>
      <c r="T239" t="s">
        <v>1442</v>
      </c>
      <c r="U239" t="s">
        <v>1092</v>
      </c>
      <c r="V239" t="s">
        <v>1093</v>
      </c>
      <c r="W239" t="s">
        <v>1088</v>
      </c>
      <c r="X239" t="s">
        <v>1094</v>
      </c>
    </row>
    <row r="240" spans="1:24" x14ac:dyDescent="0.25">
      <c r="A240" t="s">
        <v>42</v>
      </c>
      <c r="B240" t="s">
        <v>1443</v>
      </c>
      <c r="C240" t="s">
        <v>335</v>
      </c>
      <c r="D240" t="s">
        <v>323</v>
      </c>
      <c r="E240" t="s">
        <v>1023</v>
      </c>
      <c r="F240">
        <v>0</v>
      </c>
      <c r="G240" t="s">
        <v>1088</v>
      </c>
      <c r="H240" t="s">
        <v>446</v>
      </c>
      <c r="I240" t="s">
        <v>446</v>
      </c>
      <c r="J240" t="s">
        <v>1089</v>
      </c>
      <c r="K240" t="s">
        <v>446</v>
      </c>
      <c r="L240" t="s">
        <v>446</v>
      </c>
      <c r="M240" t="s">
        <v>446</v>
      </c>
      <c r="N240" t="s">
        <v>446</v>
      </c>
      <c r="O240" t="s">
        <v>446</v>
      </c>
      <c r="P240" t="s">
        <v>446</v>
      </c>
      <c r="Q240" t="b">
        <v>1</v>
      </c>
      <c r="R240" t="b">
        <v>0</v>
      </c>
      <c r="S240" t="s">
        <v>1090</v>
      </c>
      <c r="T240" t="s">
        <v>1444</v>
      </c>
      <c r="U240" t="s">
        <v>1092</v>
      </c>
      <c r="V240" t="s">
        <v>1093</v>
      </c>
      <c r="W240" t="s">
        <v>1088</v>
      </c>
      <c r="X240" t="s">
        <v>1094</v>
      </c>
    </row>
    <row r="241" spans="1:24" x14ac:dyDescent="0.25">
      <c r="A241" t="s">
        <v>42</v>
      </c>
      <c r="B241" t="s">
        <v>1445</v>
      </c>
      <c r="C241" t="s">
        <v>335</v>
      </c>
      <c r="D241" t="s">
        <v>323</v>
      </c>
      <c r="E241" t="s">
        <v>1029</v>
      </c>
      <c r="F241">
        <v>0</v>
      </c>
      <c r="G241" t="s">
        <v>1088</v>
      </c>
      <c r="H241" t="s">
        <v>446</v>
      </c>
      <c r="I241" t="s">
        <v>446</v>
      </c>
      <c r="J241" t="s">
        <v>1089</v>
      </c>
      <c r="K241" t="s">
        <v>446</v>
      </c>
      <c r="L241" t="s">
        <v>446</v>
      </c>
      <c r="M241" t="s">
        <v>446</v>
      </c>
      <c r="N241" t="s">
        <v>446</v>
      </c>
      <c r="O241" t="s">
        <v>446</v>
      </c>
      <c r="P241" t="s">
        <v>446</v>
      </c>
      <c r="Q241" t="b">
        <v>1</v>
      </c>
      <c r="R241" t="b">
        <v>0</v>
      </c>
      <c r="S241" t="s">
        <v>1090</v>
      </c>
      <c r="T241" t="s">
        <v>1446</v>
      </c>
      <c r="U241" t="s">
        <v>1092</v>
      </c>
      <c r="V241" t="s">
        <v>1093</v>
      </c>
      <c r="W241" t="s">
        <v>1088</v>
      </c>
      <c r="X241" t="s">
        <v>1094</v>
      </c>
    </row>
    <row r="242" spans="1:24" x14ac:dyDescent="0.25">
      <c r="A242" t="s">
        <v>42</v>
      </c>
      <c r="B242" t="s">
        <v>1447</v>
      </c>
      <c r="C242" t="s">
        <v>335</v>
      </c>
      <c r="D242" t="s">
        <v>323</v>
      </c>
      <c r="E242" t="s">
        <v>1035</v>
      </c>
      <c r="F242">
        <v>0</v>
      </c>
      <c r="G242" t="s">
        <v>1088</v>
      </c>
      <c r="H242" t="s">
        <v>446</v>
      </c>
      <c r="I242" t="s">
        <v>446</v>
      </c>
      <c r="J242" t="s">
        <v>1089</v>
      </c>
      <c r="K242" t="s">
        <v>446</v>
      </c>
      <c r="L242" t="s">
        <v>446</v>
      </c>
      <c r="M242" t="s">
        <v>446</v>
      </c>
      <c r="N242" t="s">
        <v>446</v>
      </c>
      <c r="O242" t="s">
        <v>446</v>
      </c>
      <c r="P242" t="s">
        <v>446</v>
      </c>
      <c r="Q242" t="b">
        <v>1</v>
      </c>
      <c r="R242" t="b">
        <v>0</v>
      </c>
      <c r="S242" t="s">
        <v>1090</v>
      </c>
      <c r="T242" t="s">
        <v>1448</v>
      </c>
      <c r="U242" t="s">
        <v>1092</v>
      </c>
      <c r="V242" t="s">
        <v>1093</v>
      </c>
      <c r="W242" t="s">
        <v>1088</v>
      </c>
      <c r="X242" t="s">
        <v>1094</v>
      </c>
    </row>
    <row r="243" spans="1:24" x14ac:dyDescent="0.25">
      <c r="A243" t="s">
        <v>42</v>
      </c>
      <c r="B243" t="s">
        <v>1449</v>
      </c>
      <c r="C243" t="s">
        <v>335</v>
      </c>
      <c r="D243" t="s">
        <v>323</v>
      </c>
      <c r="E243" t="s">
        <v>1040</v>
      </c>
      <c r="F243">
        <v>0</v>
      </c>
      <c r="G243" t="s">
        <v>1088</v>
      </c>
      <c r="H243" t="s">
        <v>446</v>
      </c>
      <c r="I243" t="s">
        <v>446</v>
      </c>
      <c r="J243" t="s">
        <v>1089</v>
      </c>
      <c r="K243" t="s">
        <v>446</v>
      </c>
      <c r="L243" t="s">
        <v>446</v>
      </c>
      <c r="M243" t="s">
        <v>446</v>
      </c>
      <c r="N243" t="s">
        <v>446</v>
      </c>
      <c r="O243" t="s">
        <v>446</v>
      </c>
      <c r="P243" t="s">
        <v>446</v>
      </c>
      <c r="Q243" t="b">
        <v>1</v>
      </c>
      <c r="R243" t="b">
        <v>0</v>
      </c>
      <c r="S243" t="s">
        <v>1090</v>
      </c>
      <c r="T243" t="s">
        <v>1450</v>
      </c>
      <c r="U243" t="s">
        <v>1092</v>
      </c>
      <c r="V243" t="s">
        <v>1093</v>
      </c>
      <c r="W243" t="s">
        <v>1088</v>
      </c>
      <c r="X243" t="s">
        <v>1094</v>
      </c>
    </row>
    <row r="244" spans="1:24" x14ac:dyDescent="0.25">
      <c r="A244" t="s">
        <v>42</v>
      </c>
      <c r="B244" t="s">
        <v>1451</v>
      </c>
      <c r="C244" t="s">
        <v>335</v>
      </c>
      <c r="D244" t="s">
        <v>323</v>
      </c>
      <c r="E244" t="s">
        <v>1045</v>
      </c>
      <c r="F244">
        <v>0</v>
      </c>
      <c r="G244" t="s">
        <v>1088</v>
      </c>
      <c r="H244" t="s">
        <v>446</v>
      </c>
      <c r="I244" t="s">
        <v>446</v>
      </c>
      <c r="J244" t="s">
        <v>1089</v>
      </c>
      <c r="K244" t="s">
        <v>446</v>
      </c>
      <c r="L244" t="s">
        <v>446</v>
      </c>
      <c r="M244" t="s">
        <v>446</v>
      </c>
      <c r="N244" t="s">
        <v>446</v>
      </c>
      <c r="O244" t="s">
        <v>446</v>
      </c>
      <c r="P244" t="s">
        <v>446</v>
      </c>
      <c r="Q244" t="b">
        <v>1</v>
      </c>
      <c r="R244" t="b">
        <v>0</v>
      </c>
      <c r="S244" t="s">
        <v>1090</v>
      </c>
      <c r="T244" t="s">
        <v>1452</v>
      </c>
      <c r="U244" t="s">
        <v>1092</v>
      </c>
      <c r="V244" t="s">
        <v>1093</v>
      </c>
      <c r="W244" t="s">
        <v>1088</v>
      </c>
      <c r="X244" t="s">
        <v>1094</v>
      </c>
    </row>
    <row r="245" spans="1:24" x14ac:dyDescent="0.25">
      <c r="A245" t="s">
        <v>42</v>
      </c>
      <c r="B245" t="s">
        <v>1453</v>
      </c>
      <c r="C245" t="s">
        <v>335</v>
      </c>
      <c r="D245" t="s">
        <v>323</v>
      </c>
      <c r="E245" t="s">
        <v>1051</v>
      </c>
      <c r="F245">
        <v>0</v>
      </c>
      <c r="G245" t="s">
        <v>1088</v>
      </c>
      <c r="H245" t="s">
        <v>446</v>
      </c>
      <c r="I245" t="s">
        <v>446</v>
      </c>
      <c r="J245" t="s">
        <v>1089</v>
      </c>
      <c r="K245" t="s">
        <v>446</v>
      </c>
      <c r="L245" t="s">
        <v>446</v>
      </c>
      <c r="M245" t="s">
        <v>446</v>
      </c>
      <c r="N245" t="s">
        <v>446</v>
      </c>
      <c r="O245" t="s">
        <v>446</v>
      </c>
      <c r="P245" t="s">
        <v>446</v>
      </c>
      <c r="Q245" t="b">
        <v>1</v>
      </c>
      <c r="R245" t="b">
        <v>0</v>
      </c>
      <c r="S245" t="s">
        <v>1090</v>
      </c>
      <c r="T245" t="s">
        <v>1454</v>
      </c>
      <c r="U245" t="s">
        <v>1092</v>
      </c>
      <c r="V245" t="s">
        <v>1093</v>
      </c>
      <c r="W245" t="s">
        <v>1088</v>
      </c>
      <c r="X245" t="s">
        <v>1094</v>
      </c>
    </row>
    <row r="246" spans="1:24" x14ac:dyDescent="0.25">
      <c r="A246" t="s">
        <v>42</v>
      </c>
      <c r="B246" t="s">
        <v>1455</v>
      </c>
      <c r="C246" t="s">
        <v>336</v>
      </c>
      <c r="D246" t="s">
        <v>323</v>
      </c>
      <c r="E246" t="s">
        <v>978</v>
      </c>
      <c r="F246">
        <v>0</v>
      </c>
      <c r="G246" t="s">
        <v>1088</v>
      </c>
      <c r="H246" t="s">
        <v>446</v>
      </c>
      <c r="I246" t="s">
        <v>446</v>
      </c>
      <c r="J246" t="s">
        <v>1089</v>
      </c>
      <c r="K246" t="s">
        <v>446</v>
      </c>
      <c r="L246" t="s">
        <v>446</v>
      </c>
      <c r="M246" t="s">
        <v>446</v>
      </c>
      <c r="N246" t="s">
        <v>446</v>
      </c>
      <c r="O246" t="s">
        <v>446</v>
      </c>
      <c r="P246" t="s">
        <v>446</v>
      </c>
      <c r="Q246" t="b">
        <v>1</v>
      </c>
      <c r="R246" t="b">
        <v>0</v>
      </c>
      <c r="S246" t="s">
        <v>1090</v>
      </c>
      <c r="T246" t="s">
        <v>1159</v>
      </c>
      <c r="U246" t="s">
        <v>1092</v>
      </c>
      <c r="V246" t="s">
        <v>1093</v>
      </c>
      <c r="W246" t="s">
        <v>1088</v>
      </c>
      <c r="X246" t="s">
        <v>1094</v>
      </c>
    </row>
    <row r="247" spans="1:24" x14ac:dyDescent="0.25">
      <c r="A247" t="s">
        <v>42</v>
      </c>
      <c r="B247" t="s">
        <v>1456</v>
      </c>
      <c r="C247" t="s">
        <v>336</v>
      </c>
      <c r="D247" t="s">
        <v>323</v>
      </c>
      <c r="E247" t="s">
        <v>986</v>
      </c>
      <c r="F247">
        <v>0</v>
      </c>
      <c r="G247" t="s">
        <v>1088</v>
      </c>
      <c r="H247" t="s">
        <v>446</v>
      </c>
      <c r="I247" t="s">
        <v>446</v>
      </c>
      <c r="J247" t="s">
        <v>1089</v>
      </c>
      <c r="K247" t="s">
        <v>446</v>
      </c>
      <c r="L247" t="s">
        <v>446</v>
      </c>
      <c r="M247" t="s">
        <v>446</v>
      </c>
      <c r="N247" t="s">
        <v>446</v>
      </c>
      <c r="O247" t="s">
        <v>446</v>
      </c>
      <c r="P247" t="s">
        <v>446</v>
      </c>
      <c r="Q247" t="b">
        <v>1</v>
      </c>
      <c r="R247" t="b">
        <v>0</v>
      </c>
      <c r="S247" t="s">
        <v>1090</v>
      </c>
      <c r="T247" t="s">
        <v>1159</v>
      </c>
      <c r="U247" t="s">
        <v>1092</v>
      </c>
      <c r="V247" t="s">
        <v>1093</v>
      </c>
      <c r="W247" t="s">
        <v>1088</v>
      </c>
      <c r="X247" t="s">
        <v>1094</v>
      </c>
    </row>
    <row r="248" spans="1:24" x14ac:dyDescent="0.25">
      <c r="A248" t="s">
        <v>42</v>
      </c>
      <c r="B248" t="s">
        <v>1457</v>
      </c>
      <c r="C248" t="s">
        <v>336</v>
      </c>
      <c r="D248" t="s">
        <v>323</v>
      </c>
      <c r="E248" t="s">
        <v>992</v>
      </c>
      <c r="F248">
        <v>0</v>
      </c>
      <c r="G248" t="s">
        <v>1088</v>
      </c>
      <c r="H248" t="s">
        <v>446</v>
      </c>
      <c r="I248" t="s">
        <v>446</v>
      </c>
      <c r="J248" t="s">
        <v>1089</v>
      </c>
      <c r="K248" t="s">
        <v>446</v>
      </c>
      <c r="L248" t="s">
        <v>446</v>
      </c>
      <c r="M248" t="s">
        <v>446</v>
      </c>
      <c r="N248" t="s">
        <v>446</v>
      </c>
      <c r="O248" t="s">
        <v>446</v>
      </c>
      <c r="P248" t="s">
        <v>446</v>
      </c>
      <c r="Q248" t="b">
        <v>1</v>
      </c>
      <c r="R248" t="b">
        <v>0</v>
      </c>
      <c r="S248" t="s">
        <v>1090</v>
      </c>
      <c r="T248" t="s">
        <v>1159</v>
      </c>
      <c r="U248" t="s">
        <v>1092</v>
      </c>
      <c r="V248" t="s">
        <v>1093</v>
      </c>
      <c r="W248" t="s">
        <v>1088</v>
      </c>
      <c r="X248" t="s">
        <v>1094</v>
      </c>
    </row>
    <row r="249" spans="1:24" x14ac:dyDescent="0.25">
      <c r="A249" t="s">
        <v>42</v>
      </c>
      <c r="B249" t="s">
        <v>1458</v>
      </c>
      <c r="C249" t="s">
        <v>336</v>
      </c>
      <c r="D249" t="s">
        <v>323</v>
      </c>
      <c r="E249" t="s">
        <v>998</v>
      </c>
      <c r="F249">
        <v>0</v>
      </c>
      <c r="G249" t="s">
        <v>1088</v>
      </c>
      <c r="H249" t="s">
        <v>446</v>
      </c>
      <c r="I249" t="s">
        <v>446</v>
      </c>
      <c r="J249" t="s">
        <v>1089</v>
      </c>
      <c r="K249" t="s">
        <v>446</v>
      </c>
      <c r="L249" t="s">
        <v>446</v>
      </c>
      <c r="M249" t="s">
        <v>446</v>
      </c>
      <c r="N249" t="s">
        <v>446</v>
      </c>
      <c r="O249" t="s">
        <v>446</v>
      </c>
      <c r="P249" t="s">
        <v>446</v>
      </c>
      <c r="Q249" t="b">
        <v>1</v>
      </c>
      <c r="R249" t="b">
        <v>0</v>
      </c>
      <c r="S249" t="s">
        <v>1090</v>
      </c>
      <c r="T249" t="s">
        <v>1159</v>
      </c>
      <c r="U249" t="s">
        <v>1092</v>
      </c>
      <c r="V249" t="s">
        <v>1093</v>
      </c>
      <c r="W249" t="s">
        <v>1088</v>
      </c>
      <c r="X249" t="s">
        <v>1094</v>
      </c>
    </row>
    <row r="250" spans="1:24" x14ac:dyDescent="0.25">
      <c r="A250" t="s">
        <v>42</v>
      </c>
      <c r="B250" t="s">
        <v>1459</v>
      </c>
      <c r="C250" t="s">
        <v>336</v>
      </c>
      <c r="D250" t="s">
        <v>323</v>
      </c>
      <c r="E250" t="s">
        <v>1006</v>
      </c>
      <c r="F250">
        <v>0</v>
      </c>
      <c r="G250" t="s">
        <v>1088</v>
      </c>
      <c r="H250" t="s">
        <v>446</v>
      </c>
      <c r="I250" t="s">
        <v>446</v>
      </c>
      <c r="J250" t="s">
        <v>1089</v>
      </c>
      <c r="K250" t="s">
        <v>446</v>
      </c>
      <c r="L250" t="s">
        <v>446</v>
      </c>
      <c r="M250" t="s">
        <v>446</v>
      </c>
      <c r="N250" t="s">
        <v>446</v>
      </c>
      <c r="O250" t="s">
        <v>446</v>
      </c>
      <c r="P250" t="s">
        <v>446</v>
      </c>
      <c r="Q250" t="b">
        <v>1</v>
      </c>
      <c r="R250" t="b">
        <v>0</v>
      </c>
      <c r="S250" t="s">
        <v>1090</v>
      </c>
      <c r="T250" t="s">
        <v>1159</v>
      </c>
      <c r="U250" t="s">
        <v>1092</v>
      </c>
      <c r="V250" t="s">
        <v>1093</v>
      </c>
      <c r="W250" t="s">
        <v>1088</v>
      </c>
      <c r="X250" t="s">
        <v>1094</v>
      </c>
    </row>
    <row r="251" spans="1:24" x14ac:dyDescent="0.25">
      <c r="A251" t="s">
        <v>42</v>
      </c>
      <c r="B251" t="s">
        <v>1460</v>
      </c>
      <c r="C251" t="s">
        <v>336</v>
      </c>
      <c r="D251" t="s">
        <v>323</v>
      </c>
      <c r="E251" t="s">
        <v>1013</v>
      </c>
      <c r="F251">
        <v>0</v>
      </c>
      <c r="G251" t="s">
        <v>1088</v>
      </c>
      <c r="H251" t="s">
        <v>446</v>
      </c>
      <c r="I251" t="s">
        <v>446</v>
      </c>
      <c r="J251" t="s">
        <v>1089</v>
      </c>
      <c r="K251" t="s">
        <v>446</v>
      </c>
      <c r="L251" t="s">
        <v>446</v>
      </c>
      <c r="M251" t="s">
        <v>446</v>
      </c>
      <c r="N251" t="s">
        <v>446</v>
      </c>
      <c r="O251" t="s">
        <v>446</v>
      </c>
      <c r="P251" t="s">
        <v>446</v>
      </c>
      <c r="Q251" t="b">
        <v>1</v>
      </c>
      <c r="R251" t="b">
        <v>0</v>
      </c>
      <c r="S251" t="s">
        <v>1090</v>
      </c>
      <c r="T251" t="s">
        <v>1159</v>
      </c>
      <c r="U251" t="s">
        <v>1092</v>
      </c>
      <c r="V251" t="s">
        <v>1093</v>
      </c>
      <c r="W251" t="s">
        <v>1088</v>
      </c>
      <c r="X251" t="s">
        <v>1094</v>
      </c>
    </row>
    <row r="252" spans="1:24" x14ac:dyDescent="0.25">
      <c r="A252" t="s">
        <v>42</v>
      </c>
      <c r="B252" t="s">
        <v>1461</v>
      </c>
      <c r="C252" t="s">
        <v>336</v>
      </c>
      <c r="D252" t="s">
        <v>323</v>
      </c>
      <c r="E252" t="s">
        <v>1018</v>
      </c>
      <c r="F252">
        <v>0</v>
      </c>
      <c r="G252" t="s">
        <v>1088</v>
      </c>
      <c r="H252" t="s">
        <v>446</v>
      </c>
      <c r="I252" t="s">
        <v>446</v>
      </c>
      <c r="J252" t="s">
        <v>1089</v>
      </c>
      <c r="K252" t="s">
        <v>446</v>
      </c>
      <c r="L252" t="s">
        <v>446</v>
      </c>
      <c r="M252" t="s">
        <v>446</v>
      </c>
      <c r="N252" t="s">
        <v>446</v>
      </c>
      <c r="O252" t="s">
        <v>446</v>
      </c>
      <c r="P252" t="s">
        <v>446</v>
      </c>
      <c r="Q252" t="b">
        <v>1</v>
      </c>
      <c r="R252" t="b">
        <v>0</v>
      </c>
      <c r="S252" t="s">
        <v>1090</v>
      </c>
      <c r="T252" t="s">
        <v>1159</v>
      </c>
      <c r="U252" t="s">
        <v>1092</v>
      </c>
      <c r="V252" t="s">
        <v>1093</v>
      </c>
      <c r="W252" t="s">
        <v>1088</v>
      </c>
      <c r="X252" t="s">
        <v>1094</v>
      </c>
    </row>
    <row r="253" spans="1:24" x14ac:dyDescent="0.25">
      <c r="A253" t="s">
        <v>42</v>
      </c>
      <c r="B253" t="s">
        <v>1462</v>
      </c>
      <c r="C253" t="s">
        <v>336</v>
      </c>
      <c r="D253" t="s">
        <v>323</v>
      </c>
      <c r="E253" t="s">
        <v>1023</v>
      </c>
      <c r="F253">
        <v>0</v>
      </c>
      <c r="G253" t="s">
        <v>1088</v>
      </c>
      <c r="H253" t="s">
        <v>446</v>
      </c>
      <c r="I253" t="s">
        <v>446</v>
      </c>
      <c r="J253" t="s">
        <v>1089</v>
      </c>
      <c r="K253" t="s">
        <v>446</v>
      </c>
      <c r="L253" t="s">
        <v>446</v>
      </c>
      <c r="M253" t="s">
        <v>446</v>
      </c>
      <c r="N253" t="s">
        <v>446</v>
      </c>
      <c r="O253" t="s">
        <v>446</v>
      </c>
      <c r="P253" t="s">
        <v>446</v>
      </c>
      <c r="Q253" t="b">
        <v>1</v>
      </c>
      <c r="R253" t="b">
        <v>0</v>
      </c>
      <c r="S253" t="s">
        <v>1090</v>
      </c>
      <c r="T253" t="s">
        <v>1159</v>
      </c>
      <c r="U253" t="s">
        <v>1092</v>
      </c>
      <c r="V253" t="s">
        <v>1093</v>
      </c>
      <c r="W253" t="s">
        <v>1088</v>
      </c>
      <c r="X253" t="s">
        <v>1094</v>
      </c>
    </row>
    <row r="254" spans="1:24" x14ac:dyDescent="0.25">
      <c r="A254" t="s">
        <v>42</v>
      </c>
      <c r="B254" t="s">
        <v>1463</v>
      </c>
      <c r="C254" t="s">
        <v>336</v>
      </c>
      <c r="D254" t="s">
        <v>323</v>
      </c>
      <c r="E254" t="s">
        <v>1029</v>
      </c>
      <c r="F254">
        <v>0</v>
      </c>
      <c r="G254" t="s">
        <v>1088</v>
      </c>
      <c r="H254" t="s">
        <v>446</v>
      </c>
      <c r="I254" t="s">
        <v>446</v>
      </c>
      <c r="J254" t="s">
        <v>1089</v>
      </c>
      <c r="K254" t="s">
        <v>446</v>
      </c>
      <c r="L254" t="s">
        <v>446</v>
      </c>
      <c r="M254" t="s">
        <v>446</v>
      </c>
      <c r="N254" t="s">
        <v>446</v>
      </c>
      <c r="O254" t="s">
        <v>446</v>
      </c>
      <c r="P254" t="s">
        <v>446</v>
      </c>
      <c r="Q254" t="b">
        <v>1</v>
      </c>
      <c r="R254" t="b">
        <v>0</v>
      </c>
      <c r="S254" t="s">
        <v>1090</v>
      </c>
      <c r="T254" t="s">
        <v>1159</v>
      </c>
      <c r="U254" t="s">
        <v>1092</v>
      </c>
      <c r="V254" t="s">
        <v>1093</v>
      </c>
      <c r="W254" t="s">
        <v>1088</v>
      </c>
      <c r="X254" t="s">
        <v>1094</v>
      </c>
    </row>
    <row r="255" spans="1:24" x14ac:dyDescent="0.25">
      <c r="A255" t="s">
        <v>42</v>
      </c>
      <c r="B255" t="s">
        <v>1464</v>
      </c>
      <c r="C255" t="s">
        <v>336</v>
      </c>
      <c r="D255" t="s">
        <v>323</v>
      </c>
      <c r="E255" t="s">
        <v>1035</v>
      </c>
      <c r="F255">
        <v>0</v>
      </c>
      <c r="G255" t="s">
        <v>1088</v>
      </c>
      <c r="H255" t="s">
        <v>446</v>
      </c>
      <c r="I255" t="s">
        <v>446</v>
      </c>
      <c r="J255" t="s">
        <v>1089</v>
      </c>
      <c r="K255" t="s">
        <v>446</v>
      </c>
      <c r="L255" t="s">
        <v>446</v>
      </c>
      <c r="M255" t="s">
        <v>446</v>
      </c>
      <c r="N255" t="s">
        <v>446</v>
      </c>
      <c r="O255" t="s">
        <v>446</v>
      </c>
      <c r="P255" t="s">
        <v>446</v>
      </c>
      <c r="Q255" t="b">
        <v>1</v>
      </c>
      <c r="R255" t="b">
        <v>0</v>
      </c>
      <c r="S255" t="s">
        <v>1090</v>
      </c>
      <c r="T255" t="s">
        <v>1159</v>
      </c>
      <c r="U255" t="s">
        <v>1092</v>
      </c>
      <c r="V255" t="s">
        <v>1093</v>
      </c>
      <c r="W255" t="s">
        <v>1088</v>
      </c>
      <c r="X255" t="s">
        <v>1094</v>
      </c>
    </row>
    <row r="256" spans="1:24" x14ac:dyDescent="0.25">
      <c r="A256" t="s">
        <v>42</v>
      </c>
      <c r="B256" t="s">
        <v>1465</v>
      </c>
      <c r="C256" t="s">
        <v>336</v>
      </c>
      <c r="D256" t="s">
        <v>323</v>
      </c>
      <c r="E256" t="s">
        <v>1040</v>
      </c>
      <c r="F256">
        <v>0</v>
      </c>
      <c r="G256" t="s">
        <v>1088</v>
      </c>
      <c r="H256" t="s">
        <v>446</v>
      </c>
      <c r="I256" t="s">
        <v>446</v>
      </c>
      <c r="J256" t="s">
        <v>1089</v>
      </c>
      <c r="K256" t="s">
        <v>446</v>
      </c>
      <c r="L256" t="s">
        <v>446</v>
      </c>
      <c r="M256" t="s">
        <v>446</v>
      </c>
      <c r="N256" t="s">
        <v>446</v>
      </c>
      <c r="O256" t="s">
        <v>446</v>
      </c>
      <c r="P256" t="s">
        <v>446</v>
      </c>
      <c r="Q256" t="b">
        <v>1</v>
      </c>
      <c r="R256" t="b">
        <v>0</v>
      </c>
      <c r="S256" t="s">
        <v>1090</v>
      </c>
      <c r="T256" t="s">
        <v>1159</v>
      </c>
      <c r="U256" t="s">
        <v>1092</v>
      </c>
      <c r="V256" t="s">
        <v>1093</v>
      </c>
      <c r="W256" t="s">
        <v>1088</v>
      </c>
      <c r="X256" t="s">
        <v>1094</v>
      </c>
    </row>
    <row r="257" spans="1:24" x14ac:dyDescent="0.25">
      <c r="A257" t="s">
        <v>42</v>
      </c>
      <c r="B257" t="s">
        <v>1466</v>
      </c>
      <c r="C257" t="s">
        <v>336</v>
      </c>
      <c r="D257" t="s">
        <v>323</v>
      </c>
      <c r="E257" t="s">
        <v>1045</v>
      </c>
      <c r="F257">
        <v>0</v>
      </c>
      <c r="G257" t="s">
        <v>1088</v>
      </c>
      <c r="H257" t="s">
        <v>446</v>
      </c>
      <c r="I257" t="s">
        <v>446</v>
      </c>
      <c r="J257" t="s">
        <v>1089</v>
      </c>
      <c r="K257" t="s">
        <v>446</v>
      </c>
      <c r="L257" t="s">
        <v>446</v>
      </c>
      <c r="M257" t="s">
        <v>446</v>
      </c>
      <c r="N257" t="s">
        <v>446</v>
      </c>
      <c r="O257" t="s">
        <v>446</v>
      </c>
      <c r="P257" t="s">
        <v>446</v>
      </c>
      <c r="Q257" t="b">
        <v>1</v>
      </c>
      <c r="R257" t="b">
        <v>0</v>
      </c>
      <c r="S257" t="s">
        <v>1090</v>
      </c>
      <c r="T257" t="s">
        <v>1159</v>
      </c>
      <c r="U257" t="s">
        <v>1092</v>
      </c>
      <c r="V257" t="s">
        <v>1093</v>
      </c>
      <c r="W257" t="s">
        <v>1088</v>
      </c>
      <c r="X257" t="s">
        <v>1094</v>
      </c>
    </row>
    <row r="258" spans="1:24" x14ac:dyDescent="0.25">
      <c r="A258" t="s">
        <v>42</v>
      </c>
      <c r="B258" t="s">
        <v>1467</v>
      </c>
      <c r="C258" t="s">
        <v>336</v>
      </c>
      <c r="D258" t="s">
        <v>323</v>
      </c>
      <c r="E258" t="s">
        <v>1051</v>
      </c>
      <c r="F258">
        <v>0</v>
      </c>
      <c r="G258" t="s">
        <v>1088</v>
      </c>
      <c r="H258" t="s">
        <v>446</v>
      </c>
      <c r="I258" t="s">
        <v>446</v>
      </c>
      <c r="J258" t="s">
        <v>1089</v>
      </c>
      <c r="K258" t="s">
        <v>446</v>
      </c>
      <c r="L258" t="s">
        <v>446</v>
      </c>
      <c r="M258" t="s">
        <v>446</v>
      </c>
      <c r="N258" t="s">
        <v>446</v>
      </c>
      <c r="O258" t="s">
        <v>446</v>
      </c>
      <c r="P258" t="s">
        <v>446</v>
      </c>
      <c r="Q258" t="b">
        <v>1</v>
      </c>
      <c r="R258" t="b">
        <v>0</v>
      </c>
      <c r="S258" t="s">
        <v>1090</v>
      </c>
      <c r="T258" t="s">
        <v>1159</v>
      </c>
      <c r="U258" t="s">
        <v>1092</v>
      </c>
      <c r="V258" t="s">
        <v>1093</v>
      </c>
      <c r="W258" t="s">
        <v>1088</v>
      </c>
      <c r="X258" t="s">
        <v>1094</v>
      </c>
    </row>
    <row r="259" spans="1:24" x14ac:dyDescent="0.25">
      <c r="A259" t="s">
        <v>42</v>
      </c>
      <c r="B259" t="s">
        <v>1468</v>
      </c>
      <c r="C259" t="s">
        <v>337</v>
      </c>
      <c r="D259" t="s">
        <v>323</v>
      </c>
      <c r="E259" t="s">
        <v>978</v>
      </c>
      <c r="F259">
        <v>0</v>
      </c>
      <c r="G259" t="s">
        <v>1088</v>
      </c>
      <c r="H259" t="s">
        <v>446</v>
      </c>
      <c r="I259" t="s">
        <v>446</v>
      </c>
      <c r="J259" t="s">
        <v>1089</v>
      </c>
      <c r="K259" t="s">
        <v>446</v>
      </c>
      <c r="L259" t="s">
        <v>446</v>
      </c>
      <c r="M259" t="s">
        <v>446</v>
      </c>
      <c r="N259" t="s">
        <v>446</v>
      </c>
      <c r="O259" t="s">
        <v>446</v>
      </c>
      <c r="P259" t="s">
        <v>446</v>
      </c>
      <c r="Q259" t="b">
        <v>1</v>
      </c>
      <c r="R259" t="b">
        <v>0</v>
      </c>
      <c r="S259" t="s">
        <v>1090</v>
      </c>
      <c r="T259" t="s">
        <v>1428</v>
      </c>
      <c r="U259" t="s">
        <v>1092</v>
      </c>
      <c r="V259" t="s">
        <v>1093</v>
      </c>
      <c r="W259" t="s">
        <v>1088</v>
      </c>
      <c r="X259" t="s">
        <v>1094</v>
      </c>
    </row>
    <row r="260" spans="1:24" x14ac:dyDescent="0.25">
      <c r="A260" t="s">
        <v>42</v>
      </c>
      <c r="B260" t="s">
        <v>1469</v>
      </c>
      <c r="C260" t="s">
        <v>337</v>
      </c>
      <c r="D260" t="s">
        <v>323</v>
      </c>
      <c r="E260" t="s">
        <v>986</v>
      </c>
      <c r="F260">
        <v>0</v>
      </c>
      <c r="G260" t="s">
        <v>1088</v>
      </c>
      <c r="H260" t="s">
        <v>446</v>
      </c>
      <c r="I260" t="s">
        <v>446</v>
      </c>
      <c r="J260" t="s">
        <v>1089</v>
      </c>
      <c r="K260" t="s">
        <v>446</v>
      </c>
      <c r="L260" t="s">
        <v>446</v>
      </c>
      <c r="M260" t="s">
        <v>446</v>
      </c>
      <c r="N260" t="s">
        <v>446</v>
      </c>
      <c r="O260" t="s">
        <v>446</v>
      </c>
      <c r="P260" t="s">
        <v>446</v>
      </c>
      <c r="Q260" t="b">
        <v>1</v>
      </c>
      <c r="R260" t="b">
        <v>0</v>
      </c>
      <c r="S260" t="s">
        <v>1090</v>
      </c>
      <c r="T260" t="s">
        <v>1470</v>
      </c>
      <c r="U260" t="s">
        <v>1092</v>
      </c>
      <c r="V260" t="s">
        <v>1093</v>
      </c>
      <c r="W260" t="s">
        <v>1088</v>
      </c>
      <c r="X260" t="s">
        <v>1094</v>
      </c>
    </row>
    <row r="261" spans="1:24" x14ac:dyDescent="0.25">
      <c r="A261" t="s">
        <v>42</v>
      </c>
      <c r="B261" t="s">
        <v>1471</v>
      </c>
      <c r="C261" t="s">
        <v>337</v>
      </c>
      <c r="D261" t="s">
        <v>323</v>
      </c>
      <c r="E261" t="s">
        <v>992</v>
      </c>
      <c r="F261">
        <v>0</v>
      </c>
      <c r="G261" t="s">
        <v>1088</v>
      </c>
      <c r="H261" t="s">
        <v>446</v>
      </c>
      <c r="I261" t="s">
        <v>446</v>
      </c>
      <c r="J261" t="s">
        <v>1089</v>
      </c>
      <c r="K261" t="s">
        <v>446</v>
      </c>
      <c r="L261" t="s">
        <v>446</v>
      </c>
      <c r="M261" t="s">
        <v>446</v>
      </c>
      <c r="N261" t="s">
        <v>446</v>
      </c>
      <c r="O261" t="s">
        <v>446</v>
      </c>
      <c r="P261" t="s">
        <v>446</v>
      </c>
      <c r="Q261" t="b">
        <v>1</v>
      </c>
      <c r="R261" t="b">
        <v>0</v>
      </c>
      <c r="S261" t="s">
        <v>1090</v>
      </c>
      <c r="T261" t="s">
        <v>1472</v>
      </c>
      <c r="U261" t="s">
        <v>1092</v>
      </c>
      <c r="V261" t="s">
        <v>1093</v>
      </c>
      <c r="W261" t="s">
        <v>1088</v>
      </c>
      <c r="X261" t="s">
        <v>1094</v>
      </c>
    </row>
    <row r="262" spans="1:24" x14ac:dyDescent="0.25">
      <c r="A262" t="s">
        <v>42</v>
      </c>
      <c r="B262" t="s">
        <v>1473</v>
      </c>
      <c r="C262" t="s">
        <v>337</v>
      </c>
      <c r="D262" t="s">
        <v>323</v>
      </c>
      <c r="E262" t="s">
        <v>998</v>
      </c>
      <c r="F262">
        <v>0</v>
      </c>
      <c r="G262" t="s">
        <v>1088</v>
      </c>
      <c r="H262" t="s">
        <v>446</v>
      </c>
      <c r="I262" t="s">
        <v>446</v>
      </c>
      <c r="J262" t="s">
        <v>1089</v>
      </c>
      <c r="K262" t="s">
        <v>446</v>
      </c>
      <c r="L262" t="s">
        <v>446</v>
      </c>
      <c r="M262" t="s">
        <v>446</v>
      </c>
      <c r="N262" t="s">
        <v>446</v>
      </c>
      <c r="O262" t="s">
        <v>446</v>
      </c>
      <c r="P262" t="s">
        <v>446</v>
      </c>
      <c r="Q262" t="b">
        <v>1</v>
      </c>
      <c r="R262" t="b">
        <v>0</v>
      </c>
      <c r="S262" t="s">
        <v>1090</v>
      </c>
      <c r="T262" t="s">
        <v>1474</v>
      </c>
      <c r="U262" t="s">
        <v>1092</v>
      </c>
      <c r="V262" t="s">
        <v>1093</v>
      </c>
      <c r="W262" t="s">
        <v>1088</v>
      </c>
      <c r="X262" t="s">
        <v>1094</v>
      </c>
    </row>
    <row r="263" spans="1:24" x14ac:dyDescent="0.25">
      <c r="A263" t="s">
        <v>42</v>
      </c>
      <c r="B263" t="s">
        <v>1475</v>
      </c>
      <c r="C263" t="s">
        <v>337</v>
      </c>
      <c r="D263" t="s">
        <v>323</v>
      </c>
      <c r="E263" t="s">
        <v>1006</v>
      </c>
      <c r="F263">
        <v>0</v>
      </c>
      <c r="G263" t="s">
        <v>1088</v>
      </c>
      <c r="H263" t="s">
        <v>446</v>
      </c>
      <c r="I263" t="s">
        <v>446</v>
      </c>
      <c r="J263" t="s">
        <v>1089</v>
      </c>
      <c r="K263" t="s">
        <v>446</v>
      </c>
      <c r="L263" t="s">
        <v>446</v>
      </c>
      <c r="M263" t="s">
        <v>446</v>
      </c>
      <c r="N263" t="s">
        <v>446</v>
      </c>
      <c r="O263" t="s">
        <v>446</v>
      </c>
      <c r="P263" t="s">
        <v>446</v>
      </c>
      <c r="Q263" t="b">
        <v>1</v>
      </c>
      <c r="R263" t="b">
        <v>0</v>
      </c>
      <c r="S263" t="s">
        <v>1090</v>
      </c>
      <c r="T263" t="s">
        <v>1474</v>
      </c>
      <c r="U263" t="s">
        <v>1092</v>
      </c>
      <c r="V263" t="s">
        <v>1093</v>
      </c>
      <c r="W263" t="s">
        <v>1088</v>
      </c>
      <c r="X263" t="s">
        <v>1094</v>
      </c>
    </row>
    <row r="264" spans="1:24" x14ac:dyDescent="0.25">
      <c r="A264" t="s">
        <v>42</v>
      </c>
      <c r="B264" t="s">
        <v>1476</v>
      </c>
      <c r="C264" t="s">
        <v>337</v>
      </c>
      <c r="D264" t="s">
        <v>323</v>
      </c>
      <c r="E264" t="s">
        <v>1013</v>
      </c>
      <c r="F264">
        <v>0</v>
      </c>
      <c r="G264" t="s">
        <v>1088</v>
      </c>
      <c r="H264" t="s">
        <v>446</v>
      </c>
      <c r="I264" t="s">
        <v>446</v>
      </c>
      <c r="J264" t="s">
        <v>1089</v>
      </c>
      <c r="K264" t="s">
        <v>446</v>
      </c>
      <c r="L264" t="s">
        <v>446</v>
      </c>
      <c r="M264" t="s">
        <v>446</v>
      </c>
      <c r="N264" t="s">
        <v>446</v>
      </c>
      <c r="O264" t="s">
        <v>446</v>
      </c>
      <c r="P264" t="s">
        <v>446</v>
      </c>
      <c r="Q264" t="b">
        <v>1</v>
      </c>
      <c r="R264" t="b">
        <v>0</v>
      </c>
      <c r="S264" t="s">
        <v>1090</v>
      </c>
      <c r="T264" t="s">
        <v>1474</v>
      </c>
      <c r="U264" t="s">
        <v>1092</v>
      </c>
      <c r="V264" t="s">
        <v>1093</v>
      </c>
      <c r="W264" t="s">
        <v>1088</v>
      </c>
      <c r="X264" t="s">
        <v>1094</v>
      </c>
    </row>
    <row r="265" spans="1:24" x14ac:dyDescent="0.25">
      <c r="A265" t="s">
        <v>42</v>
      </c>
      <c r="B265" t="s">
        <v>1477</v>
      </c>
      <c r="C265" t="s">
        <v>337</v>
      </c>
      <c r="D265" t="s">
        <v>323</v>
      </c>
      <c r="E265" t="s">
        <v>1018</v>
      </c>
      <c r="F265">
        <v>0</v>
      </c>
      <c r="G265" t="s">
        <v>1088</v>
      </c>
      <c r="H265" t="s">
        <v>446</v>
      </c>
      <c r="I265" t="s">
        <v>446</v>
      </c>
      <c r="J265" t="s">
        <v>1089</v>
      </c>
      <c r="K265" t="s">
        <v>446</v>
      </c>
      <c r="L265" t="s">
        <v>446</v>
      </c>
      <c r="M265" t="s">
        <v>446</v>
      </c>
      <c r="N265" t="s">
        <v>446</v>
      </c>
      <c r="O265" t="s">
        <v>446</v>
      </c>
      <c r="P265" t="s">
        <v>446</v>
      </c>
      <c r="Q265" t="b">
        <v>1</v>
      </c>
      <c r="R265" t="b">
        <v>0</v>
      </c>
      <c r="S265" t="s">
        <v>1090</v>
      </c>
      <c r="T265" t="s">
        <v>1474</v>
      </c>
      <c r="U265" t="s">
        <v>1092</v>
      </c>
      <c r="V265" t="s">
        <v>1093</v>
      </c>
      <c r="W265" t="s">
        <v>1088</v>
      </c>
      <c r="X265" t="s">
        <v>1094</v>
      </c>
    </row>
    <row r="266" spans="1:24" x14ac:dyDescent="0.25">
      <c r="A266" t="s">
        <v>42</v>
      </c>
      <c r="B266" t="s">
        <v>1478</v>
      </c>
      <c r="C266" t="s">
        <v>337</v>
      </c>
      <c r="D266" t="s">
        <v>323</v>
      </c>
      <c r="E266" t="s">
        <v>1023</v>
      </c>
      <c r="F266">
        <v>0</v>
      </c>
      <c r="G266" t="s">
        <v>1088</v>
      </c>
      <c r="H266" t="s">
        <v>446</v>
      </c>
      <c r="I266" t="s">
        <v>446</v>
      </c>
      <c r="J266" t="s">
        <v>1089</v>
      </c>
      <c r="K266" t="s">
        <v>446</v>
      </c>
      <c r="L266" t="s">
        <v>446</v>
      </c>
      <c r="M266" t="s">
        <v>446</v>
      </c>
      <c r="N266" t="s">
        <v>446</v>
      </c>
      <c r="O266" t="s">
        <v>446</v>
      </c>
      <c r="P266" t="s">
        <v>446</v>
      </c>
      <c r="Q266" t="b">
        <v>1</v>
      </c>
      <c r="R266" t="b">
        <v>0</v>
      </c>
      <c r="S266" t="s">
        <v>1090</v>
      </c>
      <c r="T266" t="s">
        <v>1474</v>
      </c>
      <c r="U266" t="s">
        <v>1092</v>
      </c>
      <c r="V266" t="s">
        <v>1093</v>
      </c>
      <c r="W266" t="s">
        <v>1088</v>
      </c>
      <c r="X266" t="s">
        <v>1094</v>
      </c>
    </row>
    <row r="267" spans="1:24" x14ac:dyDescent="0.25">
      <c r="A267" t="s">
        <v>42</v>
      </c>
      <c r="B267" t="s">
        <v>1479</v>
      </c>
      <c r="C267" t="s">
        <v>337</v>
      </c>
      <c r="D267" t="s">
        <v>323</v>
      </c>
      <c r="E267" t="s">
        <v>1029</v>
      </c>
      <c r="F267">
        <v>0</v>
      </c>
      <c r="G267" t="s">
        <v>1088</v>
      </c>
      <c r="H267" t="s">
        <v>446</v>
      </c>
      <c r="I267" t="s">
        <v>446</v>
      </c>
      <c r="J267" t="s">
        <v>1089</v>
      </c>
      <c r="K267" t="s">
        <v>446</v>
      </c>
      <c r="L267" t="s">
        <v>446</v>
      </c>
      <c r="M267" t="s">
        <v>446</v>
      </c>
      <c r="N267" t="s">
        <v>446</v>
      </c>
      <c r="O267" t="s">
        <v>446</v>
      </c>
      <c r="P267" t="s">
        <v>446</v>
      </c>
      <c r="Q267" t="b">
        <v>1</v>
      </c>
      <c r="R267" t="b">
        <v>0</v>
      </c>
      <c r="S267" t="s">
        <v>1090</v>
      </c>
      <c r="T267" t="s">
        <v>1159</v>
      </c>
      <c r="U267" t="s">
        <v>1092</v>
      </c>
      <c r="V267" t="s">
        <v>1093</v>
      </c>
      <c r="W267" t="s">
        <v>1088</v>
      </c>
      <c r="X267" t="s">
        <v>1094</v>
      </c>
    </row>
    <row r="268" spans="1:24" x14ac:dyDescent="0.25">
      <c r="A268" t="s">
        <v>42</v>
      </c>
      <c r="B268" t="s">
        <v>1480</v>
      </c>
      <c r="C268" t="s">
        <v>337</v>
      </c>
      <c r="D268" t="s">
        <v>323</v>
      </c>
      <c r="E268" t="s">
        <v>1035</v>
      </c>
      <c r="F268">
        <v>0</v>
      </c>
      <c r="G268" t="s">
        <v>1088</v>
      </c>
      <c r="H268" t="s">
        <v>446</v>
      </c>
      <c r="I268" t="s">
        <v>446</v>
      </c>
      <c r="J268" t="s">
        <v>1089</v>
      </c>
      <c r="K268" t="s">
        <v>446</v>
      </c>
      <c r="L268" t="s">
        <v>446</v>
      </c>
      <c r="M268" t="s">
        <v>446</v>
      </c>
      <c r="N268" t="s">
        <v>446</v>
      </c>
      <c r="O268" t="s">
        <v>446</v>
      </c>
      <c r="P268" t="s">
        <v>446</v>
      </c>
      <c r="Q268" t="b">
        <v>1</v>
      </c>
      <c r="R268" t="b">
        <v>0</v>
      </c>
      <c r="S268" t="s">
        <v>1090</v>
      </c>
      <c r="T268" t="s">
        <v>1159</v>
      </c>
      <c r="U268" t="s">
        <v>1092</v>
      </c>
      <c r="V268" t="s">
        <v>1093</v>
      </c>
      <c r="W268" t="s">
        <v>1088</v>
      </c>
      <c r="X268" t="s">
        <v>1094</v>
      </c>
    </row>
    <row r="269" spans="1:24" x14ac:dyDescent="0.25">
      <c r="A269" t="s">
        <v>42</v>
      </c>
      <c r="B269" t="s">
        <v>1481</v>
      </c>
      <c r="C269" t="s">
        <v>337</v>
      </c>
      <c r="D269" t="s">
        <v>323</v>
      </c>
      <c r="E269" t="s">
        <v>1040</v>
      </c>
      <c r="F269">
        <v>0</v>
      </c>
      <c r="G269" t="s">
        <v>1088</v>
      </c>
      <c r="H269" t="s">
        <v>446</v>
      </c>
      <c r="I269" t="s">
        <v>446</v>
      </c>
      <c r="J269" t="s">
        <v>1089</v>
      </c>
      <c r="K269" t="s">
        <v>446</v>
      </c>
      <c r="L269" t="s">
        <v>446</v>
      </c>
      <c r="M269" t="s">
        <v>446</v>
      </c>
      <c r="N269" t="s">
        <v>446</v>
      </c>
      <c r="O269" t="s">
        <v>446</v>
      </c>
      <c r="P269" t="s">
        <v>446</v>
      </c>
      <c r="Q269" t="b">
        <v>1</v>
      </c>
      <c r="R269" t="b">
        <v>0</v>
      </c>
      <c r="S269" t="s">
        <v>1090</v>
      </c>
      <c r="T269" t="s">
        <v>1159</v>
      </c>
      <c r="U269" t="s">
        <v>1092</v>
      </c>
      <c r="V269" t="s">
        <v>1093</v>
      </c>
      <c r="W269" t="s">
        <v>1088</v>
      </c>
      <c r="X269" t="s">
        <v>1094</v>
      </c>
    </row>
    <row r="270" spans="1:24" x14ac:dyDescent="0.25">
      <c r="A270" t="s">
        <v>42</v>
      </c>
      <c r="B270" t="s">
        <v>1482</v>
      </c>
      <c r="C270" t="s">
        <v>337</v>
      </c>
      <c r="D270" t="s">
        <v>323</v>
      </c>
      <c r="E270" t="s">
        <v>1045</v>
      </c>
      <c r="F270">
        <v>0</v>
      </c>
      <c r="G270" t="s">
        <v>1088</v>
      </c>
      <c r="H270" t="s">
        <v>446</v>
      </c>
      <c r="I270" t="s">
        <v>446</v>
      </c>
      <c r="J270" t="s">
        <v>1089</v>
      </c>
      <c r="K270" t="s">
        <v>446</v>
      </c>
      <c r="L270" t="s">
        <v>446</v>
      </c>
      <c r="M270" t="s">
        <v>446</v>
      </c>
      <c r="N270" t="s">
        <v>446</v>
      </c>
      <c r="O270" t="s">
        <v>446</v>
      </c>
      <c r="P270" t="s">
        <v>446</v>
      </c>
      <c r="Q270" t="b">
        <v>1</v>
      </c>
      <c r="R270" t="b">
        <v>0</v>
      </c>
      <c r="S270" t="s">
        <v>1090</v>
      </c>
      <c r="T270" t="s">
        <v>1483</v>
      </c>
      <c r="U270" t="s">
        <v>1092</v>
      </c>
      <c r="V270" t="s">
        <v>1093</v>
      </c>
      <c r="W270" t="s">
        <v>1088</v>
      </c>
      <c r="X270" t="s">
        <v>1094</v>
      </c>
    </row>
    <row r="271" spans="1:24" x14ac:dyDescent="0.25">
      <c r="A271" t="s">
        <v>42</v>
      </c>
      <c r="B271" t="s">
        <v>1484</v>
      </c>
      <c r="C271" t="s">
        <v>337</v>
      </c>
      <c r="D271" t="s">
        <v>323</v>
      </c>
      <c r="E271" t="s">
        <v>1051</v>
      </c>
      <c r="F271">
        <v>0</v>
      </c>
      <c r="G271" t="s">
        <v>1088</v>
      </c>
      <c r="H271" t="s">
        <v>446</v>
      </c>
      <c r="I271" t="s">
        <v>446</v>
      </c>
      <c r="J271" t="s">
        <v>1089</v>
      </c>
      <c r="K271" t="s">
        <v>446</v>
      </c>
      <c r="L271" t="s">
        <v>446</v>
      </c>
      <c r="M271" t="s">
        <v>446</v>
      </c>
      <c r="N271" t="s">
        <v>446</v>
      </c>
      <c r="O271" t="s">
        <v>446</v>
      </c>
      <c r="P271" t="s">
        <v>446</v>
      </c>
      <c r="Q271" t="b">
        <v>1</v>
      </c>
      <c r="R271" t="b">
        <v>0</v>
      </c>
      <c r="S271" t="s">
        <v>1090</v>
      </c>
      <c r="T271" t="s">
        <v>1159</v>
      </c>
      <c r="U271" t="s">
        <v>1092</v>
      </c>
      <c r="V271" t="s">
        <v>1093</v>
      </c>
      <c r="W271" t="s">
        <v>1088</v>
      </c>
      <c r="X271" t="s">
        <v>1094</v>
      </c>
    </row>
    <row r="272" spans="1:24" x14ac:dyDescent="0.25">
      <c r="A272" t="s">
        <v>42</v>
      </c>
      <c r="B272" t="s">
        <v>1485</v>
      </c>
      <c r="C272" t="s">
        <v>338</v>
      </c>
      <c r="D272" t="s">
        <v>323</v>
      </c>
      <c r="E272" t="s">
        <v>1029</v>
      </c>
      <c r="F272">
        <v>0</v>
      </c>
      <c r="G272" t="s">
        <v>1088</v>
      </c>
      <c r="H272" t="s">
        <v>446</v>
      </c>
      <c r="I272" t="s">
        <v>446</v>
      </c>
      <c r="J272" t="s">
        <v>1089</v>
      </c>
      <c r="K272" t="s">
        <v>446</v>
      </c>
      <c r="L272" t="s">
        <v>446</v>
      </c>
      <c r="M272" t="s">
        <v>446</v>
      </c>
      <c r="N272" t="s">
        <v>446</v>
      </c>
      <c r="O272" t="s">
        <v>446</v>
      </c>
      <c r="P272" t="s">
        <v>446</v>
      </c>
      <c r="Q272" t="b">
        <v>1</v>
      </c>
      <c r="R272" t="b">
        <v>0</v>
      </c>
      <c r="S272" t="s">
        <v>1090</v>
      </c>
      <c r="T272" t="s">
        <v>1486</v>
      </c>
      <c r="U272" t="s">
        <v>1092</v>
      </c>
      <c r="V272" t="s">
        <v>1093</v>
      </c>
      <c r="W272" t="s">
        <v>1088</v>
      </c>
      <c r="X272" t="s">
        <v>1094</v>
      </c>
    </row>
    <row r="273" spans="1:24" x14ac:dyDescent="0.25">
      <c r="A273" t="s">
        <v>42</v>
      </c>
      <c r="B273" t="s">
        <v>1487</v>
      </c>
      <c r="C273" t="s">
        <v>338</v>
      </c>
      <c r="D273" t="s">
        <v>323</v>
      </c>
      <c r="E273" t="s">
        <v>1035</v>
      </c>
      <c r="F273">
        <v>0</v>
      </c>
      <c r="G273" t="s">
        <v>1088</v>
      </c>
      <c r="H273" t="s">
        <v>446</v>
      </c>
      <c r="I273" t="s">
        <v>446</v>
      </c>
      <c r="J273" t="s">
        <v>1089</v>
      </c>
      <c r="K273" t="s">
        <v>446</v>
      </c>
      <c r="L273" t="s">
        <v>446</v>
      </c>
      <c r="M273" t="s">
        <v>446</v>
      </c>
      <c r="N273" t="s">
        <v>446</v>
      </c>
      <c r="O273" t="s">
        <v>446</v>
      </c>
      <c r="P273" t="s">
        <v>446</v>
      </c>
      <c r="Q273" t="b">
        <v>1</v>
      </c>
      <c r="R273" t="b">
        <v>0</v>
      </c>
      <c r="S273" t="s">
        <v>1090</v>
      </c>
      <c r="T273" t="s">
        <v>1488</v>
      </c>
      <c r="U273" t="s">
        <v>1092</v>
      </c>
      <c r="V273" t="s">
        <v>1093</v>
      </c>
      <c r="W273" t="s">
        <v>1088</v>
      </c>
      <c r="X273" t="s">
        <v>1094</v>
      </c>
    </row>
    <row r="274" spans="1:24" x14ac:dyDescent="0.25">
      <c r="A274" t="s">
        <v>42</v>
      </c>
      <c r="B274" t="s">
        <v>1489</v>
      </c>
      <c r="C274" t="s">
        <v>338</v>
      </c>
      <c r="D274" t="s">
        <v>323</v>
      </c>
      <c r="E274" t="s">
        <v>1040</v>
      </c>
      <c r="F274">
        <v>0</v>
      </c>
      <c r="G274" t="s">
        <v>1088</v>
      </c>
      <c r="H274" t="s">
        <v>446</v>
      </c>
      <c r="I274" t="s">
        <v>446</v>
      </c>
      <c r="J274" t="s">
        <v>1089</v>
      </c>
      <c r="K274" t="s">
        <v>446</v>
      </c>
      <c r="L274" t="s">
        <v>446</v>
      </c>
      <c r="M274" t="s">
        <v>446</v>
      </c>
      <c r="N274" t="s">
        <v>446</v>
      </c>
      <c r="O274" t="s">
        <v>446</v>
      </c>
      <c r="P274" t="s">
        <v>446</v>
      </c>
      <c r="Q274" t="b">
        <v>1</v>
      </c>
      <c r="R274" t="b">
        <v>0</v>
      </c>
      <c r="S274" t="s">
        <v>1090</v>
      </c>
      <c r="T274" t="s">
        <v>1490</v>
      </c>
      <c r="U274" t="s">
        <v>1092</v>
      </c>
      <c r="V274" t="s">
        <v>1093</v>
      </c>
      <c r="W274" t="s">
        <v>1088</v>
      </c>
      <c r="X274" t="s">
        <v>1094</v>
      </c>
    </row>
    <row r="275" spans="1:24" x14ac:dyDescent="0.25">
      <c r="A275" t="s">
        <v>42</v>
      </c>
      <c r="B275" t="s">
        <v>1491</v>
      </c>
      <c r="C275" t="s">
        <v>338</v>
      </c>
      <c r="D275" t="s">
        <v>323</v>
      </c>
      <c r="E275" t="s">
        <v>1045</v>
      </c>
      <c r="F275">
        <v>0</v>
      </c>
      <c r="G275" t="s">
        <v>1088</v>
      </c>
      <c r="H275" t="s">
        <v>446</v>
      </c>
      <c r="I275" t="s">
        <v>446</v>
      </c>
      <c r="J275" t="s">
        <v>1089</v>
      </c>
      <c r="K275" t="s">
        <v>446</v>
      </c>
      <c r="L275" t="s">
        <v>446</v>
      </c>
      <c r="M275" t="s">
        <v>446</v>
      </c>
      <c r="N275" t="s">
        <v>446</v>
      </c>
      <c r="O275" t="s">
        <v>446</v>
      </c>
      <c r="P275" t="s">
        <v>446</v>
      </c>
      <c r="Q275" t="b">
        <v>1</v>
      </c>
      <c r="R275" t="b">
        <v>0</v>
      </c>
      <c r="S275" t="s">
        <v>1090</v>
      </c>
      <c r="T275" t="s">
        <v>1492</v>
      </c>
      <c r="U275" t="s">
        <v>1092</v>
      </c>
      <c r="V275" t="s">
        <v>1093</v>
      </c>
      <c r="W275" t="s">
        <v>1088</v>
      </c>
      <c r="X275" t="s">
        <v>1094</v>
      </c>
    </row>
    <row r="276" spans="1:24" x14ac:dyDescent="0.25">
      <c r="A276" t="s">
        <v>42</v>
      </c>
      <c r="B276" t="s">
        <v>1493</v>
      </c>
      <c r="C276" t="s">
        <v>341</v>
      </c>
      <c r="D276" t="s">
        <v>446</v>
      </c>
      <c r="E276" t="s">
        <v>978</v>
      </c>
      <c r="F276">
        <v>0</v>
      </c>
      <c r="G276" t="s">
        <v>1088</v>
      </c>
      <c r="H276" t="s">
        <v>446</v>
      </c>
      <c r="I276" t="s">
        <v>446</v>
      </c>
      <c r="J276" t="s">
        <v>1089</v>
      </c>
      <c r="K276" t="s">
        <v>446</v>
      </c>
      <c r="L276" t="s">
        <v>446</v>
      </c>
      <c r="M276" t="s">
        <v>446</v>
      </c>
      <c r="N276" t="s">
        <v>446</v>
      </c>
      <c r="O276" t="s">
        <v>446</v>
      </c>
      <c r="P276" t="s">
        <v>446</v>
      </c>
      <c r="Q276" t="b">
        <v>1</v>
      </c>
      <c r="R276" t="b">
        <v>0</v>
      </c>
      <c r="S276" t="s">
        <v>1090</v>
      </c>
      <c r="T276" t="s">
        <v>1494</v>
      </c>
      <c r="U276" t="s">
        <v>1092</v>
      </c>
      <c r="V276" t="s">
        <v>1093</v>
      </c>
      <c r="W276" t="s">
        <v>1088</v>
      </c>
      <c r="X276" t="s">
        <v>1094</v>
      </c>
    </row>
    <row r="277" spans="1:24" x14ac:dyDescent="0.25">
      <c r="A277" t="s">
        <v>42</v>
      </c>
      <c r="B277" t="s">
        <v>1495</v>
      </c>
      <c r="C277" t="s">
        <v>341</v>
      </c>
      <c r="D277" t="s">
        <v>446</v>
      </c>
      <c r="E277" t="s">
        <v>986</v>
      </c>
      <c r="F277">
        <v>0</v>
      </c>
      <c r="G277" t="s">
        <v>1088</v>
      </c>
      <c r="H277" t="s">
        <v>446</v>
      </c>
      <c r="I277" t="s">
        <v>446</v>
      </c>
      <c r="J277" t="s">
        <v>1089</v>
      </c>
      <c r="K277" t="s">
        <v>446</v>
      </c>
      <c r="L277" t="s">
        <v>446</v>
      </c>
      <c r="M277" t="s">
        <v>446</v>
      </c>
      <c r="N277" t="s">
        <v>446</v>
      </c>
      <c r="O277" t="s">
        <v>446</v>
      </c>
      <c r="P277" t="s">
        <v>446</v>
      </c>
      <c r="Q277" t="b">
        <v>1</v>
      </c>
      <c r="R277" t="b">
        <v>0</v>
      </c>
      <c r="S277" t="s">
        <v>1090</v>
      </c>
      <c r="T277" t="s">
        <v>1496</v>
      </c>
      <c r="U277" t="s">
        <v>1092</v>
      </c>
      <c r="V277" t="s">
        <v>1093</v>
      </c>
      <c r="W277" t="s">
        <v>1088</v>
      </c>
      <c r="X277" t="s">
        <v>1094</v>
      </c>
    </row>
    <row r="278" spans="1:24" x14ac:dyDescent="0.25">
      <c r="A278" t="s">
        <v>42</v>
      </c>
      <c r="B278" t="s">
        <v>1497</v>
      </c>
      <c r="C278" t="s">
        <v>341</v>
      </c>
      <c r="D278" t="s">
        <v>446</v>
      </c>
      <c r="E278" t="s">
        <v>992</v>
      </c>
      <c r="F278">
        <v>0</v>
      </c>
      <c r="G278" t="s">
        <v>1088</v>
      </c>
      <c r="H278" t="s">
        <v>446</v>
      </c>
      <c r="I278" t="s">
        <v>446</v>
      </c>
      <c r="J278" t="s">
        <v>1089</v>
      </c>
      <c r="K278" t="s">
        <v>446</v>
      </c>
      <c r="L278" t="s">
        <v>446</v>
      </c>
      <c r="M278" t="s">
        <v>446</v>
      </c>
      <c r="N278" t="s">
        <v>446</v>
      </c>
      <c r="O278" t="s">
        <v>446</v>
      </c>
      <c r="P278" t="s">
        <v>446</v>
      </c>
      <c r="Q278" t="b">
        <v>1</v>
      </c>
      <c r="R278" t="b">
        <v>0</v>
      </c>
      <c r="S278" t="s">
        <v>1090</v>
      </c>
      <c r="T278" t="s">
        <v>1498</v>
      </c>
      <c r="U278" t="s">
        <v>1092</v>
      </c>
      <c r="V278" t="s">
        <v>1093</v>
      </c>
      <c r="W278" t="s">
        <v>1088</v>
      </c>
      <c r="X278" t="s">
        <v>1094</v>
      </c>
    </row>
    <row r="279" spans="1:24" x14ac:dyDescent="0.25">
      <c r="A279" t="s">
        <v>42</v>
      </c>
      <c r="B279" t="s">
        <v>1499</v>
      </c>
      <c r="C279" t="s">
        <v>341</v>
      </c>
      <c r="D279" t="s">
        <v>446</v>
      </c>
      <c r="E279" t="s">
        <v>998</v>
      </c>
      <c r="F279">
        <v>0</v>
      </c>
      <c r="G279" t="s">
        <v>1088</v>
      </c>
      <c r="H279" t="s">
        <v>446</v>
      </c>
      <c r="I279" t="s">
        <v>446</v>
      </c>
      <c r="J279" t="s">
        <v>1089</v>
      </c>
      <c r="K279" t="s">
        <v>446</v>
      </c>
      <c r="L279" t="s">
        <v>446</v>
      </c>
      <c r="M279" t="s">
        <v>446</v>
      </c>
      <c r="N279" t="s">
        <v>446</v>
      </c>
      <c r="O279" t="s">
        <v>446</v>
      </c>
      <c r="P279" t="s">
        <v>446</v>
      </c>
      <c r="Q279" t="b">
        <v>1</v>
      </c>
      <c r="R279" t="b">
        <v>0</v>
      </c>
      <c r="S279" t="s">
        <v>1090</v>
      </c>
      <c r="T279" t="s">
        <v>1500</v>
      </c>
      <c r="U279" t="s">
        <v>1092</v>
      </c>
      <c r="V279" t="s">
        <v>1093</v>
      </c>
      <c r="W279" t="s">
        <v>1088</v>
      </c>
      <c r="X279" t="s">
        <v>1094</v>
      </c>
    </row>
    <row r="280" spans="1:24" x14ac:dyDescent="0.25">
      <c r="A280" t="s">
        <v>42</v>
      </c>
      <c r="B280" t="s">
        <v>1501</v>
      </c>
      <c r="C280" t="s">
        <v>341</v>
      </c>
      <c r="D280" t="s">
        <v>446</v>
      </c>
      <c r="E280" t="s">
        <v>1006</v>
      </c>
      <c r="F280">
        <v>0</v>
      </c>
      <c r="G280" t="s">
        <v>1088</v>
      </c>
      <c r="H280" t="s">
        <v>446</v>
      </c>
      <c r="I280" t="s">
        <v>446</v>
      </c>
      <c r="J280" t="s">
        <v>1089</v>
      </c>
      <c r="K280" t="s">
        <v>446</v>
      </c>
      <c r="L280" t="s">
        <v>446</v>
      </c>
      <c r="M280" t="s">
        <v>446</v>
      </c>
      <c r="N280" t="s">
        <v>446</v>
      </c>
      <c r="O280" t="s">
        <v>446</v>
      </c>
      <c r="P280" t="s">
        <v>446</v>
      </c>
      <c r="Q280" t="b">
        <v>1</v>
      </c>
      <c r="R280" t="b">
        <v>0</v>
      </c>
      <c r="S280" t="s">
        <v>1090</v>
      </c>
      <c r="T280" t="s">
        <v>1502</v>
      </c>
      <c r="U280" t="s">
        <v>1092</v>
      </c>
      <c r="V280" t="s">
        <v>1093</v>
      </c>
      <c r="W280" t="s">
        <v>1088</v>
      </c>
      <c r="X280" t="s">
        <v>1094</v>
      </c>
    </row>
    <row r="281" spans="1:24" x14ac:dyDescent="0.25">
      <c r="A281" t="s">
        <v>42</v>
      </c>
      <c r="B281" t="s">
        <v>1503</v>
      </c>
      <c r="C281" t="s">
        <v>341</v>
      </c>
      <c r="D281" t="s">
        <v>446</v>
      </c>
      <c r="E281" t="s">
        <v>1013</v>
      </c>
      <c r="F281">
        <v>0</v>
      </c>
      <c r="G281" t="s">
        <v>1088</v>
      </c>
      <c r="H281" t="s">
        <v>446</v>
      </c>
      <c r="I281" t="s">
        <v>446</v>
      </c>
      <c r="J281" t="s">
        <v>1089</v>
      </c>
      <c r="K281" t="s">
        <v>446</v>
      </c>
      <c r="L281" t="s">
        <v>446</v>
      </c>
      <c r="M281" t="s">
        <v>446</v>
      </c>
      <c r="N281" t="s">
        <v>446</v>
      </c>
      <c r="O281" t="s">
        <v>446</v>
      </c>
      <c r="P281" t="s">
        <v>446</v>
      </c>
      <c r="Q281" t="b">
        <v>1</v>
      </c>
      <c r="R281" t="b">
        <v>0</v>
      </c>
      <c r="S281" t="s">
        <v>1090</v>
      </c>
      <c r="T281" t="s">
        <v>1504</v>
      </c>
      <c r="U281" t="s">
        <v>1092</v>
      </c>
      <c r="V281" t="s">
        <v>1093</v>
      </c>
      <c r="W281" t="s">
        <v>1088</v>
      </c>
      <c r="X281" t="s">
        <v>1094</v>
      </c>
    </row>
    <row r="282" spans="1:24" x14ac:dyDescent="0.25">
      <c r="A282" t="s">
        <v>42</v>
      </c>
      <c r="B282" t="s">
        <v>1505</v>
      </c>
      <c r="C282" t="s">
        <v>341</v>
      </c>
      <c r="D282" t="s">
        <v>446</v>
      </c>
      <c r="E282" t="s">
        <v>1018</v>
      </c>
      <c r="F282">
        <v>0</v>
      </c>
      <c r="G282" t="s">
        <v>1088</v>
      </c>
      <c r="H282" t="s">
        <v>446</v>
      </c>
      <c r="I282" t="s">
        <v>446</v>
      </c>
      <c r="J282" t="s">
        <v>1089</v>
      </c>
      <c r="K282" t="s">
        <v>446</v>
      </c>
      <c r="L282" t="s">
        <v>446</v>
      </c>
      <c r="M282" t="s">
        <v>446</v>
      </c>
      <c r="N282" t="s">
        <v>446</v>
      </c>
      <c r="O282" t="s">
        <v>446</v>
      </c>
      <c r="P282" t="s">
        <v>446</v>
      </c>
      <c r="Q282" t="b">
        <v>1</v>
      </c>
      <c r="R282" t="b">
        <v>0</v>
      </c>
      <c r="S282" t="s">
        <v>1090</v>
      </c>
      <c r="T282" t="s">
        <v>1506</v>
      </c>
      <c r="U282" t="s">
        <v>1092</v>
      </c>
      <c r="V282" t="s">
        <v>1093</v>
      </c>
      <c r="W282" t="s">
        <v>1088</v>
      </c>
      <c r="X282" t="s">
        <v>1094</v>
      </c>
    </row>
    <row r="283" spans="1:24" x14ac:dyDescent="0.25">
      <c r="A283" t="s">
        <v>42</v>
      </c>
      <c r="B283" t="s">
        <v>1507</v>
      </c>
      <c r="C283" t="s">
        <v>341</v>
      </c>
      <c r="D283" t="s">
        <v>446</v>
      </c>
      <c r="E283" t="s">
        <v>1023</v>
      </c>
      <c r="F283">
        <v>0</v>
      </c>
      <c r="G283" t="s">
        <v>1088</v>
      </c>
      <c r="H283" t="s">
        <v>446</v>
      </c>
      <c r="I283" t="s">
        <v>446</v>
      </c>
      <c r="J283" t="s">
        <v>1089</v>
      </c>
      <c r="K283" t="s">
        <v>446</v>
      </c>
      <c r="L283" t="s">
        <v>446</v>
      </c>
      <c r="M283" t="s">
        <v>446</v>
      </c>
      <c r="N283" t="s">
        <v>446</v>
      </c>
      <c r="O283" t="s">
        <v>446</v>
      </c>
      <c r="P283" t="s">
        <v>446</v>
      </c>
      <c r="Q283" t="b">
        <v>1</v>
      </c>
      <c r="R283" t="b">
        <v>0</v>
      </c>
      <c r="S283" t="s">
        <v>1090</v>
      </c>
      <c r="T283" t="s">
        <v>1508</v>
      </c>
      <c r="U283" t="s">
        <v>1092</v>
      </c>
      <c r="V283" t="s">
        <v>1093</v>
      </c>
      <c r="W283" t="s">
        <v>1088</v>
      </c>
      <c r="X283" t="s">
        <v>1094</v>
      </c>
    </row>
    <row r="284" spans="1:24" x14ac:dyDescent="0.25">
      <c r="A284" t="s">
        <v>42</v>
      </c>
      <c r="B284" t="s">
        <v>1509</v>
      </c>
      <c r="C284" t="s">
        <v>341</v>
      </c>
      <c r="D284" t="s">
        <v>446</v>
      </c>
      <c r="E284" t="s">
        <v>1029</v>
      </c>
      <c r="F284">
        <v>0</v>
      </c>
      <c r="G284" t="s">
        <v>1088</v>
      </c>
      <c r="H284" t="s">
        <v>446</v>
      </c>
      <c r="I284" t="s">
        <v>446</v>
      </c>
      <c r="J284" t="s">
        <v>1089</v>
      </c>
      <c r="K284" t="s">
        <v>446</v>
      </c>
      <c r="L284" t="s">
        <v>446</v>
      </c>
      <c r="M284" t="s">
        <v>446</v>
      </c>
      <c r="N284" t="s">
        <v>446</v>
      </c>
      <c r="O284" t="s">
        <v>446</v>
      </c>
      <c r="P284" t="s">
        <v>446</v>
      </c>
      <c r="Q284" t="b">
        <v>1</v>
      </c>
      <c r="R284" t="b">
        <v>0</v>
      </c>
      <c r="S284" t="s">
        <v>1090</v>
      </c>
      <c r="T284" t="s">
        <v>1510</v>
      </c>
      <c r="U284" t="s">
        <v>1092</v>
      </c>
      <c r="V284" t="s">
        <v>1093</v>
      </c>
      <c r="W284" t="s">
        <v>1088</v>
      </c>
      <c r="X284" t="s">
        <v>1094</v>
      </c>
    </row>
    <row r="285" spans="1:24" x14ac:dyDescent="0.25">
      <c r="A285" t="s">
        <v>42</v>
      </c>
      <c r="B285" t="s">
        <v>1511</v>
      </c>
      <c r="C285" t="s">
        <v>341</v>
      </c>
      <c r="D285" t="s">
        <v>446</v>
      </c>
      <c r="E285" t="s">
        <v>1035</v>
      </c>
      <c r="F285">
        <v>0</v>
      </c>
      <c r="G285" t="s">
        <v>1088</v>
      </c>
      <c r="H285" t="s">
        <v>446</v>
      </c>
      <c r="I285" t="s">
        <v>446</v>
      </c>
      <c r="J285" t="s">
        <v>1089</v>
      </c>
      <c r="K285" t="s">
        <v>446</v>
      </c>
      <c r="L285" t="s">
        <v>446</v>
      </c>
      <c r="M285" t="s">
        <v>446</v>
      </c>
      <c r="N285" t="s">
        <v>446</v>
      </c>
      <c r="O285" t="s">
        <v>446</v>
      </c>
      <c r="P285" t="s">
        <v>446</v>
      </c>
      <c r="Q285" t="b">
        <v>1</v>
      </c>
      <c r="R285" t="b">
        <v>0</v>
      </c>
      <c r="S285" t="s">
        <v>1090</v>
      </c>
      <c r="T285" t="s">
        <v>1512</v>
      </c>
      <c r="U285" t="s">
        <v>1092</v>
      </c>
      <c r="V285" t="s">
        <v>1093</v>
      </c>
      <c r="W285" t="s">
        <v>1088</v>
      </c>
      <c r="X285" t="s">
        <v>1094</v>
      </c>
    </row>
    <row r="286" spans="1:24" x14ac:dyDescent="0.25">
      <c r="A286" t="s">
        <v>42</v>
      </c>
      <c r="B286" t="s">
        <v>1513</v>
      </c>
      <c r="C286" t="s">
        <v>341</v>
      </c>
      <c r="D286" t="s">
        <v>446</v>
      </c>
      <c r="E286" t="s">
        <v>1040</v>
      </c>
      <c r="F286">
        <v>0</v>
      </c>
      <c r="G286" t="s">
        <v>1088</v>
      </c>
      <c r="H286" t="s">
        <v>446</v>
      </c>
      <c r="I286" t="s">
        <v>446</v>
      </c>
      <c r="J286" t="s">
        <v>1089</v>
      </c>
      <c r="K286" t="s">
        <v>446</v>
      </c>
      <c r="L286" t="s">
        <v>446</v>
      </c>
      <c r="M286" t="s">
        <v>446</v>
      </c>
      <c r="N286" t="s">
        <v>446</v>
      </c>
      <c r="O286" t="s">
        <v>446</v>
      </c>
      <c r="P286" t="s">
        <v>446</v>
      </c>
      <c r="Q286" t="b">
        <v>1</v>
      </c>
      <c r="R286" t="b">
        <v>0</v>
      </c>
      <c r="S286" t="s">
        <v>1090</v>
      </c>
      <c r="T286" t="s">
        <v>1514</v>
      </c>
      <c r="U286" t="s">
        <v>1092</v>
      </c>
      <c r="V286" t="s">
        <v>1093</v>
      </c>
      <c r="W286" t="s">
        <v>1088</v>
      </c>
      <c r="X286" t="s">
        <v>1094</v>
      </c>
    </row>
    <row r="287" spans="1:24" x14ac:dyDescent="0.25">
      <c r="A287" t="s">
        <v>42</v>
      </c>
      <c r="B287" t="s">
        <v>1515</v>
      </c>
      <c r="C287" t="s">
        <v>341</v>
      </c>
      <c r="D287" t="s">
        <v>446</v>
      </c>
      <c r="E287" t="s">
        <v>1045</v>
      </c>
      <c r="F287">
        <v>0</v>
      </c>
      <c r="G287" t="s">
        <v>1088</v>
      </c>
      <c r="H287" t="s">
        <v>446</v>
      </c>
      <c r="I287" t="s">
        <v>446</v>
      </c>
      <c r="J287" t="s">
        <v>1089</v>
      </c>
      <c r="K287" t="s">
        <v>446</v>
      </c>
      <c r="L287" t="s">
        <v>446</v>
      </c>
      <c r="M287" t="s">
        <v>446</v>
      </c>
      <c r="N287" t="s">
        <v>446</v>
      </c>
      <c r="O287" t="s">
        <v>446</v>
      </c>
      <c r="P287" t="s">
        <v>446</v>
      </c>
      <c r="Q287" t="b">
        <v>1</v>
      </c>
      <c r="R287" t="b">
        <v>0</v>
      </c>
      <c r="S287" t="s">
        <v>1090</v>
      </c>
      <c r="T287" t="s">
        <v>1516</v>
      </c>
      <c r="U287" t="s">
        <v>1092</v>
      </c>
      <c r="V287" t="s">
        <v>1093</v>
      </c>
      <c r="W287" t="s">
        <v>1088</v>
      </c>
      <c r="X287" t="s">
        <v>1094</v>
      </c>
    </row>
    <row r="288" spans="1:24" x14ac:dyDescent="0.25">
      <c r="A288" t="s">
        <v>42</v>
      </c>
      <c r="B288" t="s">
        <v>1517</v>
      </c>
      <c r="C288" t="s">
        <v>341</v>
      </c>
      <c r="D288" t="s">
        <v>446</v>
      </c>
      <c r="E288" t="s">
        <v>1051</v>
      </c>
      <c r="F288">
        <v>0</v>
      </c>
      <c r="G288" t="s">
        <v>1088</v>
      </c>
      <c r="H288" t="s">
        <v>446</v>
      </c>
      <c r="I288" t="s">
        <v>446</v>
      </c>
      <c r="J288" t="s">
        <v>1089</v>
      </c>
      <c r="K288" t="s">
        <v>446</v>
      </c>
      <c r="L288" t="s">
        <v>446</v>
      </c>
      <c r="M288" t="s">
        <v>446</v>
      </c>
      <c r="N288" t="s">
        <v>446</v>
      </c>
      <c r="O288" t="s">
        <v>446</v>
      </c>
      <c r="P288" t="s">
        <v>446</v>
      </c>
      <c r="Q288" t="b">
        <v>1</v>
      </c>
      <c r="R288" t="b">
        <v>0</v>
      </c>
      <c r="S288" t="s">
        <v>1090</v>
      </c>
      <c r="T288" t="s">
        <v>1518</v>
      </c>
      <c r="U288" t="s">
        <v>1092</v>
      </c>
      <c r="V288" t="s">
        <v>1093</v>
      </c>
      <c r="W288" t="s">
        <v>1088</v>
      </c>
      <c r="X288" t="s">
        <v>1094</v>
      </c>
    </row>
    <row r="289" spans="1:24" x14ac:dyDescent="0.25">
      <c r="A289" t="s">
        <v>42</v>
      </c>
      <c r="B289" t="s">
        <v>1519</v>
      </c>
      <c r="C289" t="s">
        <v>342</v>
      </c>
      <c r="D289" t="s">
        <v>446</v>
      </c>
      <c r="E289" t="s">
        <v>978</v>
      </c>
      <c r="F289">
        <v>0</v>
      </c>
      <c r="G289" t="s">
        <v>1088</v>
      </c>
      <c r="H289" t="s">
        <v>446</v>
      </c>
      <c r="I289" t="s">
        <v>446</v>
      </c>
      <c r="J289" t="s">
        <v>1089</v>
      </c>
      <c r="K289" t="s">
        <v>446</v>
      </c>
      <c r="L289" t="s">
        <v>446</v>
      </c>
      <c r="M289" t="s">
        <v>446</v>
      </c>
      <c r="N289" t="s">
        <v>446</v>
      </c>
      <c r="O289" t="s">
        <v>446</v>
      </c>
      <c r="P289" t="s">
        <v>446</v>
      </c>
      <c r="Q289" t="b">
        <v>1</v>
      </c>
      <c r="R289" t="b">
        <v>0</v>
      </c>
      <c r="S289" t="s">
        <v>1090</v>
      </c>
      <c r="T289" t="s">
        <v>1520</v>
      </c>
      <c r="U289" t="s">
        <v>1092</v>
      </c>
      <c r="V289" t="s">
        <v>1093</v>
      </c>
      <c r="W289" t="s">
        <v>1088</v>
      </c>
      <c r="X289" t="s">
        <v>1094</v>
      </c>
    </row>
    <row r="290" spans="1:24" x14ac:dyDescent="0.25">
      <c r="A290" t="s">
        <v>42</v>
      </c>
      <c r="B290" t="s">
        <v>1521</v>
      </c>
      <c r="C290" t="s">
        <v>342</v>
      </c>
      <c r="D290" t="s">
        <v>446</v>
      </c>
      <c r="E290" t="s">
        <v>986</v>
      </c>
      <c r="F290">
        <v>0</v>
      </c>
      <c r="G290" t="s">
        <v>1088</v>
      </c>
      <c r="H290" t="s">
        <v>446</v>
      </c>
      <c r="I290" t="s">
        <v>446</v>
      </c>
      <c r="J290" t="s">
        <v>1089</v>
      </c>
      <c r="K290" t="s">
        <v>446</v>
      </c>
      <c r="L290" t="s">
        <v>446</v>
      </c>
      <c r="M290" t="s">
        <v>446</v>
      </c>
      <c r="N290" t="s">
        <v>446</v>
      </c>
      <c r="O290" t="s">
        <v>446</v>
      </c>
      <c r="P290" t="s">
        <v>446</v>
      </c>
      <c r="Q290" t="b">
        <v>1</v>
      </c>
      <c r="R290" t="b">
        <v>0</v>
      </c>
      <c r="S290" t="s">
        <v>1090</v>
      </c>
      <c r="T290" t="s">
        <v>1522</v>
      </c>
      <c r="U290" t="s">
        <v>1092</v>
      </c>
      <c r="V290" t="s">
        <v>1093</v>
      </c>
      <c r="W290" t="s">
        <v>1088</v>
      </c>
      <c r="X290" t="s">
        <v>1094</v>
      </c>
    </row>
    <row r="291" spans="1:24" x14ac:dyDescent="0.25">
      <c r="A291" t="s">
        <v>42</v>
      </c>
      <c r="B291" t="s">
        <v>1523</v>
      </c>
      <c r="C291" t="s">
        <v>342</v>
      </c>
      <c r="D291" t="s">
        <v>446</v>
      </c>
      <c r="E291" t="s">
        <v>992</v>
      </c>
      <c r="F291">
        <v>0</v>
      </c>
      <c r="G291" t="s">
        <v>1088</v>
      </c>
      <c r="H291" t="s">
        <v>446</v>
      </c>
      <c r="I291" t="s">
        <v>446</v>
      </c>
      <c r="J291" t="s">
        <v>1089</v>
      </c>
      <c r="K291" t="s">
        <v>446</v>
      </c>
      <c r="L291" t="s">
        <v>446</v>
      </c>
      <c r="M291" t="s">
        <v>446</v>
      </c>
      <c r="N291" t="s">
        <v>446</v>
      </c>
      <c r="O291" t="s">
        <v>446</v>
      </c>
      <c r="P291" t="s">
        <v>446</v>
      </c>
      <c r="Q291" t="b">
        <v>1</v>
      </c>
      <c r="R291" t="b">
        <v>0</v>
      </c>
      <c r="S291" t="s">
        <v>1090</v>
      </c>
      <c r="T291" t="s">
        <v>1524</v>
      </c>
      <c r="U291" t="s">
        <v>1092</v>
      </c>
      <c r="V291" t="s">
        <v>1093</v>
      </c>
      <c r="W291" t="s">
        <v>1088</v>
      </c>
      <c r="X291" t="s">
        <v>1094</v>
      </c>
    </row>
    <row r="292" spans="1:24" x14ac:dyDescent="0.25">
      <c r="A292" t="s">
        <v>42</v>
      </c>
      <c r="B292" t="s">
        <v>1525</v>
      </c>
      <c r="C292" t="s">
        <v>342</v>
      </c>
      <c r="D292" t="s">
        <v>446</v>
      </c>
      <c r="E292" t="s">
        <v>998</v>
      </c>
      <c r="F292">
        <v>0</v>
      </c>
      <c r="G292" t="s">
        <v>1088</v>
      </c>
      <c r="H292" t="s">
        <v>446</v>
      </c>
      <c r="I292" t="s">
        <v>446</v>
      </c>
      <c r="J292" t="s">
        <v>1089</v>
      </c>
      <c r="K292" t="s">
        <v>446</v>
      </c>
      <c r="L292" t="s">
        <v>446</v>
      </c>
      <c r="M292" t="s">
        <v>446</v>
      </c>
      <c r="N292" t="s">
        <v>446</v>
      </c>
      <c r="O292" t="s">
        <v>446</v>
      </c>
      <c r="P292" t="s">
        <v>446</v>
      </c>
      <c r="Q292" t="b">
        <v>1</v>
      </c>
      <c r="R292" t="b">
        <v>0</v>
      </c>
      <c r="S292" t="s">
        <v>1090</v>
      </c>
      <c r="T292" t="s">
        <v>1526</v>
      </c>
      <c r="U292" t="s">
        <v>1092</v>
      </c>
      <c r="V292" t="s">
        <v>1093</v>
      </c>
      <c r="W292" t="s">
        <v>1088</v>
      </c>
      <c r="X292" t="s">
        <v>1094</v>
      </c>
    </row>
    <row r="293" spans="1:24" x14ac:dyDescent="0.25">
      <c r="A293" t="s">
        <v>42</v>
      </c>
      <c r="B293" t="s">
        <v>1527</v>
      </c>
      <c r="C293" t="s">
        <v>342</v>
      </c>
      <c r="D293" t="s">
        <v>446</v>
      </c>
      <c r="E293" t="s">
        <v>1006</v>
      </c>
      <c r="F293">
        <v>0</v>
      </c>
      <c r="G293" t="s">
        <v>1088</v>
      </c>
      <c r="H293" t="s">
        <v>446</v>
      </c>
      <c r="I293" t="s">
        <v>446</v>
      </c>
      <c r="J293" t="s">
        <v>1089</v>
      </c>
      <c r="K293" t="s">
        <v>446</v>
      </c>
      <c r="L293" t="s">
        <v>446</v>
      </c>
      <c r="M293" t="s">
        <v>446</v>
      </c>
      <c r="N293" t="s">
        <v>446</v>
      </c>
      <c r="O293" t="s">
        <v>446</v>
      </c>
      <c r="P293" t="s">
        <v>446</v>
      </c>
      <c r="Q293" t="b">
        <v>1</v>
      </c>
      <c r="R293" t="b">
        <v>0</v>
      </c>
      <c r="S293" t="s">
        <v>1090</v>
      </c>
      <c r="T293" t="s">
        <v>1528</v>
      </c>
      <c r="U293" t="s">
        <v>1092</v>
      </c>
      <c r="V293" t="s">
        <v>1093</v>
      </c>
      <c r="W293" t="s">
        <v>1088</v>
      </c>
      <c r="X293" t="s">
        <v>1094</v>
      </c>
    </row>
    <row r="294" spans="1:24" x14ac:dyDescent="0.25">
      <c r="A294" t="s">
        <v>42</v>
      </c>
      <c r="B294" t="s">
        <v>1529</v>
      </c>
      <c r="C294" t="s">
        <v>342</v>
      </c>
      <c r="D294" t="s">
        <v>446</v>
      </c>
      <c r="E294" t="s">
        <v>1013</v>
      </c>
      <c r="F294">
        <v>0</v>
      </c>
      <c r="G294" t="s">
        <v>1088</v>
      </c>
      <c r="H294" t="s">
        <v>446</v>
      </c>
      <c r="I294" t="s">
        <v>446</v>
      </c>
      <c r="J294" t="s">
        <v>1089</v>
      </c>
      <c r="K294" t="s">
        <v>446</v>
      </c>
      <c r="L294" t="s">
        <v>446</v>
      </c>
      <c r="M294" t="s">
        <v>446</v>
      </c>
      <c r="N294" t="s">
        <v>446</v>
      </c>
      <c r="O294" t="s">
        <v>446</v>
      </c>
      <c r="P294" t="s">
        <v>446</v>
      </c>
      <c r="Q294" t="b">
        <v>1</v>
      </c>
      <c r="R294" t="b">
        <v>0</v>
      </c>
      <c r="S294" t="s">
        <v>1090</v>
      </c>
      <c r="T294" t="s">
        <v>1530</v>
      </c>
      <c r="U294" t="s">
        <v>1092</v>
      </c>
      <c r="V294" t="s">
        <v>1093</v>
      </c>
      <c r="W294" t="s">
        <v>1088</v>
      </c>
      <c r="X294" t="s">
        <v>1094</v>
      </c>
    </row>
    <row r="295" spans="1:24" x14ac:dyDescent="0.25">
      <c r="A295" t="s">
        <v>42</v>
      </c>
      <c r="B295" t="s">
        <v>1531</v>
      </c>
      <c r="C295" t="s">
        <v>342</v>
      </c>
      <c r="D295" t="s">
        <v>446</v>
      </c>
      <c r="E295" t="s">
        <v>1018</v>
      </c>
      <c r="F295">
        <v>0</v>
      </c>
      <c r="G295" t="s">
        <v>1088</v>
      </c>
      <c r="H295" t="s">
        <v>446</v>
      </c>
      <c r="I295" t="s">
        <v>446</v>
      </c>
      <c r="J295" t="s">
        <v>1089</v>
      </c>
      <c r="K295" t="s">
        <v>446</v>
      </c>
      <c r="L295" t="s">
        <v>446</v>
      </c>
      <c r="M295" t="s">
        <v>446</v>
      </c>
      <c r="N295" t="s">
        <v>446</v>
      </c>
      <c r="O295" t="s">
        <v>446</v>
      </c>
      <c r="P295" t="s">
        <v>446</v>
      </c>
      <c r="Q295" t="b">
        <v>1</v>
      </c>
      <c r="R295" t="b">
        <v>0</v>
      </c>
      <c r="S295" t="s">
        <v>1090</v>
      </c>
      <c r="T295" t="s">
        <v>1532</v>
      </c>
      <c r="U295" t="s">
        <v>1092</v>
      </c>
      <c r="V295" t="s">
        <v>1093</v>
      </c>
      <c r="W295" t="s">
        <v>1088</v>
      </c>
      <c r="X295" t="s">
        <v>1094</v>
      </c>
    </row>
    <row r="296" spans="1:24" x14ac:dyDescent="0.25">
      <c r="A296" t="s">
        <v>42</v>
      </c>
      <c r="B296" t="s">
        <v>1533</v>
      </c>
      <c r="C296" t="s">
        <v>342</v>
      </c>
      <c r="D296" t="s">
        <v>446</v>
      </c>
      <c r="E296" t="s">
        <v>1023</v>
      </c>
      <c r="F296">
        <v>0</v>
      </c>
      <c r="G296" t="s">
        <v>1088</v>
      </c>
      <c r="H296" t="s">
        <v>446</v>
      </c>
      <c r="I296" t="s">
        <v>446</v>
      </c>
      <c r="J296" t="s">
        <v>1089</v>
      </c>
      <c r="K296" t="s">
        <v>446</v>
      </c>
      <c r="L296" t="s">
        <v>446</v>
      </c>
      <c r="M296" t="s">
        <v>446</v>
      </c>
      <c r="N296" t="s">
        <v>446</v>
      </c>
      <c r="O296" t="s">
        <v>446</v>
      </c>
      <c r="P296" t="s">
        <v>446</v>
      </c>
      <c r="Q296" t="b">
        <v>1</v>
      </c>
      <c r="R296" t="b">
        <v>0</v>
      </c>
      <c r="S296" t="s">
        <v>1090</v>
      </c>
      <c r="T296" t="s">
        <v>1534</v>
      </c>
      <c r="U296" t="s">
        <v>1092</v>
      </c>
      <c r="V296" t="s">
        <v>1093</v>
      </c>
      <c r="W296" t="s">
        <v>1088</v>
      </c>
      <c r="X296" t="s">
        <v>1094</v>
      </c>
    </row>
    <row r="297" spans="1:24" x14ac:dyDescent="0.25">
      <c r="A297" t="s">
        <v>42</v>
      </c>
      <c r="B297" t="s">
        <v>1535</v>
      </c>
      <c r="C297" t="s">
        <v>342</v>
      </c>
      <c r="D297" t="s">
        <v>446</v>
      </c>
      <c r="E297" t="s">
        <v>1029</v>
      </c>
      <c r="F297">
        <v>0</v>
      </c>
      <c r="G297" t="s">
        <v>1088</v>
      </c>
      <c r="H297" t="s">
        <v>446</v>
      </c>
      <c r="I297" t="s">
        <v>446</v>
      </c>
      <c r="J297" t="s">
        <v>1089</v>
      </c>
      <c r="K297" t="s">
        <v>446</v>
      </c>
      <c r="L297" t="s">
        <v>446</v>
      </c>
      <c r="M297" t="s">
        <v>446</v>
      </c>
      <c r="N297" t="s">
        <v>446</v>
      </c>
      <c r="O297" t="s">
        <v>446</v>
      </c>
      <c r="P297" t="s">
        <v>446</v>
      </c>
      <c r="Q297" t="b">
        <v>1</v>
      </c>
      <c r="R297" t="b">
        <v>0</v>
      </c>
      <c r="S297" t="s">
        <v>1090</v>
      </c>
      <c r="T297" t="s">
        <v>1536</v>
      </c>
      <c r="U297" t="s">
        <v>1092</v>
      </c>
      <c r="V297" t="s">
        <v>1093</v>
      </c>
      <c r="W297" t="s">
        <v>1088</v>
      </c>
      <c r="X297" t="s">
        <v>1094</v>
      </c>
    </row>
    <row r="298" spans="1:24" x14ac:dyDescent="0.25">
      <c r="A298" t="s">
        <v>42</v>
      </c>
      <c r="B298" t="s">
        <v>1537</v>
      </c>
      <c r="C298" t="s">
        <v>342</v>
      </c>
      <c r="D298" t="s">
        <v>446</v>
      </c>
      <c r="E298" t="s">
        <v>1035</v>
      </c>
      <c r="F298">
        <v>0</v>
      </c>
      <c r="G298" t="s">
        <v>1088</v>
      </c>
      <c r="H298" t="s">
        <v>446</v>
      </c>
      <c r="I298" t="s">
        <v>446</v>
      </c>
      <c r="J298" t="s">
        <v>1089</v>
      </c>
      <c r="K298" t="s">
        <v>446</v>
      </c>
      <c r="L298" t="s">
        <v>446</v>
      </c>
      <c r="M298" t="s">
        <v>446</v>
      </c>
      <c r="N298" t="s">
        <v>446</v>
      </c>
      <c r="O298" t="s">
        <v>446</v>
      </c>
      <c r="P298" t="s">
        <v>446</v>
      </c>
      <c r="Q298" t="b">
        <v>1</v>
      </c>
      <c r="R298" t="b">
        <v>0</v>
      </c>
      <c r="S298" t="s">
        <v>1090</v>
      </c>
      <c r="T298" t="s">
        <v>1538</v>
      </c>
      <c r="U298" t="s">
        <v>1092</v>
      </c>
      <c r="V298" t="s">
        <v>1093</v>
      </c>
      <c r="W298" t="s">
        <v>1088</v>
      </c>
      <c r="X298" t="s">
        <v>1094</v>
      </c>
    </row>
    <row r="299" spans="1:24" x14ac:dyDescent="0.25">
      <c r="A299" t="s">
        <v>42</v>
      </c>
      <c r="B299" t="s">
        <v>1539</v>
      </c>
      <c r="C299" t="s">
        <v>342</v>
      </c>
      <c r="D299" t="s">
        <v>446</v>
      </c>
      <c r="E299" t="s">
        <v>1040</v>
      </c>
      <c r="F299">
        <v>0</v>
      </c>
      <c r="G299" t="s">
        <v>1088</v>
      </c>
      <c r="H299" t="s">
        <v>446</v>
      </c>
      <c r="I299" t="s">
        <v>446</v>
      </c>
      <c r="J299" t="s">
        <v>1089</v>
      </c>
      <c r="K299" t="s">
        <v>446</v>
      </c>
      <c r="L299" t="s">
        <v>446</v>
      </c>
      <c r="M299" t="s">
        <v>446</v>
      </c>
      <c r="N299" t="s">
        <v>446</v>
      </c>
      <c r="O299" t="s">
        <v>446</v>
      </c>
      <c r="P299" t="s">
        <v>446</v>
      </c>
      <c r="Q299" t="b">
        <v>1</v>
      </c>
      <c r="R299" t="b">
        <v>0</v>
      </c>
      <c r="S299" t="s">
        <v>1090</v>
      </c>
      <c r="T299" t="s">
        <v>1540</v>
      </c>
      <c r="U299" t="s">
        <v>1092</v>
      </c>
      <c r="V299" t="s">
        <v>1093</v>
      </c>
      <c r="W299" t="s">
        <v>1088</v>
      </c>
      <c r="X299" t="s">
        <v>1094</v>
      </c>
    </row>
    <row r="300" spans="1:24" x14ac:dyDescent="0.25">
      <c r="A300" t="s">
        <v>42</v>
      </c>
      <c r="B300" t="s">
        <v>1541</v>
      </c>
      <c r="C300" t="s">
        <v>342</v>
      </c>
      <c r="D300" t="s">
        <v>446</v>
      </c>
      <c r="E300" t="s">
        <v>1045</v>
      </c>
      <c r="F300">
        <v>0</v>
      </c>
      <c r="G300" t="s">
        <v>1088</v>
      </c>
      <c r="H300" t="s">
        <v>446</v>
      </c>
      <c r="I300" t="s">
        <v>446</v>
      </c>
      <c r="J300" t="s">
        <v>1089</v>
      </c>
      <c r="K300" t="s">
        <v>446</v>
      </c>
      <c r="L300" t="s">
        <v>446</v>
      </c>
      <c r="M300" t="s">
        <v>446</v>
      </c>
      <c r="N300" t="s">
        <v>446</v>
      </c>
      <c r="O300" t="s">
        <v>446</v>
      </c>
      <c r="P300" t="s">
        <v>446</v>
      </c>
      <c r="Q300" t="b">
        <v>1</v>
      </c>
      <c r="R300" t="b">
        <v>0</v>
      </c>
      <c r="S300" t="s">
        <v>1090</v>
      </c>
      <c r="T300" t="s">
        <v>1542</v>
      </c>
      <c r="U300" t="s">
        <v>1092</v>
      </c>
      <c r="V300" t="s">
        <v>1093</v>
      </c>
      <c r="W300" t="s">
        <v>1088</v>
      </c>
      <c r="X300" t="s">
        <v>1094</v>
      </c>
    </row>
    <row r="301" spans="1:24" x14ac:dyDescent="0.25">
      <c r="A301" t="s">
        <v>42</v>
      </c>
      <c r="B301" t="s">
        <v>1543</v>
      </c>
      <c r="C301" t="s">
        <v>342</v>
      </c>
      <c r="D301" t="s">
        <v>446</v>
      </c>
      <c r="E301" t="s">
        <v>1051</v>
      </c>
      <c r="F301">
        <v>0</v>
      </c>
      <c r="G301" t="s">
        <v>1088</v>
      </c>
      <c r="H301" t="s">
        <v>446</v>
      </c>
      <c r="I301" t="s">
        <v>446</v>
      </c>
      <c r="J301" t="s">
        <v>1089</v>
      </c>
      <c r="K301" t="s">
        <v>446</v>
      </c>
      <c r="L301" t="s">
        <v>446</v>
      </c>
      <c r="M301" t="s">
        <v>446</v>
      </c>
      <c r="N301" t="s">
        <v>446</v>
      </c>
      <c r="O301" t="s">
        <v>446</v>
      </c>
      <c r="P301" t="s">
        <v>446</v>
      </c>
      <c r="Q301" t="b">
        <v>1</v>
      </c>
      <c r="R301" t="b">
        <v>0</v>
      </c>
      <c r="S301" t="s">
        <v>1090</v>
      </c>
      <c r="T301" t="s">
        <v>1544</v>
      </c>
      <c r="U301" t="s">
        <v>1092</v>
      </c>
      <c r="V301" t="s">
        <v>1093</v>
      </c>
      <c r="W301" t="s">
        <v>1088</v>
      </c>
      <c r="X301" t="s">
        <v>1094</v>
      </c>
    </row>
    <row r="302" spans="1:24" x14ac:dyDescent="0.25">
      <c r="A302" t="s">
        <v>42</v>
      </c>
      <c r="B302" t="s">
        <v>1545</v>
      </c>
      <c r="C302" t="s">
        <v>343</v>
      </c>
      <c r="D302" t="s">
        <v>446</v>
      </c>
      <c r="E302" t="s">
        <v>1029</v>
      </c>
      <c r="F302">
        <v>0</v>
      </c>
      <c r="G302" t="s">
        <v>1088</v>
      </c>
      <c r="H302" t="s">
        <v>446</v>
      </c>
      <c r="I302" t="s">
        <v>446</v>
      </c>
      <c r="J302" t="s">
        <v>1089</v>
      </c>
      <c r="K302" t="s">
        <v>446</v>
      </c>
      <c r="L302" t="s">
        <v>446</v>
      </c>
      <c r="M302" t="s">
        <v>446</v>
      </c>
      <c r="N302" t="s">
        <v>446</v>
      </c>
      <c r="O302" t="s">
        <v>446</v>
      </c>
      <c r="P302" t="s">
        <v>446</v>
      </c>
      <c r="Q302" t="b">
        <v>1</v>
      </c>
      <c r="R302" t="b">
        <v>0</v>
      </c>
      <c r="S302" t="s">
        <v>1090</v>
      </c>
      <c r="T302" t="s">
        <v>1546</v>
      </c>
      <c r="U302" t="s">
        <v>1092</v>
      </c>
      <c r="V302" t="s">
        <v>1093</v>
      </c>
      <c r="W302" t="s">
        <v>1088</v>
      </c>
      <c r="X302" t="s">
        <v>1094</v>
      </c>
    </row>
    <row r="303" spans="1:24" x14ac:dyDescent="0.25">
      <c r="A303" t="s">
        <v>42</v>
      </c>
      <c r="B303" t="s">
        <v>1547</v>
      </c>
      <c r="C303" t="s">
        <v>343</v>
      </c>
      <c r="D303" t="s">
        <v>446</v>
      </c>
      <c r="E303" t="s">
        <v>1035</v>
      </c>
      <c r="F303">
        <v>0</v>
      </c>
      <c r="G303" t="s">
        <v>1088</v>
      </c>
      <c r="H303" t="s">
        <v>446</v>
      </c>
      <c r="I303" t="s">
        <v>446</v>
      </c>
      <c r="J303" t="s">
        <v>1089</v>
      </c>
      <c r="K303" t="s">
        <v>446</v>
      </c>
      <c r="L303" t="s">
        <v>446</v>
      </c>
      <c r="M303" t="s">
        <v>446</v>
      </c>
      <c r="N303" t="s">
        <v>446</v>
      </c>
      <c r="O303" t="s">
        <v>446</v>
      </c>
      <c r="P303" t="s">
        <v>446</v>
      </c>
      <c r="Q303" t="b">
        <v>1</v>
      </c>
      <c r="R303" t="b">
        <v>0</v>
      </c>
      <c r="S303" t="s">
        <v>1090</v>
      </c>
      <c r="T303" t="s">
        <v>1548</v>
      </c>
      <c r="U303" t="s">
        <v>1092</v>
      </c>
      <c r="V303" t="s">
        <v>1093</v>
      </c>
      <c r="W303" t="s">
        <v>1088</v>
      </c>
      <c r="X303" t="s">
        <v>1094</v>
      </c>
    </row>
    <row r="304" spans="1:24" x14ac:dyDescent="0.25">
      <c r="A304" t="s">
        <v>42</v>
      </c>
      <c r="B304" t="s">
        <v>1549</v>
      </c>
      <c r="C304" t="s">
        <v>343</v>
      </c>
      <c r="D304" t="s">
        <v>446</v>
      </c>
      <c r="E304" t="s">
        <v>1040</v>
      </c>
      <c r="F304">
        <v>0</v>
      </c>
      <c r="G304" t="s">
        <v>1088</v>
      </c>
      <c r="H304" t="s">
        <v>446</v>
      </c>
      <c r="I304" t="s">
        <v>446</v>
      </c>
      <c r="J304" t="s">
        <v>1089</v>
      </c>
      <c r="K304" t="s">
        <v>446</v>
      </c>
      <c r="L304" t="s">
        <v>446</v>
      </c>
      <c r="M304" t="s">
        <v>446</v>
      </c>
      <c r="N304" t="s">
        <v>446</v>
      </c>
      <c r="O304" t="s">
        <v>446</v>
      </c>
      <c r="P304" t="s">
        <v>446</v>
      </c>
      <c r="Q304" t="b">
        <v>1</v>
      </c>
      <c r="R304" t="b">
        <v>0</v>
      </c>
      <c r="S304" t="s">
        <v>1090</v>
      </c>
      <c r="T304" t="s">
        <v>1550</v>
      </c>
      <c r="U304" t="s">
        <v>1092</v>
      </c>
      <c r="V304" t="s">
        <v>1093</v>
      </c>
      <c r="W304" t="s">
        <v>1088</v>
      </c>
      <c r="X304" t="s">
        <v>1094</v>
      </c>
    </row>
    <row r="305" spans="1:24" x14ac:dyDescent="0.25">
      <c r="A305" t="s">
        <v>42</v>
      </c>
      <c r="B305" t="s">
        <v>1551</v>
      </c>
      <c r="C305" t="s">
        <v>343</v>
      </c>
      <c r="D305" t="s">
        <v>446</v>
      </c>
      <c r="E305" t="s">
        <v>1045</v>
      </c>
      <c r="F305">
        <v>0</v>
      </c>
      <c r="G305" t="s">
        <v>1088</v>
      </c>
      <c r="H305" t="s">
        <v>446</v>
      </c>
      <c r="I305" t="s">
        <v>446</v>
      </c>
      <c r="J305" t="s">
        <v>1089</v>
      </c>
      <c r="K305" t="s">
        <v>446</v>
      </c>
      <c r="L305" t="s">
        <v>446</v>
      </c>
      <c r="M305" t="s">
        <v>446</v>
      </c>
      <c r="N305" t="s">
        <v>446</v>
      </c>
      <c r="O305" t="s">
        <v>446</v>
      </c>
      <c r="P305" t="s">
        <v>446</v>
      </c>
      <c r="Q305" t="b">
        <v>1</v>
      </c>
      <c r="R305" t="b">
        <v>0</v>
      </c>
      <c r="S305" t="s">
        <v>1090</v>
      </c>
      <c r="T305" t="s">
        <v>1552</v>
      </c>
      <c r="U305" t="s">
        <v>1092</v>
      </c>
      <c r="V305" t="s">
        <v>1093</v>
      </c>
      <c r="W305" t="s">
        <v>1088</v>
      </c>
      <c r="X305" t="s">
        <v>1094</v>
      </c>
    </row>
    <row r="306" spans="1:24" x14ac:dyDescent="0.25">
      <c r="A306" t="s">
        <v>42</v>
      </c>
      <c r="B306" t="s">
        <v>1553</v>
      </c>
      <c r="C306" t="s">
        <v>345</v>
      </c>
      <c r="D306" t="s">
        <v>446</v>
      </c>
      <c r="E306" t="s">
        <v>978</v>
      </c>
      <c r="F306">
        <v>0</v>
      </c>
      <c r="G306" t="s">
        <v>1088</v>
      </c>
      <c r="H306" t="s">
        <v>446</v>
      </c>
      <c r="I306" t="s">
        <v>446</v>
      </c>
      <c r="J306" t="s">
        <v>1089</v>
      </c>
      <c r="K306" t="s">
        <v>446</v>
      </c>
      <c r="L306" t="s">
        <v>446</v>
      </c>
      <c r="M306" t="s">
        <v>446</v>
      </c>
      <c r="N306" t="s">
        <v>446</v>
      </c>
      <c r="O306" t="s">
        <v>446</v>
      </c>
      <c r="P306" t="s">
        <v>446</v>
      </c>
      <c r="Q306" t="b">
        <v>1</v>
      </c>
      <c r="R306" t="b">
        <v>0</v>
      </c>
      <c r="S306" t="s">
        <v>1090</v>
      </c>
      <c r="T306" t="s">
        <v>1159</v>
      </c>
      <c r="U306" t="s">
        <v>1092</v>
      </c>
      <c r="V306" t="s">
        <v>1093</v>
      </c>
      <c r="W306" t="s">
        <v>1088</v>
      </c>
      <c r="X306" t="s">
        <v>1094</v>
      </c>
    </row>
    <row r="307" spans="1:24" x14ac:dyDescent="0.25">
      <c r="A307" t="s">
        <v>42</v>
      </c>
      <c r="B307" t="s">
        <v>1554</v>
      </c>
      <c r="C307" t="s">
        <v>345</v>
      </c>
      <c r="D307" t="s">
        <v>446</v>
      </c>
      <c r="E307" t="s">
        <v>986</v>
      </c>
      <c r="F307">
        <v>0</v>
      </c>
      <c r="G307" t="s">
        <v>1088</v>
      </c>
      <c r="H307" t="s">
        <v>446</v>
      </c>
      <c r="I307" t="s">
        <v>446</v>
      </c>
      <c r="J307" t="s">
        <v>1089</v>
      </c>
      <c r="K307" t="s">
        <v>446</v>
      </c>
      <c r="L307" t="s">
        <v>446</v>
      </c>
      <c r="M307" t="s">
        <v>446</v>
      </c>
      <c r="N307" t="s">
        <v>446</v>
      </c>
      <c r="O307" t="s">
        <v>446</v>
      </c>
      <c r="P307" t="s">
        <v>446</v>
      </c>
      <c r="Q307" t="b">
        <v>1</v>
      </c>
      <c r="R307" t="b">
        <v>0</v>
      </c>
      <c r="S307" t="s">
        <v>1090</v>
      </c>
      <c r="T307" t="s">
        <v>1159</v>
      </c>
      <c r="U307" t="s">
        <v>1092</v>
      </c>
      <c r="V307" t="s">
        <v>1093</v>
      </c>
      <c r="W307" t="s">
        <v>1088</v>
      </c>
      <c r="X307" t="s">
        <v>1094</v>
      </c>
    </row>
    <row r="308" spans="1:24" x14ac:dyDescent="0.25">
      <c r="A308" t="s">
        <v>42</v>
      </c>
      <c r="B308" t="s">
        <v>1555</v>
      </c>
      <c r="C308" t="s">
        <v>345</v>
      </c>
      <c r="D308" t="s">
        <v>446</v>
      </c>
      <c r="E308" t="s">
        <v>992</v>
      </c>
      <c r="F308">
        <v>0</v>
      </c>
      <c r="G308" t="s">
        <v>1088</v>
      </c>
      <c r="H308" t="s">
        <v>446</v>
      </c>
      <c r="I308" t="s">
        <v>446</v>
      </c>
      <c r="J308" t="s">
        <v>1089</v>
      </c>
      <c r="K308" t="s">
        <v>446</v>
      </c>
      <c r="L308" t="s">
        <v>446</v>
      </c>
      <c r="M308" t="s">
        <v>446</v>
      </c>
      <c r="N308" t="s">
        <v>446</v>
      </c>
      <c r="O308" t="s">
        <v>446</v>
      </c>
      <c r="P308" t="s">
        <v>446</v>
      </c>
      <c r="Q308" t="b">
        <v>1</v>
      </c>
      <c r="R308" t="b">
        <v>0</v>
      </c>
      <c r="S308" t="s">
        <v>1090</v>
      </c>
      <c r="T308" t="s">
        <v>1159</v>
      </c>
      <c r="U308" t="s">
        <v>1092</v>
      </c>
      <c r="V308" t="s">
        <v>1093</v>
      </c>
      <c r="W308" t="s">
        <v>1088</v>
      </c>
      <c r="X308" t="s">
        <v>1094</v>
      </c>
    </row>
    <row r="309" spans="1:24" x14ac:dyDescent="0.25">
      <c r="A309" t="s">
        <v>42</v>
      </c>
      <c r="B309" t="s">
        <v>1556</v>
      </c>
      <c r="C309" t="s">
        <v>345</v>
      </c>
      <c r="D309" t="s">
        <v>446</v>
      </c>
      <c r="E309" t="s">
        <v>998</v>
      </c>
      <c r="F309">
        <v>0</v>
      </c>
      <c r="G309" t="s">
        <v>1088</v>
      </c>
      <c r="H309" t="s">
        <v>446</v>
      </c>
      <c r="I309" t="s">
        <v>446</v>
      </c>
      <c r="J309" t="s">
        <v>1089</v>
      </c>
      <c r="K309" t="s">
        <v>446</v>
      </c>
      <c r="L309" t="s">
        <v>446</v>
      </c>
      <c r="M309" t="s">
        <v>446</v>
      </c>
      <c r="N309" t="s">
        <v>446</v>
      </c>
      <c r="O309" t="s">
        <v>446</v>
      </c>
      <c r="P309" t="s">
        <v>446</v>
      </c>
      <c r="Q309" t="b">
        <v>1</v>
      </c>
      <c r="R309" t="b">
        <v>0</v>
      </c>
      <c r="S309" t="s">
        <v>1090</v>
      </c>
      <c r="T309" t="s">
        <v>1159</v>
      </c>
      <c r="U309" t="s">
        <v>1092</v>
      </c>
      <c r="V309" t="s">
        <v>1093</v>
      </c>
      <c r="W309" t="s">
        <v>1088</v>
      </c>
      <c r="X309" t="s">
        <v>1094</v>
      </c>
    </row>
    <row r="310" spans="1:24" x14ac:dyDescent="0.25">
      <c r="A310" t="s">
        <v>42</v>
      </c>
      <c r="B310" t="s">
        <v>1557</v>
      </c>
      <c r="C310" t="s">
        <v>345</v>
      </c>
      <c r="D310" t="s">
        <v>446</v>
      </c>
      <c r="E310" t="s">
        <v>1006</v>
      </c>
      <c r="F310">
        <v>0</v>
      </c>
      <c r="G310" t="s">
        <v>1088</v>
      </c>
      <c r="H310" t="s">
        <v>446</v>
      </c>
      <c r="I310" t="s">
        <v>446</v>
      </c>
      <c r="J310" t="s">
        <v>1089</v>
      </c>
      <c r="K310" t="s">
        <v>446</v>
      </c>
      <c r="L310" t="s">
        <v>446</v>
      </c>
      <c r="M310" t="s">
        <v>446</v>
      </c>
      <c r="N310" t="s">
        <v>446</v>
      </c>
      <c r="O310" t="s">
        <v>446</v>
      </c>
      <c r="P310" t="s">
        <v>446</v>
      </c>
      <c r="Q310" t="b">
        <v>1</v>
      </c>
      <c r="R310" t="b">
        <v>0</v>
      </c>
      <c r="S310" t="s">
        <v>1090</v>
      </c>
      <c r="T310" t="s">
        <v>1159</v>
      </c>
      <c r="U310" t="s">
        <v>1092</v>
      </c>
      <c r="V310" t="s">
        <v>1093</v>
      </c>
      <c r="W310" t="s">
        <v>1088</v>
      </c>
      <c r="X310" t="s">
        <v>1094</v>
      </c>
    </row>
    <row r="311" spans="1:24" x14ac:dyDescent="0.25">
      <c r="A311" t="s">
        <v>42</v>
      </c>
      <c r="B311" t="s">
        <v>1558</v>
      </c>
      <c r="C311" t="s">
        <v>345</v>
      </c>
      <c r="D311" t="s">
        <v>446</v>
      </c>
      <c r="E311" t="s">
        <v>1013</v>
      </c>
      <c r="F311">
        <v>0</v>
      </c>
      <c r="G311" t="s">
        <v>1088</v>
      </c>
      <c r="H311" t="s">
        <v>446</v>
      </c>
      <c r="I311" t="s">
        <v>446</v>
      </c>
      <c r="J311" t="s">
        <v>1089</v>
      </c>
      <c r="K311" t="s">
        <v>446</v>
      </c>
      <c r="L311" t="s">
        <v>446</v>
      </c>
      <c r="M311" t="s">
        <v>446</v>
      </c>
      <c r="N311" t="s">
        <v>446</v>
      </c>
      <c r="O311" t="s">
        <v>446</v>
      </c>
      <c r="P311" t="s">
        <v>446</v>
      </c>
      <c r="Q311" t="b">
        <v>1</v>
      </c>
      <c r="R311" t="b">
        <v>0</v>
      </c>
      <c r="S311" t="s">
        <v>1090</v>
      </c>
      <c r="T311" t="s">
        <v>1159</v>
      </c>
      <c r="U311" t="s">
        <v>1092</v>
      </c>
      <c r="V311" t="s">
        <v>1093</v>
      </c>
      <c r="W311" t="s">
        <v>1088</v>
      </c>
      <c r="X311" t="s">
        <v>1094</v>
      </c>
    </row>
    <row r="312" spans="1:24" x14ac:dyDescent="0.25">
      <c r="A312" t="s">
        <v>42</v>
      </c>
      <c r="B312" t="s">
        <v>1559</v>
      </c>
      <c r="C312" t="s">
        <v>345</v>
      </c>
      <c r="D312" t="s">
        <v>446</v>
      </c>
      <c r="E312" t="s">
        <v>1018</v>
      </c>
      <c r="F312">
        <v>0</v>
      </c>
      <c r="G312" t="s">
        <v>1088</v>
      </c>
      <c r="H312" t="s">
        <v>446</v>
      </c>
      <c r="I312" t="s">
        <v>446</v>
      </c>
      <c r="J312" t="s">
        <v>1089</v>
      </c>
      <c r="K312" t="s">
        <v>446</v>
      </c>
      <c r="L312" t="s">
        <v>446</v>
      </c>
      <c r="M312" t="s">
        <v>446</v>
      </c>
      <c r="N312" t="s">
        <v>446</v>
      </c>
      <c r="O312" t="s">
        <v>446</v>
      </c>
      <c r="P312" t="s">
        <v>446</v>
      </c>
      <c r="Q312" t="b">
        <v>1</v>
      </c>
      <c r="R312" t="b">
        <v>0</v>
      </c>
      <c r="S312" t="s">
        <v>1090</v>
      </c>
      <c r="T312" t="s">
        <v>1159</v>
      </c>
      <c r="U312" t="s">
        <v>1092</v>
      </c>
      <c r="V312" t="s">
        <v>1093</v>
      </c>
      <c r="W312" t="s">
        <v>1088</v>
      </c>
      <c r="X312" t="s">
        <v>1094</v>
      </c>
    </row>
    <row r="313" spans="1:24" x14ac:dyDescent="0.25">
      <c r="A313" t="s">
        <v>42</v>
      </c>
      <c r="B313" t="s">
        <v>1560</v>
      </c>
      <c r="C313" t="s">
        <v>345</v>
      </c>
      <c r="D313" t="s">
        <v>446</v>
      </c>
      <c r="E313" t="s">
        <v>1023</v>
      </c>
      <c r="F313">
        <v>0</v>
      </c>
      <c r="G313" t="s">
        <v>1088</v>
      </c>
      <c r="H313" t="s">
        <v>446</v>
      </c>
      <c r="I313" t="s">
        <v>446</v>
      </c>
      <c r="J313" t="s">
        <v>1089</v>
      </c>
      <c r="K313" t="s">
        <v>446</v>
      </c>
      <c r="L313" t="s">
        <v>446</v>
      </c>
      <c r="M313" t="s">
        <v>446</v>
      </c>
      <c r="N313" t="s">
        <v>446</v>
      </c>
      <c r="O313" t="s">
        <v>446</v>
      </c>
      <c r="P313" t="s">
        <v>446</v>
      </c>
      <c r="Q313" t="b">
        <v>1</v>
      </c>
      <c r="R313" t="b">
        <v>0</v>
      </c>
      <c r="S313" t="s">
        <v>1090</v>
      </c>
      <c r="T313" t="s">
        <v>1159</v>
      </c>
      <c r="U313" t="s">
        <v>1092</v>
      </c>
      <c r="V313" t="s">
        <v>1093</v>
      </c>
      <c r="W313" t="s">
        <v>1088</v>
      </c>
      <c r="X313" t="s">
        <v>1094</v>
      </c>
    </row>
    <row r="314" spans="1:24" x14ac:dyDescent="0.25">
      <c r="A314" t="s">
        <v>42</v>
      </c>
      <c r="B314" t="s">
        <v>1561</v>
      </c>
      <c r="C314" t="s">
        <v>345</v>
      </c>
      <c r="D314" t="s">
        <v>446</v>
      </c>
      <c r="E314" t="s">
        <v>1029</v>
      </c>
      <c r="F314">
        <v>0</v>
      </c>
      <c r="G314" t="s">
        <v>1088</v>
      </c>
      <c r="H314" t="s">
        <v>446</v>
      </c>
      <c r="I314" t="s">
        <v>446</v>
      </c>
      <c r="J314" t="s">
        <v>1089</v>
      </c>
      <c r="K314" t="s">
        <v>446</v>
      </c>
      <c r="L314" t="s">
        <v>446</v>
      </c>
      <c r="M314" t="s">
        <v>446</v>
      </c>
      <c r="N314" t="s">
        <v>446</v>
      </c>
      <c r="O314" t="s">
        <v>446</v>
      </c>
      <c r="P314" t="s">
        <v>446</v>
      </c>
      <c r="Q314" t="b">
        <v>1</v>
      </c>
      <c r="R314" t="b">
        <v>0</v>
      </c>
      <c r="S314" t="s">
        <v>1090</v>
      </c>
      <c r="T314" t="s">
        <v>1159</v>
      </c>
      <c r="U314" t="s">
        <v>1092</v>
      </c>
      <c r="V314" t="s">
        <v>1093</v>
      </c>
      <c r="W314" t="s">
        <v>1088</v>
      </c>
      <c r="X314" t="s">
        <v>1094</v>
      </c>
    </row>
    <row r="315" spans="1:24" x14ac:dyDescent="0.25">
      <c r="A315" t="s">
        <v>42</v>
      </c>
      <c r="B315" t="s">
        <v>1562</v>
      </c>
      <c r="C315" t="s">
        <v>345</v>
      </c>
      <c r="D315" t="s">
        <v>446</v>
      </c>
      <c r="E315" t="s">
        <v>1035</v>
      </c>
      <c r="F315">
        <v>0</v>
      </c>
      <c r="G315" t="s">
        <v>1088</v>
      </c>
      <c r="H315" t="s">
        <v>446</v>
      </c>
      <c r="I315" t="s">
        <v>446</v>
      </c>
      <c r="J315" t="s">
        <v>1089</v>
      </c>
      <c r="K315" t="s">
        <v>446</v>
      </c>
      <c r="L315" t="s">
        <v>446</v>
      </c>
      <c r="M315" t="s">
        <v>446</v>
      </c>
      <c r="N315" t="s">
        <v>446</v>
      </c>
      <c r="O315" t="s">
        <v>446</v>
      </c>
      <c r="P315" t="s">
        <v>446</v>
      </c>
      <c r="Q315" t="b">
        <v>1</v>
      </c>
      <c r="R315" t="b">
        <v>0</v>
      </c>
      <c r="S315" t="s">
        <v>1090</v>
      </c>
      <c r="T315" t="s">
        <v>1159</v>
      </c>
      <c r="U315" t="s">
        <v>1092</v>
      </c>
      <c r="V315" t="s">
        <v>1093</v>
      </c>
      <c r="W315" t="s">
        <v>1088</v>
      </c>
      <c r="X315" t="s">
        <v>1094</v>
      </c>
    </row>
    <row r="316" spans="1:24" x14ac:dyDescent="0.25">
      <c r="A316" t="s">
        <v>42</v>
      </c>
      <c r="B316" t="s">
        <v>1563</v>
      </c>
      <c r="C316" t="s">
        <v>345</v>
      </c>
      <c r="D316" t="s">
        <v>446</v>
      </c>
      <c r="E316" t="s">
        <v>1040</v>
      </c>
      <c r="F316">
        <v>0</v>
      </c>
      <c r="G316" t="s">
        <v>1088</v>
      </c>
      <c r="H316" t="s">
        <v>446</v>
      </c>
      <c r="I316" t="s">
        <v>446</v>
      </c>
      <c r="J316" t="s">
        <v>1089</v>
      </c>
      <c r="K316" t="s">
        <v>446</v>
      </c>
      <c r="L316" t="s">
        <v>446</v>
      </c>
      <c r="M316" t="s">
        <v>446</v>
      </c>
      <c r="N316" t="s">
        <v>446</v>
      </c>
      <c r="O316" t="s">
        <v>446</v>
      </c>
      <c r="P316" t="s">
        <v>446</v>
      </c>
      <c r="Q316" t="b">
        <v>1</v>
      </c>
      <c r="R316" t="b">
        <v>0</v>
      </c>
      <c r="S316" t="s">
        <v>1090</v>
      </c>
      <c r="T316" t="s">
        <v>1159</v>
      </c>
      <c r="U316" t="s">
        <v>1092</v>
      </c>
      <c r="V316" t="s">
        <v>1093</v>
      </c>
      <c r="W316" t="s">
        <v>1088</v>
      </c>
      <c r="X316" t="s">
        <v>1094</v>
      </c>
    </row>
    <row r="317" spans="1:24" x14ac:dyDescent="0.25">
      <c r="A317" t="s">
        <v>42</v>
      </c>
      <c r="B317" t="s">
        <v>1564</v>
      </c>
      <c r="C317" t="s">
        <v>345</v>
      </c>
      <c r="D317" t="s">
        <v>446</v>
      </c>
      <c r="E317" t="s">
        <v>1045</v>
      </c>
      <c r="F317">
        <v>0</v>
      </c>
      <c r="G317" t="s">
        <v>1088</v>
      </c>
      <c r="H317" t="s">
        <v>446</v>
      </c>
      <c r="I317" t="s">
        <v>446</v>
      </c>
      <c r="J317" t="s">
        <v>1089</v>
      </c>
      <c r="K317" t="s">
        <v>446</v>
      </c>
      <c r="L317" t="s">
        <v>446</v>
      </c>
      <c r="M317" t="s">
        <v>446</v>
      </c>
      <c r="N317" t="s">
        <v>446</v>
      </c>
      <c r="O317" t="s">
        <v>446</v>
      </c>
      <c r="P317" t="s">
        <v>446</v>
      </c>
      <c r="Q317" t="b">
        <v>1</v>
      </c>
      <c r="R317" t="b">
        <v>0</v>
      </c>
      <c r="S317" t="s">
        <v>1090</v>
      </c>
      <c r="T317" t="s">
        <v>1159</v>
      </c>
      <c r="U317" t="s">
        <v>1092</v>
      </c>
      <c r="V317" t="s">
        <v>1093</v>
      </c>
      <c r="W317" t="s">
        <v>1088</v>
      </c>
      <c r="X317" t="s">
        <v>1094</v>
      </c>
    </row>
    <row r="318" spans="1:24" x14ac:dyDescent="0.25">
      <c r="A318" t="s">
        <v>42</v>
      </c>
      <c r="B318" t="s">
        <v>1565</v>
      </c>
      <c r="C318" t="s">
        <v>345</v>
      </c>
      <c r="D318" t="s">
        <v>446</v>
      </c>
      <c r="E318" t="s">
        <v>1051</v>
      </c>
      <c r="F318">
        <v>0</v>
      </c>
      <c r="G318" t="s">
        <v>1088</v>
      </c>
      <c r="H318" t="s">
        <v>446</v>
      </c>
      <c r="I318" t="s">
        <v>446</v>
      </c>
      <c r="J318" t="s">
        <v>1089</v>
      </c>
      <c r="K318" t="s">
        <v>446</v>
      </c>
      <c r="L318" t="s">
        <v>446</v>
      </c>
      <c r="M318" t="s">
        <v>446</v>
      </c>
      <c r="N318" t="s">
        <v>446</v>
      </c>
      <c r="O318" t="s">
        <v>446</v>
      </c>
      <c r="P318" t="s">
        <v>446</v>
      </c>
      <c r="Q318" t="b">
        <v>1</v>
      </c>
      <c r="R318" t="b">
        <v>0</v>
      </c>
      <c r="S318" t="s">
        <v>1090</v>
      </c>
      <c r="T318" t="s">
        <v>1159</v>
      </c>
      <c r="U318" t="s">
        <v>1092</v>
      </c>
      <c r="V318" t="s">
        <v>1093</v>
      </c>
      <c r="W318" t="s">
        <v>1088</v>
      </c>
      <c r="X318" t="s">
        <v>1094</v>
      </c>
    </row>
    <row r="319" spans="1:24" x14ac:dyDescent="0.25">
      <c r="A319" t="s">
        <v>42</v>
      </c>
      <c r="B319" t="s">
        <v>1566</v>
      </c>
      <c r="C319" t="s">
        <v>346</v>
      </c>
      <c r="D319" t="s">
        <v>446</v>
      </c>
      <c r="E319" t="s">
        <v>1029</v>
      </c>
      <c r="F319">
        <v>0</v>
      </c>
      <c r="G319" t="s">
        <v>1088</v>
      </c>
      <c r="H319" t="s">
        <v>446</v>
      </c>
      <c r="I319" t="s">
        <v>446</v>
      </c>
      <c r="J319" t="s">
        <v>1089</v>
      </c>
      <c r="K319" t="s">
        <v>446</v>
      </c>
      <c r="L319" t="s">
        <v>446</v>
      </c>
      <c r="M319" t="s">
        <v>446</v>
      </c>
      <c r="N319" t="s">
        <v>446</v>
      </c>
      <c r="O319" t="s">
        <v>446</v>
      </c>
      <c r="P319" t="s">
        <v>446</v>
      </c>
      <c r="Q319" t="b">
        <v>1</v>
      </c>
      <c r="R319" t="b">
        <v>0</v>
      </c>
      <c r="S319" t="s">
        <v>1090</v>
      </c>
      <c r="T319" t="s">
        <v>1567</v>
      </c>
      <c r="U319" t="s">
        <v>1092</v>
      </c>
      <c r="V319" t="s">
        <v>1093</v>
      </c>
      <c r="W319" t="s">
        <v>1088</v>
      </c>
      <c r="X319" t="s">
        <v>1094</v>
      </c>
    </row>
    <row r="320" spans="1:24" x14ac:dyDescent="0.25">
      <c r="A320" t="s">
        <v>42</v>
      </c>
      <c r="B320" t="s">
        <v>1568</v>
      </c>
      <c r="C320" t="s">
        <v>346</v>
      </c>
      <c r="D320" t="s">
        <v>446</v>
      </c>
      <c r="E320" t="s">
        <v>1035</v>
      </c>
      <c r="F320">
        <v>0</v>
      </c>
      <c r="G320" t="s">
        <v>1088</v>
      </c>
      <c r="H320" t="s">
        <v>446</v>
      </c>
      <c r="I320" t="s">
        <v>446</v>
      </c>
      <c r="J320" t="s">
        <v>1089</v>
      </c>
      <c r="K320" t="s">
        <v>446</v>
      </c>
      <c r="L320" t="s">
        <v>446</v>
      </c>
      <c r="M320" t="s">
        <v>446</v>
      </c>
      <c r="N320" t="s">
        <v>446</v>
      </c>
      <c r="O320" t="s">
        <v>446</v>
      </c>
      <c r="P320" t="s">
        <v>446</v>
      </c>
      <c r="Q320" t="b">
        <v>1</v>
      </c>
      <c r="R320" t="b">
        <v>0</v>
      </c>
      <c r="S320" t="s">
        <v>1090</v>
      </c>
      <c r="T320" t="s">
        <v>1569</v>
      </c>
      <c r="U320" t="s">
        <v>1092</v>
      </c>
      <c r="V320" t="s">
        <v>1093</v>
      </c>
      <c r="W320" t="s">
        <v>1088</v>
      </c>
      <c r="X320" t="s">
        <v>1094</v>
      </c>
    </row>
    <row r="321" spans="1:24" x14ac:dyDescent="0.25">
      <c r="A321" t="s">
        <v>42</v>
      </c>
      <c r="B321" t="s">
        <v>1570</v>
      </c>
      <c r="C321" t="s">
        <v>346</v>
      </c>
      <c r="D321" t="s">
        <v>446</v>
      </c>
      <c r="E321" t="s">
        <v>1040</v>
      </c>
      <c r="F321">
        <v>0</v>
      </c>
      <c r="G321" t="s">
        <v>1088</v>
      </c>
      <c r="H321" t="s">
        <v>446</v>
      </c>
      <c r="I321" t="s">
        <v>446</v>
      </c>
      <c r="J321" t="s">
        <v>1089</v>
      </c>
      <c r="K321" t="s">
        <v>446</v>
      </c>
      <c r="L321" t="s">
        <v>446</v>
      </c>
      <c r="M321" t="s">
        <v>446</v>
      </c>
      <c r="N321" t="s">
        <v>446</v>
      </c>
      <c r="O321" t="s">
        <v>446</v>
      </c>
      <c r="P321" t="s">
        <v>446</v>
      </c>
      <c r="Q321" t="b">
        <v>1</v>
      </c>
      <c r="R321" t="b">
        <v>0</v>
      </c>
      <c r="S321" t="s">
        <v>1090</v>
      </c>
      <c r="T321" t="s">
        <v>1571</v>
      </c>
      <c r="U321" t="s">
        <v>1092</v>
      </c>
      <c r="V321" t="s">
        <v>1093</v>
      </c>
      <c r="W321" t="s">
        <v>1088</v>
      </c>
      <c r="X321" t="s">
        <v>1094</v>
      </c>
    </row>
    <row r="322" spans="1:24" x14ac:dyDescent="0.25">
      <c r="A322" t="s">
        <v>42</v>
      </c>
      <c r="B322" t="s">
        <v>1572</v>
      </c>
      <c r="C322" t="s">
        <v>346</v>
      </c>
      <c r="D322" t="s">
        <v>446</v>
      </c>
      <c r="E322" t="s">
        <v>1045</v>
      </c>
      <c r="F322">
        <v>0</v>
      </c>
      <c r="G322" t="s">
        <v>1088</v>
      </c>
      <c r="H322" t="s">
        <v>446</v>
      </c>
      <c r="I322" t="s">
        <v>446</v>
      </c>
      <c r="J322" t="s">
        <v>1089</v>
      </c>
      <c r="K322" t="s">
        <v>446</v>
      </c>
      <c r="L322" t="s">
        <v>446</v>
      </c>
      <c r="M322" t="s">
        <v>446</v>
      </c>
      <c r="N322" t="s">
        <v>446</v>
      </c>
      <c r="O322" t="s">
        <v>446</v>
      </c>
      <c r="P322" t="s">
        <v>446</v>
      </c>
      <c r="Q322" t="b">
        <v>1</v>
      </c>
      <c r="R322" t="b">
        <v>0</v>
      </c>
      <c r="S322" t="s">
        <v>1090</v>
      </c>
      <c r="T322" t="s">
        <v>1573</v>
      </c>
      <c r="U322" t="s">
        <v>1092</v>
      </c>
      <c r="V322" t="s">
        <v>1093</v>
      </c>
      <c r="W322" t="s">
        <v>1088</v>
      </c>
      <c r="X322" t="s">
        <v>1094</v>
      </c>
    </row>
    <row r="323" spans="1:24" x14ac:dyDescent="0.25">
      <c r="A323" t="s">
        <v>42</v>
      </c>
      <c r="B323" t="s">
        <v>1574</v>
      </c>
      <c r="C323" t="s">
        <v>347</v>
      </c>
      <c r="D323" t="s">
        <v>446</v>
      </c>
      <c r="E323" t="s">
        <v>978</v>
      </c>
      <c r="F323">
        <v>0</v>
      </c>
      <c r="G323" t="s">
        <v>1088</v>
      </c>
      <c r="H323" t="s">
        <v>446</v>
      </c>
      <c r="I323" t="s">
        <v>446</v>
      </c>
      <c r="J323" t="s">
        <v>1089</v>
      </c>
      <c r="K323" t="s">
        <v>446</v>
      </c>
      <c r="L323" t="s">
        <v>446</v>
      </c>
      <c r="M323" t="s">
        <v>446</v>
      </c>
      <c r="N323" t="s">
        <v>446</v>
      </c>
      <c r="O323" t="s">
        <v>446</v>
      </c>
      <c r="P323" t="s">
        <v>446</v>
      </c>
      <c r="Q323" t="b">
        <v>1</v>
      </c>
      <c r="R323" t="b">
        <v>0</v>
      </c>
      <c r="S323" t="s">
        <v>1090</v>
      </c>
      <c r="T323" t="s">
        <v>1159</v>
      </c>
      <c r="U323" t="s">
        <v>1092</v>
      </c>
      <c r="V323" t="s">
        <v>1093</v>
      </c>
      <c r="W323" t="s">
        <v>1088</v>
      </c>
      <c r="X323" t="s">
        <v>1094</v>
      </c>
    </row>
    <row r="324" spans="1:24" x14ac:dyDescent="0.25">
      <c r="A324" t="s">
        <v>42</v>
      </c>
      <c r="B324" t="s">
        <v>1575</v>
      </c>
      <c r="C324" t="s">
        <v>347</v>
      </c>
      <c r="D324" t="s">
        <v>446</v>
      </c>
      <c r="E324" t="s">
        <v>986</v>
      </c>
      <c r="F324">
        <v>0</v>
      </c>
      <c r="G324" t="s">
        <v>1088</v>
      </c>
      <c r="H324" t="s">
        <v>446</v>
      </c>
      <c r="I324" t="s">
        <v>446</v>
      </c>
      <c r="J324" t="s">
        <v>1089</v>
      </c>
      <c r="K324" t="s">
        <v>446</v>
      </c>
      <c r="L324" t="s">
        <v>446</v>
      </c>
      <c r="M324" t="s">
        <v>446</v>
      </c>
      <c r="N324" t="s">
        <v>446</v>
      </c>
      <c r="O324" t="s">
        <v>446</v>
      </c>
      <c r="P324" t="s">
        <v>446</v>
      </c>
      <c r="Q324" t="b">
        <v>1</v>
      </c>
      <c r="R324" t="b">
        <v>0</v>
      </c>
      <c r="S324" t="s">
        <v>1090</v>
      </c>
      <c r="T324" t="s">
        <v>1159</v>
      </c>
      <c r="U324" t="s">
        <v>1092</v>
      </c>
      <c r="V324" t="s">
        <v>1093</v>
      </c>
      <c r="W324" t="s">
        <v>1088</v>
      </c>
      <c r="X324" t="s">
        <v>1094</v>
      </c>
    </row>
    <row r="325" spans="1:24" x14ac:dyDescent="0.25">
      <c r="A325" t="s">
        <v>42</v>
      </c>
      <c r="B325" t="s">
        <v>1576</v>
      </c>
      <c r="C325" t="s">
        <v>347</v>
      </c>
      <c r="D325" t="s">
        <v>446</v>
      </c>
      <c r="E325" t="s">
        <v>992</v>
      </c>
      <c r="F325">
        <v>0</v>
      </c>
      <c r="G325" t="s">
        <v>1088</v>
      </c>
      <c r="H325" t="s">
        <v>446</v>
      </c>
      <c r="I325" t="s">
        <v>446</v>
      </c>
      <c r="J325" t="s">
        <v>1089</v>
      </c>
      <c r="K325" t="s">
        <v>446</v>
      </c>
      <c r="L325" t="s">
        <v>446</v>
      </c>
      <c r="M325" t="s">
        <v>446</v>
      </c>
      <c r="N325" t="s">
        <v>446</v>
      </c>
      <c r="O325" t="s">
        <v>446</v>
      </c>
      <c r="P325" t="s">
        <v>446</v>
      </c>
      <c r="Q325" t="b">
        <v>1</v>
      </c>
      <c r="R325" t="b">
        <v>0</v>
      </c>
      <c r="S325" t="s">
        <v>1090</v>
      </c>
      <c r="T325" t="s">
        <v>1159</v>
      </c>
      <c r="U325" t="s">
        <v>1092</v>
      </c>
      <c r="V325" t="s">
        <v>1093</v>
      </c>
      <c r="W325" t="s">
        <v>1088</v>
      </c>
      <c r="X325" t="s">
        <v>1094</v>
      </c>
    </row>
    <row r="326" spans="1:24" x14ac:dyDescent="0.25">
      <c r="A326" t="s">
        <v>42</v>
      </c>
      <c r="B326" t="s">
        <v>1577</v>
      </c>
      <c r="C326" t="s">
        <v>347</v>
      </c>
      <c r="D326" t="s">
        <v>446</v>
      </c>
      <c r="E326" t="s">
        <v>998</v>
      </c>
      <c r="F326">
        <v>0</v>
      </c>
      <c r="G326" t="s">
        <v>1088</v>
      </c>
      <c r="H326" t="s">
        <v>446</v>
      </c>
      <c r="I326" t="s">
        <v>446</v>
      </c>
      <c r="J326" t="s">
        <v>1089</v>
      </c>
      <c r="K326" t="s">
        <v>446</v>
      </c>
      <c r="L326" t="s">
        <v>446</v>
      </c>
      <c r="M326" t="s">
        <v>446</v>
      </c>
      <c r="N326" t="s">
        <v>446</v>
      </c>
      <c r="O326" t="s">
        <v>446</v>
      </c>
      <c r="P326" t="s">
        <v>446</v>
      </c>
      <c r="Q326" t="b">
        <v>1</v>
      </c>
      <c r="R326" t="b">
        <v>0</v>
      </c>
      <c r="S326" t="s">
        <v>1090</v>
      </c>
      <c r="T326" t="s">
        <v>1159</v>
      </c>
      <c r="U326" t="s">
        <v>1092</v>
      </c>
      <c r="V326" t="s">
        <v>1093</v>
      </c>
      <c r="W326" t="s">
        <v>1088</v>
      </c>
      <c r="X326" t="s">
        <v>1094</v>
      </c>
    </row>
    <row r="327" spans="1:24" x14ac:dyDescent="0.25">
      <c r="A327" t="s">
        <v>42</v>
      </c>
      <c r="B327" t="s">
        <v>1578</v>
      </c>
      <c r="C327" t="s">
        <v>347</v>
      </c>
      <c r="D327" t="s">
        <v>446</v>
      </c>
      <c r="E327" t="s">
        <v>1006</v>
      </c>
      <c r="F327">
        <v>0</v>
      </c>
      <c r="G327" t="s">
        <v>1088</v>
      </c>
      <c r="H327" t="s">
        <v>446</v>
      </c>
      <c r="I327" t="s">
        <v>446</v>
      </c>
      <c r="J327" t="s">
        <v>1089</v>
      </c>
      <c r="K327" t="s">
        <v>446</v>
      </c>
      <c r="L327" t="s">
        <v>446</v>
      </c>
      <c r="M327" t="s">
        <v>446</v>
      </c>
      <c r="N327" t="s">
        <v>446</v>
      </c>
      <c r="O327" t="s">
        <v>446</v>
      </c>
      <c r="P327" t="s">
        <v>446</v>
      </c>
      <c r="Q327" t="b">
        <v>1</v>
      </c>
      <c r="R327" t="b">
        <v>0</v>
      </c>
      <c r="S327" t="s">
        <v>1090</v>
      </c>
      <c r="T327" t="s">
        <v>1159</v>
      </c>
      <c r="U327" t="s">
        <v>1092</v>
      </c>
      <c r="V327" t="s">
        <v>1093</v>
      </c>
      <c r="W327" t="s">
        <v>1088</v>
      </c>
      <c r="X327" t="s">
        <v>1094</v>
      </c>
    </row>
    <row r="328" spans="1:24" x14ac:dyDescent="0.25">
      <c r="A328" t="s">
        <v>42</v>
      </c>
      <c r="B328" t="s">
        <v>1579</v>
      </c>
      <c r="C328" t="s">
        <v>347</v>
      </c>
      <c r="D328" t="s">
        <v>446</v>
      </c>
      <c r="E328" t="s">
        <v>1013</v>
      </c>
      <c r="F328">
        <v>0</v>
      </c>
      <c r="G328" t="s">
        <v>1088</v>
      </c>
      <c r="H328" t="s">
        <v>446</v>
      </c>
      <c r="I328" t="s">
        <v>446</v>
      </c>
      <c r="J328" t="s">
        <v>1089</v>
      </c>
      <c r="K328" t="s">
        <v>446</v>
      </c>
      <c r="L328" t="s">
        <v>446</v>
      </c>
      <c r="M328" t="s">
        <v>446</v>
      </c>
      <c r="N328" t="s">
        <v>446</v>
      </c>
      <c r="O328" t="s">
        <v>446</v>
      </c>
      <c r="P328" t="s">
        <v>446</v>
      </c>
      <c r="Q328" t="b">
        <v>1</v>
      </c>
      <c r="R328" t="b">
        <v>0</v>
      </c>
      <c r="S328" t="s">
        <v>1090</v>
      </c>
      <c r="T328" t="s">
        <v>1159</v>
      </c>
      <c r="U328" t="s">
        <v>1092</v>
      </c>
      <c r="V328" t="s">
        <v>1093</v>
      </c>
      <c r="W328" t="s">
        <v>1088</v>
      </c>
      <c r="X328" t="s">
        <v>1094</v>
      </c>
    </row>
    <row r="329" spans="1:24" x14ac:dyDescent="0.25">
      <c r="A329" t="s">
        <v>42</v>
      </c>
      <c r="B329" t="s">
        <v>1580</v>
      </c>
      <c r="C329" t="s">
        <v>347</v>
      </c>
      <c r="D329" t="s">
        <v>446</v>
      </c>
      <c r="E329" t="s">
        <v>1018</v>
      </c>
      <c r="F329">
        <v>0</v>
      </c>
      <c r="G329" t="s">
        <v>1088</v>
      </c>
      <c r="H329" t="s">
        <v>446</v>
      </c>
      <c r="I329" t="s">
        <v>446</v>
      </c>
      <c r="J329" t="s">
        <v>1089</v>
      </c>
      <c r="K329" t="s">
        <v>446</v>
      </c>
      <c r="L329" t="s">
        <v>446</v>
      </c>
      <c r="M329" t="s">
        <v>446</v>
      </c>
      <c r="N329" t="s">
        <v>446</v>
      </c>
      <c r="O329" t="s">
        <v>446</v>
      </c>
      <c r="P329" t="s">
        <v>446</v>
      </c>
      <c r="Q329" t="b">
        <v>1</v>
      </c>
      <c r="R329" t="b">
        <v>0</v>
      </c>
      <c r="S329" t="s">
        <v>1090</v>
      </c>
      <c r="T329" t="s">
        <v>1159</v>
      </c>
      <c r="U329" t="s">
        <v>1092</v>
      </c>
      <c r="V329" t="s">
        <v>1093</v>
      </c>
      <c r="W329" t="s">
        <v>1088</v>
      </c>
      <c r="X329" t="s">
        <v>1094</v>
      </c>
    </row>
    <row r="330" spans="1:24" x14ac:dyDescent="0.25">
      <c r="A330" t="s">
        <v>42</v>
      </c>
      <c r="B330" t="s">
        <v>1581</v>
      </c>
      <c r="C330" t="s">
        <v>347</v>
      </c>
      <c r="D330" t="s">
        <v>446</v>
      </c>
      <c r="E330" t="s">
        <v>1023</v>
      </c>
      <c r="F330">
        <v>0</v>
      </c>
      <c r="G330" t="s">
        <v>1088</v>
      </c>
      <c r="H330" t="s">
        <v>446</v>
      </c>
      <c r="I330" t="s">
        <v>446</v>
      </c>
      <c r="J330" t="s">
        <v>1089</v>
      </c>
      <c r="K330" t="s">
        <v>446</v>
      </c>
      <c r="L330" t="s">
        <v>446</v>
      </c>
      <c r="M330" t="s">
        <v>446</v>
      </c>
      <c r="N330" t="s">
        <v>446</v>
      </c>
      <c r="O330" t="s">
        <v>446</v>
      </c>
      <c r="P330" t="s">
        <v>446</v>
      </c>
      <c r="Q330" t="b">
        <v>1</v>
      </c>
      <c r="R330" t="b">
        <v>0</v>
      </c>
      <c r="S330" t="s">
        <v>1090</v>
      </c>
      <c r="T330" t="s">
        <v>1159</v>
      </c>
      <c r="U330" t="s">
        <v>1092</v>
      </c>
      <c r="V330" t="s">
        <v>1093</v>
      </c>
      <c r="W330" t="s">
        <v>1088</v>
      </c>
      <c r="X330" t="s">
        <v>1094</v>
      </c>
    </row>
    <row r="331" spans="1:24" x14ac:dyDescent="0.25">
      <c r="A331" t="s">
        <v>42</v>
      </c>
      <c r="B331" t="s">
        <v>1582</v>
      </c>
      <c r="C331" t="s">
        <v>347</v>
      </c>
      <c r="D331" t="s">
        <v>446</v>
      </c>
      <c r="E331" t="s">
        <v>1029</v>
      </c>
      <c r="F331">
        <v>0</v>
      </c>
      <c r="G331" t="s">
        <v>1088</v>
      </c>
      <c r="H331" t="s">
        <v>446</v>
      </c>
      <c r="I331" t="s">
        <v>446</v>
      </c>
      <c r="J331" t="s">
        <v>1089</v>
      </c>
      <c r="K331" t="s">
        <v>446</v>
      </c>
      <c r="L331" t="s">
        <v>446</v>
      </c>
      <c r="M331" t="s">
        <v>446</v>
      </c>
      <c r="N331" t="s">
        <v>446</v>
      </c>
      <c r="O331" t="s">
        <v>446</v>
      </c>
      <c r="P331" t="s">
        <v>446</v>
      </c>
      <c r="Q331" t="b">
        <v>1</v>
      </c>
      <c r="R331" t="b">
        <v>0</v>
      </c>
      <c r="S331" t="s">
        <v>1090</v>
      </c>
      <c r="T331" t="s">
        <v>1159</v>
      </c>
      <c r="U331" t="s">
        <v>1092</v>
      </c>
      <c r="V331" t="s">
        <v>1093</v>
      </c>
      <c r="W331" t="s">
        <v>1088</v>
      </c>
      <c r="X331" t="s">
        <v>1094</v>
      </c>
    </row>
    <row r="332" spans="1:24" x14ac:dyDescent="0.25">
      <c r="A332" t="s">
        <v>42</v>
      </c>
      <c r="B332" t="s">
        <v>1583</v>
      </c>
      <c r="C332" t="s">
        <v>347</v>
      </c>
      <c r="D332" t="s">
        <v>446</v>
      </c>
      <c r="E332" t="s">
        <v>1035</v>
      </c>
      <c r="F332">
        <v>0</v>
      </c>
      <c r="G332" t="s">
        <v>1088</v>
      </c>
      <c r="H332" t="s">
        <v>446</v>
      </c>
      <c r="I332" t="s">
        <v>446</v>
      </c>
      <c r="J332" t="s">
        <v>1089</v>
      </c>
      <c r="K332" t="s">
        <v>446</v>
      </c>
      <c r="L332" t="s">
        <v>446</v>
      </c>
      <c r="M332" t="s">
        <v>446</v>
      </c>
      <c r="N332" t="s">
        <v>446</v>
      </c>
      <c r="O332" t="s">
        <v>446</v>
      </c>
      <c r="P332" t="s">
        <v>446</v>
      </c>
      <c r="Q332" t="b">
        <v>1</v>
      </c>
      <c r="R332" t="b">
        <v>0</v>
      </c>
      <c r="S332" t="s">
        <v>1090</v>
      </c>
      <c r="T332" t="s">
        <v>1159</v>
      </c>
      <c r="U332" t="s">
        <v>1092</v>
      </c>
      <c r="V332" t="s">
        <v>1093</v>
      </c>
      <c r="W332" t="s">
        <v>1088</v>
      </c>
      <c r="X332" t="s">
        <v>1094</v>
      </c>
    </row>
    <row r="333" spans="1:24" x14ac:dyDescent="0.25">
      <c r="A333" t="s">
        <v>42</v>
      </c>
      <c r="B333" t="s">
        <v>1584</v>
      </c>
      <c r="C333" t="s">
        <v>347</v>
      </c>
      <c r="D333" t="s">
        <v>446</v>
      </c>
      <c r="E333" t="s">
        <v>1040</v>
      </c>
      <c r="F333">
        <v>0</v>
      </c>
      <c r="G333" t="s">
        <v>1088</v>
      </c>
      <c r="H333" t="s">
        <v>446</v>
      </c>
      <c r="I333" t="s">
        <v>446</v>
      </c>
      <c r="J333" t="s">
        <v>1089</v>
      </c>
      <c r="K333" t="s">
        <v>446</v>
      </c>
      <c r="L333" t="s">
        <v>446</v>
      </c>
      <c r="M333" t="s">
        <v>446</v>
      </c>
      <c r="N333" t="s">
        <v>446</v>
      </c>
      <c r="O333" t="s">
        <v>446</v>
      </c>
      <c r="P333" t="s">
        <v>446</v>
      </c>
      <c r="Q333" t="b">
        <v>1</v>
      </c>
      <c r="R333" t="b">
        <v>0</v>
      </c>
      <c r="S333" t="s">
        <v>1090</v>
      </c>
      <c r="T333" t="s">
        <v>1159</v>
      </c>
      <c r="U333" t="s">
        <v>1092</v>
      </c>
      <c r="V333" t="s">
        <v>1093</v>
      </c>
      <c r="W333" t="s">
        <v>1088</v>
      </c>
      <c r="X333" t="s">
        <v>1094</v>
      </c>
    </row>
    <row r="334" spans="1:24" x14ac:dyDescent="0.25">
      <c r="A334" t="s">
        <v>42</v>
      </c>
      <c r="B334" t="s">
        <v>1585</v>
      </c>
      <c r="C334" t="s">
        <v>347</v>
      </c>
      <c r="D334" t="s">
        <v>446</v>
      </c>
      <c r="E334" t="s">
        <v>1045</v>
      </c>
      <c r="F334">
        <v>0</v>
      </c>
      <c r="G334" t="s">
        <v>1088</v>
      </c>
      <c r="H334" t="s">
        <v>446</v>
      </c>
      <c r="I334" t="s">
        <v>446</v>
      </c>
      <c r="J334" t="s">
        <v>1089</v>
      </c>
      <c r="K334" t="s">
        <v>446</v>
      </c>
      <c r="L334" t="s">
        <v>446</v>
      </c>
      <c r="M334" t="s">
        <v>446</v>
      </c>
      <c r="N334" t="s">
        <v>446</v>
      </c>
      <c r="O334" t="s">
        <v>446</v>
      </c>
      <c r="P334" t="s">
        <v>446</v>
      </c>
      <c r="Q334" t="b">
        <v>1</v>
      </c>
      <c r="R334" t="b">
        <v>0</v>
      </c>
      <c r="S334" t="s">
        <v>1090</v>
      </c>
      <c r="T334" t="s">
        <v>1586</v>
      </c>
      <c r="U334" t="s">
        <v>1092</v>
      </c>
      <c r="V334" t="s">
        <v>1093</v>
      </c>
      <c r="W334" t="s">
        <v>1088</v>
      </c>
      <c r="X334" t="s">
        <v>1094</v>
      </c>
    </row>
    <row r="335" spans="1:24" x14ac:dyDescent="0.25">
      <c r="A335" t="s">
        <v>42</v>
      </c>
      <c r="B335" t="s">
        <v>1587</v>
      </c>
      <c r="C335" t="s">
        <v>347</v>
      </c>
      <c r="D335" t="s">
        <v>446</v>
      </c>
      <c r="E335" t="s">
        <v>1051</v>
      </c>
      <c r="F335">
        <v>0</v>
      </c>
      <c r="G335" t="s">
        <v>1088</v>
      </c>
      <c r="H335" t="s">
        <v>446</v>
      </c>
      <c r="I335" t="s">
        <v>446</v>
      </c>
      <c r="J335" t="s">
        <v>1089</v>
      </c>
      <c r="K335" t="s">
        <v>446</v>
      </c>
      <c r="L335" t="s">
        <v>446</v>
      </c>
      <c r="M335" t="s">
        <v>446</v>
      </c>
      <c r="N335" t="s">
        <v>446</v>
      </c>
      <c r="O335" t="s">
        <v>446</v>
      </c>
      <c r="P335" t="s">
        <v>446</v>
      </c>
      <c r="Q335" t="b">
        <v>1</v>
      </c>
      <c r="R335" t="b">
        <v>0</v>
      </c>
      <c r="S335" t="s">
        <v>1090</v>
      </c>
      <c r="T335" t="s">
        <v>1159</v>
      </c>
      <c r="U335" t="s">
        <v>1092</v>
      </c>
      <c r="V335" t="s">
        <v>1093</v>
      </c>
      <c r="W335" t="s">
        <v>1088</v>
      </c>
      <c r="X335" t="s">
        <v>1094</v>
      </c>
    </row>
    <row r="336" spans="1:24" x14ac:dyDescent="0.25">
      <c r="A336" t="s">
        <v>42</v>
      </c>
      <c r="B336" t="s">
        <v>1588</v>
      </c>
      <c r="C336" t="s">
        <v>348</v>
      </c>
      <c r="D336" t="s">
        <v>446</v>
      </c>
      <c r="E336" t="s">
        <v>1029</v>
      </c>
      <c r="F336">
        <v>0</v>
      </c>
      <c r="G336" t="s">
        <v>1088</v>
      </c>
      <c r="H336" t="s">
        <v>446</v>
      </c>
      <c r="I336" t="s">
        <v>446</v>
      </c>
      <c r="J336" t="s">
        <v>1089</v>
      </c>
      <c r="K336" t="s">
        <v>446</v>
      </c>
      <c r="L336" t="s">
        <v>446</v>
      </c>
      <c r="M336" t="s">
        <v>446</v>
      </c>
      <c r="N336" t="s">
        <v>446</v>
      </c>
      <c r="O336" t="s">
        <v>446</v>
      </c>
      <c r="P336" t="s">
        <v>446</v>
      </c>
      <c r="Q336" t="b">
        <v>1</v>
      </c>
      <c r="R336" t="b">
        <v>0</v>
      </c>
      <c r="S336" t="s">
        <v>1090</v>
      </c>
      <c r="T336" t="s">
        <v>1589</v>
      </c>
      <c r="U336" t="s">
        <v>1092</v>
      </c>
      <c r="V336" t="s">
        <v>1093</v>
      </c>
      <c r="W336" t="s">
        <v>1088</v>
      </c>
      <c r="X336" t="s">
        <v>1094</v>
      </c>
    </row>
    <row r="337" spans="1:24" x14ac:dyDescent="0.25">
      <c r="A337" t="s">
        <v>42</v>
      </c>
      <c r="B337" t="s">
        <v>1590</v>
      </c>
      <c r="C337" t="s">
        <v>348</v>
      </c>
      <c r="D337" t="s">
        <v>446</v>
      </c>
      <c r="E337" t="s">
        <v>1035</v>
      </c>
      <c r="F337">
        <v>0</v>
      </c>
      <c r="G337" t="s">
        <v>1088</v>
      </c>
      <c r="H337" t="s">
        <v>446</v>
      </c>
      <c r="I337" t="s">
        <v>446</v>
      </c>
      <c r="J337" t="s">
        <v>1089</v>
      </c>
      <c r="K337" t="s">
        <v>446</v>
      </c>
      <c r="L337" t="s">
        <v>446</v>
      </c>
      <c r="M337" t="s">
        <v>446</v>
      </c>
      <c r="N337" t="s">
        <v>446</v>
      </c>
      <c r="O337" t="s">
        <v>446</v>
      </c>
      <c r="P337" t="s">
        <v>446</v>
      </c>
      <c r="Q337" t="b">
        <v>1</v>
      </c>
      <c r="R337" t="b">
        <v>0</v>
      </c>
      <c r="S337" t="s">
        <v>1090</v>
      </c>
      <c r="T337" t="s">
        <v>1591</v>
      </c>
      <c r="U337" t="s">
        <v>1092</v>
      </c>
      <c r="V337" t="s">
        <v>1093</v>
      </c>
      <c r="W337" t="s">
        <v>1088</v>
      </c>
      <c r="X337" t="s">
        <v>1094</v>
      </c>
    </row>
    <row r="338" spans="1:24" x14ac:dyDescent="0.25">
      <c r="A338" t="s">
        <v>42</v>
      </c>
      <c r="B338" t="s">
        <v>1592</v>
      </c>
      <c r="C338" t="s">
        <v>348</v>
      </c>
      <c r="D338" t="s">
        <v>446</v>
      </c>
      <c r="E338" t="s">
        <v>1040</v>
      </c>
      <c r="F338">
        <v>0</v>
      </c>
      <c r="G338" t="s">
        <v>1088</v>
      </c>
      <c r="H338" t="s">
        <v>446</v>
      </c>
      <c r="I338" t="s">
        <v>446</v>
      </c>
      <c r="J338" t="s">
        <v>1089</v>
      </c>
      <c r="K338" t="s">
        <v>446</v>
      </c>
      <c r="L338" t="s">
        <v>446</v>
      </c>
      <c r="M338" t="s">
        <v>446</v>
      </c>
      <c r="N338" t="s">
        <v>446</v>
      </c>
      <c r="O338" t="s">
        <v>446</v>
      </c>
      <c r="P338" t="s">
        <v>446</v>
      </c>
      <c r="Q338" t="b">
        <v>1</v>
      </c>
      <c r="R338" t="b">
        <v>0</v>
      </c>
      <c r="S338" t="s">
        <v>1090</v>
      </c>
      <c r="T338" t="s">
        <v>1593</v>
      </c>
      <c r="U338" t="s">
        <v>1092</v>
      </c>
      <c r="V338" t="s">
        <v>1093</v>
      </c>
      <c r="W338" t="s">
        <v>1088</v>
      </c>
      <c r="X338" t="s">
        <v>1094</v>
      </c>
    </row>
    <row r="339" spans="1:24" x14ac:dyDescent="0.25">
      <c r="A339" t="s">
        <v>42</v>
      </c>
      <c r="B339" t="s">
        <v>1594</v>
      </c>
      <c r="C339" t="s">
        <v>348</v>
      </c>
      <c r="D339" t="s">
        <v>446</v>
      </c>
      <c r="E339" t="s">
        <v>1045</v>
      </c>
      <c r="F339">
        <v>0</v>
      </c>
      <c r="G339" t="s">
        <v>1088</v>
      </c>
      <c r="H339" t="s">
        <v>446</v>
      </c>
      <c r="I339" t="s">
        <v>446</v>
      </c>
      <c r="J339" t="s">
        <v>1089</v>
      </c>
      <c r="K339" t="s">
        <v>446</v>
      </c>
      <c r="L339" t="s">
        <v>446</v>
      </c>
      <c r="M339" t="s">
        <v>446</v>
      </c>
      <c r="N339" t="s">
        <v>446</v>
      </c>
      <c r="O339" t="s">
        <v>446</v>
      </c>
      <c r="P339" t="s">
        <v>446</v>
      </c>
      <c r="Q339" t="b">
        <v>1</v>
      </c>
      <c r="R339" t="b">
        <v>0</v>
      </c>
      <c r="S339" t="s">
        <v>1090</v>
      </c>
      <c r="T339" t="s">
        <v>1595</v>
      </c>
      <c r="U339" t="s">
        <v>1092</v>
      </c>
      <c r="V339" t="s">
        <v>1093</v>
      </c>
      <c r="W339" t="s">
        <v>1088</v>
      </c>
      <c r="X339" t="s">
        <v>1094</v>
      </c>
    </row>
    <row r="340" spans="1:24" x14ac:dyDescent="0.25">
      <c r="A340" t="s">
        <v>42</v>
      </c>
      <c r="B340" t="s">
        <v>1596</v>
      </c>
      <c r="C340" t="s">
        <v>351</v>
      </c>
      <c r="D340" t="s">
        <v>446</v>
      </c>
      <c r="E340" t="s">
        <v>978</v>
      </c>
      <c r="F340">
        <v>0</v>
      </c>
      <c r="G340" t="s">
        <v>1088</v>
      </c>
      <c r="H340" t="s">
        <v>446</v>
      </c>
      <c r="I340" t="s">
        <v>446</v>
      </c>
      <c r="J340" t="s">
        <v>1089</v>
      </c>
      <c r="K340" t="s">
        <v>446</v>
      </c>
      <c r="L340" t="s">
        <v>446</v>
      </c>
      <c r="M340" t="s">
        <v>446</v>
      </c>
      <c r="N340" t="s">
        <v>446</v>
      </c>
      <c r="O340" t="s">
        <v>446</v>
      </c>
      <c r="P340" t="s">
        <v>446</v>
      </c>
      <c r="Q340" t="b">
        <v>1</v>
      </c>
      <c r="R340" t="b">
        <v>0</v>
      </c>
      <c r="S340" t="s">
        <v>1090</v>
      </c>
      <c r="T340" t="s">
        <v>1597</v>
      </c>
      <c r="U340" t="s">
        <v>1092</v>
      </c>
      <c r="V340" t="s">
        <v>1093</v>
      </c>
      <c r="W340" t="s">
        <v>1088</v>
      </c>
      <c r="X340" t="s">
        <v>1094</v>
      </c>
    </row>
    <row r="341" spans="1:24" x14ac:dyDescent="0.25">
      <c r="A341" t="s">
        <v>42</v>
      </c>
      <c r="B341" t="s">
        <v>1598</v>
      </c>
      <c r="C341" t="s">
        <v>351</v>
      </c>
      <c r="D341" t="s">
        <v>446</v>
      </c>
      <c r="E341" t="s">
        <v>986</v>
      </c>
      <c r="F341">
        <v>0</v>
      </c>
      <c r="G341" t="s">
        <v>1088</v>
      </c>
      <c r="H341" t="s">
        <v>446</v>
      </c>
      <c r="I341" t="s">
        <v>446</v>
      </c>
      <c r="J341" t="s">
        <v>1089</v>
      </c>
      <c r="K341" t="s">
        <v>446</v>
      </c>
      <c r="L341" t="s">
        <v>446</v>
      </c>
      <c r="M341" t="s">
        <v>446</v>
      </c>
      <c r="N341" t="s">
        <v>446</v>
      </c>
      <c r="O341" t="s">
        <v>446</v>
      </c>
      <c r="P341" t="s">
        <v>446</v>
      </c>
      <c r="Q341" t="b">
        <v>1</v>
      </c>
      <c r="R341" t="b">
        <v>0</v>
      </c>
      <c r="S341" t="s">
        <v>1090</v>
      </c>
      <c r="T341" t="s">
        <v>1599</v>
      </c>
      <c r="U341" t="s">
        <v>1092</v>
      </c>
      <c r="V341" t="s">
        <v>1093</v>
      </c>
      <c r="W341" t="s">
        <v>1088</v>
      </c>
      <c r="X341" t="s">
        <v>1094</v>
      </c>
    </row>
    <row r="342" spans="1:24" x14ac:dyDescent="0.25">
      <c r="A342" t="s">
        <v>42</v>
      </c>
      <c r="B342" t="s">
        <v>1600</v>
      </c>
      <c r="C342" t="s">
        <v>351</v>
      </c>
      <c r="D342" t="s">
        <v>446</v>
      </c>
      <c r="E342" t="s">
        <v>992</v>
      </c>
      <c r="F342">
        <v>0</v>
      </c>
      <c r="G342" t="s">
        <v>1088</v>
      </c>
      <c r="H342" t="s">
        <v>446</v>
      </c>
      <c r="I342" t="s">
        <v>446</v>
      </c>
      <c r="J342" t="s">
        <v>1089</v>
      </c>
      <c r="K342" t="s">
        <v>446</v>
      </c>
      <c r="L342" t="s">
        <v>446</v>
      </c>
      <c r="M342" t="s">
        <v>446</v>
      </c>
      <c r="N342" t="s">
        <v>446</v>
      </c>
      <c r="O342" t="s">
        <v>446</v>
      </c>
      <c r="P342" t="s">
        <v>446</v>
      </c>
      <c r="Q342" t="b">
        <v>1</v>
      </c>
      <c r="R342" t="b">
        <v>0</v>
      </c>
      <c r="S342" t="s">
        <v>1090</v>
      </c>
      <c r="T342" t="s">
        <v>1601</v>
      </c>
      <c r="U342" t="s">
        <v>1092</v>
      </c>
      <c r="V342" t="s">
        <v>1093</v>
      </c>
      <c r="W342" t="s">
        <v>1088</v>
      </c>
      <c r="X342" t="s">
        <v>1094</v>
      </c>
    </row>
    <row r="343" spans="1:24" x14ac:dyDescent="0.25">
      <c r="A343" t="s">
        <v>42</v>
      </c>
      <c r="B343" t="s">
        <v>1602</v>
      </c>
      <c r="C343" t="s">
        <v>351</v>
      </c>
      <c r="D343" t="s">
        <v>446</v>
      </c>
      <c r="E343" t="s">
        <v>998</v>
      </c>
      <c r="F343">
        <v>0</v>
      </c>
      <c r="G343" t="s">
        <v>1088</v>
      </c>
      <c r="H343" t="s">
        <v>446</v>
      </c>
      <c r="I343" t="s">
        <v>446</v>
      </c>
      <c r="J343" t="s">
        <v>1089</v>
      </c>
      <c r="K343" t="s">
        <v>446</v>
      </c>
      <c r="L343" t="s">
        <v>446</v>
      </c>
      <c r="M343" t="s">
        <v>446</v>
      </c>
      <c r="N343" t="s">
        <v>446</v>
      </c>
      <c r="O343" t="s">
        <v>446</v>
      </c>
      <c r="P343" t="s">
        <v>446</v>
      </c>
      <c r="Q343" t="b">
        <v>1</v>
      </c>
      <c r="R343" t="b">
        <v>0</v>
      </c>
      <c r="S343" t="s">
        <v>1090</v>
      </c>
      <c r="T343" t="s">
        <v>1603</v>
      </c>
      <c r="U343" t="s">
        <v>1092</v>
      </c>
      <c r="V343" t="s">
        <v>1093</v>
      </c>
      <c r="W343" t="s">
        <v>1088</v>
      </c>
      <c r="X343" t="s">
        <v>1094</v>
      </c>
    </row>
    <row r="344" spans="1:24" x14ac:dyDescent="0.25">
      <c r="A344" t="s">
        <v>42</v>
      </c>
      <c r="B344" t="s">
        <v>1604</v>
      </c>
      <c r="C344" t="s">
        <v>351</v>
      </c>
      <c r="D344" t="s">
        <v>446</v>
      </c>
      <c r="E344" t="s">
        <v>1006</v>
      </c>
      <c r="F344">
        <v>0</v>
      </c>
      <c r="G344" t="s">
        <v>1088</v>
      </c>
      <c r="H344" t="s">
        <v>446</v>
      </c>
      <c r="I344" t="s">
        <v>446</v>
      </c>
      <c r="J344" t="s">
        <v>1089</v>
      </c>
      <c r="K344" t="s">
        <v>446</v>
      </c>
      <c r="L344" t="s">
        <v>446</v>
      </c>
      <c r="M344" t="s">
        <v>446</v>
      </c>
      <c r="N344" t="s">
        <v>446</v>
      </c>
      <c r="O344" t="s">
        <v>446</v>
      </c>
      <c r="P344" t="s">
        <v>446</v>
      </c>
      <c r="Q344" t="b">
        <v>1</v>
      </c>
      <c r="R344" t="b">
        <v>0</v>
      </c>
      <c r="S344" t="s">
        <v>1090</v>
      </c>
      <c r="T344" t="s">
        <v>1605</v>
      </c>
      <c r="U344" t="s">
        <v>1092</v>
      </c>
      <c r="V344" t="s">
        <v>1093</v>
      </c>
      <c r="W344" t="s">
        <v>1088</v>
      </c>
      <c r="X344" t="s">
        <v>1094</v>
      </c>
    </row>
    <row r="345" spans="1:24" x14ac:dyDescent="0.25">
      <c r="A345" t="s">
        <v>42</v>
      </c>
      <c r="B345" t="s">
        <v>1606</v>
      </c>
      <c r="C345" t="s">
        <v>351</v>
      </c>
      <c r="D345" t="s">
        <v>446</v>
      </c>
      <c r="E345" t="s">
        <v>1013</v>
      </c>
      <c r="F345">
        <v>0</v>
      </c>
      <c r="G345" t="s">
        <v>1088</v>
      </c>
      <c r="H345" t="s">
        <v>446</v>
      </c>
      <c r="I345" t="s">
        <v>446</v>
      </c>
      <c r="J345" t="s">
        <v>1089</v>
      </c>
      <c r="K345" t="s">
        <v>446</v>
      </c>
      <c r="L345" t="s">
        <v>446</v>
      </c>
      <c r="M345" t="s">
        <v>446</v>
      </c>
      <c r="N345" t="s">
        <v>446</v>
      </c>
      <c r="O345" t="s">
        <v>446</v>
      </c>
      <c r="P345" t="s">
        <v>446</v>
      </c>
      <c r="Q345" t="b">
        <v>1</v>
      </c>
      <c r="R345" t="b">
        <v>0</v>
      </c>
      <c r="S345" t="s">
        <v>1090</v>
      </c>
      <c r="T345" t="s">
        <v>1607</v>
      </c>
      <c r="U345" t="s">
        <v>1092</v>
      </c>
      <c r="V345" t="s">
        <v>1093</v>
      </c>
      <c r="W345" t="s">
        <v>1088</v>
      </c>
      <c r="X345" t="s">
        <v>1094</v>
      </c>
    </row>
    <row r="346" spans="1:24" x14ac:dyDescent="0.25">
      <c r="A346" t="s">
        <v>42</v>
      </c>
      <c r="B346" t="s">
        <v>1608</v>
      </c>
      <c r="C346" t="s">
        <v>351</v>
      </c>
      <c r="D346" t="s">
        <v>446</v>
      </c>
      <c r="E346" t="s">
        <v>1018</v>
      </c>
      <c r="F346">
        <v>0</v>
      </c>
      <c r="G346" t="s">
        <v>1088</v>
      </c>
      <c r="H346" t="s">
        <v>446</v>
      </c>
      <c r="I346" t="s">
        <v>446</v>
      </c>
      <c r="J346" t="s">
        <v>1089</v>
      </c>
      <c r="K346" t="s">
        <v>446</v>
      </c>
      <c r="L346" t="s">
        <v>446</v>
      </c>
      <c r="M346" t="s">
        <v>446</v>
      </c>
      <c r="N346" t="s">
        <v>446</v>
      </c>
      <c r="O346" t="s">
        <v>446</v>
      </c>
      <c r="P346" t="s">
        <v>446</v>
      </c>
      <c r="Q346" t="b">
        <v>1</v>
      </c>
      <c r="R346" t="b">
        <v>0</v>
      </c>
      <c r="S346" t="s">
        <v>1090</v>
      </c>
      <c r="T346" t="s">
        <v>1609</v>
      </c>
      <c r="U346" t="s">
        <v>1092</v>
      </c>
      <c r="V346" t="s">
        <v>1093</v>
      </c>
      <c r="W346" t="s">
        <v>1088</v>
      </c>
      <c r="X346" t="s">
        <v>1094</v>
      </c>
    </row>
    <row r="347" spans="1:24" x14ac:dyDescent="0.25">
      <c r="A347" t="s">
        <v>42</v>
      </c>
      <c r="B347" t="s">
        <v>1610</v>
      </c>
      <c r="C347" t="s">
        <v>351</v>
      </c>
      <c r="D347" t="s">
        <v>446</v>
      </c>
      <c r="E347" t="s">
        <v>1023</v>
      </c>
      <c r="F347">
        <v>0</v>
      </c>
      <c r="G347" t="s">
        <v>1088</v>
      </c>
      <c r="H347" t="s">
        <v>446</v>
      </c>
      <c r="I347" t="s">
        <v>446</v>
      </c>
      <c r="J347" t="s">
        <v>1089</v>
      </c>
      <c r="K347" t="s">
        <v>446</v>
      </c>
      <c r="L347" t="s">
        <v>446</v>
      </c>
      <c r="M347" t="s">
        <v>446</v>
      </c>
      <c r="N347" t="s">
        <v>446</v>
      </c>
      <c r="O347" t="s">
        <v>446</v>
      </c>
      <c r="P347" t="s">
        <v>446</v>
      </c>
      <c r="Q347" t="b">
        <v>1</v>
      </c>
      <c r="R347" t="b">
        <v>0</v>
      </c>
      <c r="S347" t="s">
        <v>1090</v>
      </c>
      <c r="T347" t="s">
        <v>1611</v>
      </c>
      <c r="U347" t="s">
        <v>1092</v>
      </c>
      <c r="V347" t="s">
        <v>1093</v>
      </c>
      <c r="W347" t="s">
        <v>1088</v>
      </c>
      <c r="X347" t="s">
        <v>1094</v>
      </c>
    </row>
    <row r="348" spans="1:24" x14ac:dyDescent="0.25">
      <c r="A348" t="s">
        <v>42</v>
      </c>
      <c r="B348" t="s">
        <v>1612</v>
      </c>
      <c r="C348" t="s">
        <v>351</v>
      </c>
      <c r="D348" t="s">
        <v>446</v>
      </c>
      <c r="E348" t="s">
        <v>1029</v>
      </c>
      <c r="F348">
        <v>0</v>
      </c>
      <c r="G348" t="s">
        <v>1088</v>
      </c>
      <c r="H348" t="s">
        <v>446</v>
      </c>
      <c r="I348" t="s">
        <v>446</v>
      </c>
      <c r="J348" t="s">
        <v>1089</v>
      </c>
      <c r="K348" t="s">
        <v>446</v>
      </c>
      <c r="L348" t="s">
        <v>446</v>
      </c>
      <c r="M348" t="s">
        <v>446</v>
      </c>
      <c r="N348" t="s">
        <v>446</v>
      </c>
      <c r="O348" t="s">
        <v>446</v>
      </c>
      <c r="P348" t="s">
        <v>446</v>
      </c>
      <c r="Q348" t="b">
        <v>1</v>
      </c>
      <c r="R348" t="b">
        <v>0</v>
      </c>
      <c r="S348" t="s">
        <v>1090</v>
      </c>
      <c r="T348" t="s">
        <v>1613</v>
      </c>
      <c r="U348" t="s">
        <v>1092</v>
      </c>
      <c r="V348" t="s">
        <v>1093</v>
      </c>
      <c r="W348" t="s">
        <v>1088</v>
      </c>
      <c r="X348" t="s">
        <v>1094</v>
      </c>
    </row>
    <row r="349" spans="1:24" x14ac:dyDescent="0.25">
      <c r="A349" t="s">
        <v>42</v>
      </c>
      <c r="B349" t="s">
        <v>1614</v>
      </c>
      <c r="C349" t="s">
        <v>351</v>
      </c>
      <c r="D349" t="s">
        <v>446</v>
      </c>
      <c r="E349" t="s">
        <v>1035</v>
      </c>
      <c r="F349">
        <v>0</v>
      </c>
      <c r="G349" t="s">
        <v>1088</v>
      </c>
      <c r="H349" t="s">
        <v>446</v>
      </c>
      <c r="I349" t="s">
        <v>446</v>
      </c>
      <c r="J349" t="s">
        <v>1089</v>
      </c>
      <c r="K349" t="s">
        <v>446</v>
      </c>
      <c r="L349" t="s">
        <v>446</v>
      </c>
      <c r="M349" t="s">
        <v>446</v>
      </c>
      <c r="N349" t="s">
        <v>446</v>
      </c>
      <c r="O349" t="s">
        <v>446</v>
      </c>
      <c r="P349" t="s">
        <v>446</v>
      </c>
      <c r="Q349" t="b">
        <v>1</v>
      </c>
      <c r="R349" t="b">
        <v>0</v>
      </c>
      <c r="S349" t="s">
        <v>1090</v>
      </c>
      <c r="T349" t="s">
        <v>1615</v>
      </c>
      <c r="U349" t="s">
        <v>1092</v>
      </c>
      <c r="V349" t="s">
        <v>1093</v>
      </c>
      <c r="W349" t="s">
        <v>1088</v>
      </c>
      <c r="X349" t="s">
        <v>1094</v>
      </c>
    </row>
    <row r="350" spans="1:24" x14ac:dyDescent="0.25">
      <c r="A350" t="s">
        <v>42</v>
      </c>
      <c r="B350" t="s">
        <v>1616</v>
      </c>
      <c r="C350" t="s">
        <v>351</v>
      </c>
      <c r="D350" t="s">
        <v>446</v>
      </c>
      <c r="E350" t="s">
        <v>1040</v>
      </c>
      <c r="F350">
        <v>0</v>
      </c>
      <c r="G350" t="s">
        <v>1088</v>
      </c>
      <c r="H350" t="s">
        <v>446</v>
      </c>
      <c r="I350" t="s">
        <v>446</v>
      </c>
      <c r="J350" t="s">
        <v>1089</v>
      </c>
      <c r="K350" t="s">
        <v>446</v>
      </c>
      <c r="L350" t="s">
        <v>446</v>
      </c>
      <c r="M350" t="s">
        <v>446</v>
      </c>
      <c r="N350" t="s">
        <v>446</v>
      </c>
      <c r="O350" t="s">
        <v>446</v>
      </c>
      <c r="P350" t="s">
        <v>446</v>
      </c>
      <c r="Q350" t="b">
        <v>1</v>
      </c>
      <c r="R350" t="b">
        <v>0</v>
      </c>
      <c r="S350" t="s">
        <v>1090</v>
      </c>
      <c r="T350" t="s">
        <v>1617</v>
      </c>
      <c r="U350" t="s">
        <v>1092</v>
      </c>
      <c r="V350" t="s">
        <v>1093</v>
      </c>
      <c r="W350" t="s">
        <v>1088</v>
      </c>
      <c r="X350" t="s">
        <v>1094</v>
      </c>
    </row>
    <row r="351" spans="1:24" x14ac:dyDescent="0.25">
      <c r="A351" t="s">
        <v>42</v>
      </c>
      <c r="B351" t="s">
        <v>1618</v>
      </c>
      <c r="C351" t="s">
        <v>351</v>
      </c>
      <c r="D351" t="s">
        <v>446</v>
      </c>
      <c r="E351" t="s">
        <v>1045</v>
      </c>
      <c r="F351">
        <v>0</v>
      </c>
      <c r="G351" t="s">
        <v>1088</v>
      </c>
      <c r="H351" t="s">
        <v>446</v>
      </c>
      <c r="I351" t="s">
        <v>446</v>
      </c>
      <c r="J351" t="s">
        <v>1089</v>
      </c>
      <c r="K351" t="s">
        <v>446</v>
      </c>
      <c r="L351" t="s">
        <v>446</v>
      </c>
      <c r="M351" t="s">
        <v>446</v>
      </c>
      <c r="N351" t="s">
        <v>446</v>
      </c>
      <c r="O351" t="s">
        <v>446</v>
      </c>
      <c r="P351" t="s">
        <v>446</v>
      </c>
      <c r="Q351" t="b">
        <v>1</v>
      </c>
      <c r="R351" t="b">
        <v>0</v>
      </c>
      <c r="S351" t="s">
        <v>1090</v>
      </c>
      <c r="T351" t="s">
        <v>1619</v>
      </c>
      <c r="U351" t="s">
        <v>1092</v>
      </c>
      <c r="V351" t="s">
        <v>1093</v>
      </c>
      <c r="W351" t="s">
        <v>1088</v>
      </c>
      <c r="X351" t="s">
        <v>1094</v>
      </c>
    </row>
    <row r="352" spans="1:24" x14ac:dyDescent="0.25">
      <c r="A352" t="s">
        <v>42</v>
      </c>
      <c r="B352" t="s">
        <v>1620</v>
      </c>
      <c r="C352" t="s">
        <v>351</v>
      </c>
      <c r="D352" t="s">
        <v>446</v>
      </c>
      <c r="E352" t="s">
        <v>1051</v>
      </c>
      <c r="F352">
        <v>0</v>
      </c>
      <c r="G352" t="s">
        <v>1088</v>
      </c>
      <c r="H352" t="s">
        <v>446</v>
      </c>
      <c r="I352" t="s">
        <v>446</v>
      </c>
      <c r="J352" t="s">
        <v>1089</v>
      </c>
      <c r="K352" t="s">
        <v>446</v>
      </c>
      <c r="L352" t="s">
        <v>446</v>
      </c>
      <c r="M352" t="s">
        <v>446</v>
      </c>
      <c r="N352" t="s">
        <v>446</v>
      </c>
      <c r="O352" t="s">
        <v>446</v>
      </c>
      <c r="P352" t="s">
        <v>446</v>
      </c>
      <c r="Q352" t="b">
        <v>1</v>
      </c>
      <c r="R352" t="b">
        <v>0</v>
      </c>
      <c r="S352" t="s">
        <v>1090</v>
      </c>
      <c r="T352" t="s">
        <v>1621</v>
      </c>
      <c r="U352" t="s">
        <v>1092</v>
      </c>
      <c r="V352" t="s">
        <v>1093</v>
      </c>
      <c r="W352" t="s">
        <v>1088</v>
      </c>
      <c r="X352" t="s">
        <v>1094</v>
      </c>
    </row>
    <row r="353" spans="1:24" x14ac:dyDescent="0.25">
      <c r="A353" t="s">
        <v>42</v>
      </c>
      <c r="B353" t="s">
        <v>1622</v>
      </c>
      <c r="C353" t="s">
        <v>352</v>
      </c>
      <c r="D353" t="s">
        <v>446</v>
      </c>
      <c r="E353" t="s">
        <v>978</v>
      </c>
      <c r="F353">
        <v>0</v>
      </c>
      <c r="G353" t="s">
        <v>1088</v>
      </c>
      <c r="H353" t="s">
        <v>446</v>
      </c>
      <c r="I353" t="s">
        <v>446</v>
      </c>
      <c r="J353" t="s">
        <v>1089</v>
      </c>
      <c r="K353" t="s">
        <v>446</v>
      </c>
      <c r="L353" t="s">
        <v>446</v>
      </c>
      <c r="M353" t="s">
        <v>446</v>
      </c>
      <c r="N353" t="s">
        <v>446</v>
      </c>
      <c r="O353" t="s">
        <v>446</v>
      </c>
      <c r="P353" t="s">
        <v>446</v>
      </c>
      <c r="Q353" t="b">
        <v>1</v>
      </c>
      <c r="R353" t="b">
        <v>0</v>
      </c>
      <c r="S353" t="s">
        <v>1090</v>
      </c>
      <c r="T353" t="s">
        <v>1486</v>
      </c>
      <c r="U353" t="s">
        <v>1092</v>
      </c>
      <c r="V353" t="s">
        <v>1093</v>
      </c>
      <c r="W353" t="s">
        <v>1088</v>
      </c>
      <c r="X353" t="s">
        <v>1094</v>
      </c>
    </row>
    <row r="354" spans="1:24" x14ac:dyDescent="0.25">
      <c r="A354" t="s">
        <v>42</v>
      </c>
      <c r="B354" t="s">
        <v>1623</v>
      </c>
      <c r="C354" t="s">
        <v>352</v>
      </c>
      <c r="D354" t="s">
        <v>446</v>
      </c>
      <c r="E354" t="s">
        <v>986</v>
      </c>
      <c r="F354">
        <v>0</v>
      </c>
      <c r="G354" t="s">
        <v>1088</v>
      </c>
      <c r="H354" t="s">
        <v>446</v>
      </c>
      <c r="I354" t="s">
        <v>446</v>
      </c>
      <c r="J354" t="s">
        <v>1089</v>
      </c>
      <c r="K354" t="s">
        <v>446</v>
      </c>
      <c r="L354" t="s">
        <v>446</v>
      </c>
      <c r="M354" t="s">
        <v>446</v>
      </c>
      <c r="N354" t="s">
        <v>446</v>
      </c>
      <c r="O354" t="s">
        <v>446</v>
      </c>
      <c r="P354" t="s">
        <v>446</v>
      </c>
      <c r="Q354" t="b">
        <v>1</v>
      </c>
      <c r="R354" t="b">
        <v>0</v>
      </c>
      <c r="S354" t="s">
        <v>1090</v>
      </c>
      <c r="T354" t="s">
        <v>1624</v>
      </c>
      <c r="U354" t="s">
        <v>1092</v>
      </c>
      <c r="V354" t="s">
        <v>1093</v>
      </c>
      <c r="W354" t="s">
        <v>1088</v>
      </c>
      <c r="X354" t="s">
        <v>1094</v>
      </c>
    </row>
    <row r="355" spans="1:24" x14ac:dyDescent="0.25">
      <c r="A355" t="s">
        <v>42</v>
      </c>
      <c r="B355" t="s">
        <v>1625</v>
      </c>
      <c r="C355" t="s">
        <v>352</v>
      </c>
      <c r="D355" t="s">
        <v>446</v>
      </c>
      <c r="E355" t="s">
        <v>992</v>
      </c>
      <c r="F355">
        <v>0</v>
      </c>
      <c r="G355" t="s">
        <v>1088</v>
      </c>
      <c r="H355" t="s">
        <v>446</v>
      </c>
      <c r="I355" t="s">
        <v>446</v>
      </c>
      <c r="J355" t="s">
        <v>1089</v>
      </c>
      <c r="K355" t="s">
        <v>446</v>
      </c>
      <c r="L355" t="s">
        <v>446</v>
      </c>
      <c r="M355" t="s">
        <v>446</v>
      </c>
      <c r="N355" t="s">
        <v>446</v>
      </c>
      <c r="O355" t="s">
        <v>446</v>
      </c>
      <c r="P355" t="s">
        <v>446</v>
      </c>
      <c r="Q355" t="b">
        <v>1</v>
      </c>
      <c r="R355" t="b">
        <v>0</v>
      </c>
      <c r="S355" t="s">
        <v>1090</v>
      </c>
      <c r="T355" t="s">
        <v>1626</v>
      </c>
      <c r="U355" t="s">
        <v>1092</v>
      </c>
      <c r="V355" t="s">
        <v>1093</v>
      </c>
      <c r="W355" t="s">
        <v>1088</v>
      </c>
      <c r="X355" t="s">
        <v>1094</v>
      </c>
    </row>
    <row r="356" spans="1:24" x14ac:dyDescent="0.25">
      <c r="A356" t="s">
        <v>42</v>
      </c>
      <c r="B356" t="s">
        <v>1627</v>
      </c>
      <c r="C356" t="s">
        <v>352</v>
      </c>
      <c r="D356" t="s">
        <v>446</v>
      </c>
      <c r="E356" t="s">
        <v>998</v>
      </c>
      <c r="F356">
        <v>0</v>
      </c>
      <c r="G356" t="s">
        <v>1088</v>
      </c>
      <c r="H356" t="s">
        <v>446</v>
      </c>
      <c r="I356" t="s">
        <v>446</v>
      </c>
      <c r="J356" t="s">
        <v>1089</v>
      </c>
      <c r="K356" t="s">
        <v>446</v>
      </c>
      <c r="L356" t="s">
        <v>446</v>
      </c>
      <c r="M356" t="s">
        <v>446</v>
      </c>
      <c r="N356" t="s">
        <v>446</v>
      </c>
      <c r="O356" t="s">
        <v>446</v>
      </c>
      <c r="P356" t="s">
        <v>446</v>
      </c>
      <c r="Q356" t="b">
        <v>1</v>
      </c>
      <c r="R356" t="b">
        <v>0</v>
      </c>
      <c r="S356" t="s">
        <v>1090</v>
      </c>
      <c r="T356" t="s">
        <v>1628</v>
      </c>
      <c r="U356" t="s">
        <v>1092</v>
      </c>
      <c r="V356" t="s">
        <v>1093</v>
      </c>
      <c r="W356" t="s">
        <v>1088</v>
      </c>
      <c r="X356" t="s">
        <v>1094</v>
      </c>
    </row>
    <row r="357" spans="1:24" x14ac:dyDescent="0.25">
      <c r="A357" t="s">
        <v>42</v>
      </c>
      <c r="B357" t="s">
        <v>1629</v>
      </c>
      <c r="C357" t="s">
        <v>352</v>
      </c>
      <c r="D357" t="s">
        <v>446</v>
      </c>
      <c r="E357" t="s">
        <v>1006</v>
      </c>
      <c r="F357">
        <v>0</v>
      </c>
      <c r="G357" t="s">
        <v>1088</v>
      </c>
      <c r="H357" t="s">
        <v>446</v>
      </c>
      <c r="I357" t="s">
        <v>446</v>
      </c>
      <c r="J357" t="s">
        <v>1089</v>
      </c>
      <c r="K357" t="s">
        <v>446</v>
      </c>
      <c r="L357" t="s">
        <v>446</v>
      </c>
      <c r="M357" t="s">
        <v>446</v>
      </c>
      <c r="N357" t="s">
        <v>446</v>
      </c>
      <c r="O357" t="s">
        <v>446</v>
      </c>
      <c r="P357" t="s">
        <v>446</v>
      </c>
      <c r="Q357" t="b">
        <v>1</v>
      </c>
      <c r="R357" t="b">
        <v>0</v>
      </c>
      <c r="S357" t="s">
        <v>1090</v>
      </c>
      <c r="T357" t="s">
        <v>1630</v>
      </c>
      <c r="U357" t="s">
        <v>1092</v>
      </c>
      <c r="V357" t="s">
        <v>1093</v>
      </c>
      <c r="W357" t="s">
        <v>1088</v>
      </c>
      <c r="X357" t="s">
        <v>1094</v>
      </c>
    </row>
    <row r="358" spans="1:24" x14ac:dyDescent="0.25">
      <c r="A358" t="s">
        <v>42</v>
      </c>
      <c r="B358" t="s">
        <v>1631</v>
      </c>
      <c r="C358" t="s">
        <v>352</v>
      </c>
      <c r="D358" t="s">
        <v>446</v>
      </c>
      <c r="E358" t="s">
        <v>1013</v>
      </c>
      <c r="F358">
        <v>0</v>
      </c>
      <c r="G358" t="s">
        <v>1088</v>
      </c>
      <c r="H358" t="s">
        <v>446</v>
      </c>
      <c r="I358" t="s">
        <v>446</v>
      </c>
      <c r="J358" t="s">
        <v>1089</v>
      </c>
      <c r="K358" t="s">
        <v>446</v>
      </c>
      <c r="L358" t="s">
        <v>446</v>
      </c>
      <c r="M358" t="s">
        <v>446</v>
      </c>
      <c r="N358" t="s">
        <v>446</v>
      </c>
      <c r="O358" t="s">
        <v>446</v>
      </c>
      <c r="P358" t="s">
        <v>446</v>
      </c>
      <c r="Q358" t="b">
        <v>1</v>
      </c>
      <c r="R358" t="b">
        <v>0</v>
      </c>
      <c r="S358" t="s">
        <v>1090</v>
      </c>
      <c r="T358" t="s">
        <v>1632</v>
      </c>
      <c r="U358" t="s">
        <v>1092</v>
      </c>
      <c r="V358" t="s">
        <v>1093</v>
      </c>
      <c r="W358" t="s">
        <v>1088</v>
      </c>
      <c r="X358" t="s">
        <v>1094</v>
      </c>
    </row>
    <row r="359" spans="1:24" x14ac:dyDescent="0.25">
      <c r="A359" t="s">
        <v>42</v>
      </c>
      <c r="B359" t="s">
        <v>1633</v>
      </c>
      <c r="C359" t="s">
        <v>352</v>
      </c>
      <c r="D359" t="s">
        <v>446</v>
      </c>
      <c r="E359" t="s">
        <v>1018</v>
      </c>
      <c r="F359">
        <v>0</v>
      </c>
      <c r="G359" t="s">
        <v>1088</v>
      </c>
      <c r="H359" t="s">
        <v>446</v>
      </c>
      <c r="I359" t="s">
        <v>446</v>
      </c>
      <c r="J359" t="s">
        <v>1089</v>
      </c>
      <c r="K359" t="s">
        <v>446</v>
      </c>
      <c r="L359" t="s">
        <v>446</v>
      </c>
      <c r="M359" t="s">
        <v>446</v>
      </c>
      <c r="N359" t="s">
        <v>446</v>
      </c>
      <c r="O359" t="s">
        <v>446</v>
      </c>
      <c r="P359" t="s">
        <v>446</v>
      </c>
      <c r="Q359" t="b">
        <v>1</v>
      </c>
      <c r="R359" t="b">
        <v>0</v>
      </c>
      <c r="S359" t="s">
        <v>1090</v>
      </c>
      <c r="T359" t="s">
        <v>1634</v>
      </c>
      <c r="U359" t="s">
        <v>1092</v>
      </c>
      <c r="V359" t="s">
        <v>1093</v>
      </c>
      <c r="W359" t="s">
        <v>1088</v>
      </c>
      <c r="X359" t="s">
        <v>1094</v>
      </c>
    </row>
    <row r="360" spans="1:24" x14ac:dyDescent="0.25">
      <c r="A360" t="s">
        <v>42</v>
      </c>
      <c r="B360" t="s">
        <v>1635</v>
      </c>
      <c r="C360" t="s">
        <v>352</v>
      </c>
      <c r="D360" t="s">
        <v>446</v>
      </c>
      <c r="E360" t="s">
        <v>1023</v>
      </c>
      <c r="F360">
        <v>0</v>
      </c>
      <c r="G360" t="s">
        <v>1088</v>
      </c>
      <c r="H360" t="s">
        <v>446</v>
      </c>
      <c r="I360" t="s">
        <v>446</v>
      </c>
      <c r="J360" t="s">
        <v>1089</v>
      </c>
      <c r="K360" t="s">
        <v>446</v>
      </c>
      <c r="L360" t="s">
        <v>446</v>
      </c>
      <c r="M360" t="s">
        <v>446</v>
      </c>
      <c r="N360" t="s">
        <v>446</v>
      </c>
      <c r="O360" t="s">
        <v>446</v>
      </c>
      <c r="P360" t="s">
        <v>446</v>
      </c>
      <c r="Q360" t="b">
        <v>1</v>
      </c>
      <c r="R360" t="b">
        <v>0</v>
      </c>
      <c r="S360" t="s">
        <v>1090</v>
      </c>
      <c r="T360" t="s">
        <v>1636</v>
      </c>
      <c r="U360" t="s">
        <v>1092</v>
      </c>
      <c r="V360" t="s">
        <v>1093</v>
      </c>
      <c r="W360" t="s">
        <v>1088</v>
      </c>
      <c r="X360" t="s">
        <v>1094</v>
      </c>
    </row>
    <row r="361" spans="1:24" x14ac:dyDescent="0.25">
      <c r="A361" t="s">
        <v>42</v>
      </c>
      <c r="B361" t="s">
        <v>1637</v>
      </c>
      <c r="C361" t="s">
        <v>352</v>
      </c>
      <c r="D361" t="s">
        <v>446</v>
      </c>
      <c r="E361" t="s">
        <v>1029</v>
      </c>
      <c r="F361">
        <v>0</v>
      </c>
      <c r="G361" t="s">
        <v>1088</v>
      </c>
      <c r="H361" t="s">
        <v>446</v>
      </c>
      <c r="I361" t="s">
        <v>446</v>
      </c>
      <c r="J361" t="s">
        <v>1089</v>
      </c>
      <c r="K361" t="s">
        <v>446</v>
      </c>
      <c r="L361" t="s">
        <v>446</v>
      </c>
      <c r="M361" t="s">
        <v>446</v>
      </c>
      <c r="N361" t="s">
        <v>446</v>
      </c>
      <c r="O361" t="s">
        <v>446</v>
      </c>
      <c r="P361" t="s">
        <v>446</v>
      </c>
      <c r="Q361" t="b">
        <v>1</v>
      </c>
      <c r="R361" t="b">
        <v>0</v>
      </c>
      <c r="S361" t="s">
        <v>1090</v>
      </c>
      <c r="T361" t="s">
        <v>1638</v>
      </c>
      <c r="U361" t="s">
        <v>1092</v>
      </c>
      <c r="V361" t="s">
        <v>1093</v>
      </c>
      <c r="W361" t="s">
        <v>1088</v>
      </c>
      <c r="X361" t="s">
        <v>1094</v>
      </c>
    </row>
    <row r="362" spans="1:24" x14ac:dyDescent="0.25">
      <c r="A362" t="s">
        <v>42</v>
      </c>
      <c r="B362" t="s">
        <v>1639</v>
      </c>
      <c r="C362" t="s">
        <v>352</v>
      </c>
      <c r="D362" t="s">
        <v>446</v>
      </c>
      <c r="E362" t="s">
        <v>1035</v>
      </c>
      <c r="F362">
        <v>0</v>
      </c>
      <c r="G362" t="s">
        <v>1088</v>
      </c>
      <c r="H362" t="s">
        <v>446</v>
      </c>
      <c r="I362" t="s">
        <v>446</v>
      </c>
      <c r="J362" t="s">
        <v>1089</v>
      </c>
      <c r="K362" t="s">
        <v>446</v>
      </c>
      <c r="L362" t="s">
        <v>446</v>
      </c>
      <c r="M362" t="s">
        <v>446</v>
      </c>
      <c r="N362" t="s">
        <v>446</v>
      </c>
      <c r="O362" t="s">
        <v>446</v>
      </c>
      <c r="P362" t="s">
        <v>446</v>
      </c>
      <c r="Q362" t="b">
        <v>1</v>
      </c>
      <c r="R362" t="b">
        <v>0</v>
      </c>
      <c r="S362" t="s">
        <v>1090</v>
      </c>
      <c r="T362" t="s">
        <v>1640</v>
      </c>
      <c r="U362" t="s">
        <v>1092</v>
      </c>
      <c r="V362" t="s">
        <v>1093</v>
      </c>
      <c r="W362" t="s">
        <v>1088</v>
      </c>
      <c r="X362" t="s">
        <v>1094</v>
      </c>
    </row>
    <row r="363" spans="1:24" x14ac:dyDescent="0.25">
      <c r="A363" t="s">
        <v>42</v>
      </c>
      <c r="B363" t="s">
        <v>1641</v>
      </c>
      <c r="C363" t="s">
        <v>352</v>
      </c>
      <c r="D363" t="s">
        <v>446</v>
      </c>
      <c r="E363" t="s">
        <v>1040</v>
      </c>
      <c r="F363">
        <v>0</v>
      </c>
      <c r="G363" t="s">
        <v>1088</v>
      </c>
      <c r="H363" t="s">
        <v>446</v>
      </c>
      <c r="I363" t="s">
        <v>446</v>
      </c>
      <c r="J363" t="s">
        <v>1089</v>
      </c>
      <c r="K363" t="s">
        <v>446</v>
      </c>
      <c r="L363" t="s">
        <v>446</v>
      </c>
      <c r="M363" t="s">
        <v>446</v>
      </c>
      <c r="N363" t="s">
        <v>446</v>
      </c>
      <c r="O363" t="s">
        <v>446</v>
      </c>
      <c r="P363" t="s">
        <v>446</v>
      </c>
      <c r="Q363" t="b">
        <v>1</v>
      </c>
      <c r="R363" t="b">
        <v>0</v>
      </c>
      <c r="S363" t="s">
        <v>1090</v>
      </c>
      <c r="T363" t="s">
        <v>1642</v>
      </c>
      <c r="U363" t="s">
        <v>1092</v>
      </c>
      <c r="V363" t="s">
        <v>1093</v>
      </c>
      <c r="W363" t="s">
        <v>1088</v>
      </c>
      <c r="X363" t="s">
        <v>1094</v>
      </c>
    </row>
    <row r="364" spans="1:24" x14ac:dyDescent="0.25">
      <c r="A364" t="s">
        <v>42</v>
      </c>
      <c r="B364" t="s">
        <v>1643</v>
      </c>
      <c r="C364" t="s">
        <v>352</v>
      </c>
      <c r="D364" t="s">
        <v>446</v>
      </c>
      <c r="E364" t="s">
        <v>1045</v>
      </c>
      <c r="F364">
        <v>0</v>
      </c>
      <c r="G364" t="s">
        <v>1088</v>
      </c>
      <c r="H364" t="s">
        <v>446</v>
      </c>
      <c r="I364" t="s">
        <v>446</v>
      </c>
      <c r="J364" t="s">
        <v>1089</v>
      </c>
      <c r="K364" t="s">
        <v>446</v>
      </c>
      <c r="L364" t="s">
        <v>446</v>
      </c>
      <c r="M364" t="s">
        <v>446</v>
      </c>
      <c r="N364" t="s">
        <v>446</v>
      </c>
      <c r="O364" t="s">
        <v>446</v>
      </c>
      <c r="P364" t="s">
        <v>446</v>
      </c>
      <c r="Q364" t="b">
        <v>1</v>
      </c>
      <c r="R364" t="b">
        <v>0</v>
      </c>
      <c r="S364" t="s">
        <v>1090</v>
      </c>
      <c r="T364" t="s">
        <v>1540</v>
      </c>
      <c r="U364" t="s">
        <v>1092</v>
      </c>
      <c r="V364" t="s">
        <v>1093</v>
      </c>
      <c r="W364" t="s">
        <v>1088</v>
      </c>
      <c r="X364" t="s">
        <v>1094</v>
      </c>
    </row>
    <row r="365" spans="1:24" x14ac:dyDescent="0.25">
      <c r="A365" t="s">
        <v>42</v>
      </c>
      <c r="B365" t="s">
        <v>1644</v>
      </c>
      <c r="C365" t="s">
        <v>352</v>
      </c>
      <c r="D365" t="s">
        <v>446</v>
      </c>
      <c r="E365" t="s">
        <v>1051</v>
      </c>
      <c r="F365">
        <v>0</v>
      </c>
      <c r="G365" t="s">
        <v>1088</v>
      </c>
      <c r="H365" t="s">
        <v>446</v>
      </c>
      <c r="I365" t="s">
        <v>446</v>
      </c>
      <c r="J365" t="s">
        <v>1089</v>
      </c>
      <c r="K365" t="s">
        <v>446</v>
      </c>
      <c r="L365" t="s">
        <v>446</v>
      </c>
      <c r="M365" t="s">
        <v>446</v>
      </c>
      <c r="N365" t="s">
        <v>446</v>
      </c>
      <c r="O365" t="s">
        <v>446</v>
      </c>
      <c r="P365" t="s">
        <v>446</v>
      </c>
      <c r="Q365" t="b">
        <v>1</v>
      </c>
      <c r="R365" t="b">
        <v>0</v>
      </c>
      <c r="S365" t="s">
        <v>1090</v>
      </c>
      <c r="T365" t="s">
        <v>1645</v>
      </c>
      <c r="U365" t="s">
        <v>1092</v>
      </c>
      <c r="V365" t="s">
        <v>1093</v>
      </c>
      <c r="W365" t="s">
        <v>1088</v>
      </c>
      <c r="X365" t="s">
        <v>1094</v>
      </c>
    </row>
    <row r="366" spans="1:24" x14ac:dyDescent="0.25">
      <c r="A366" t="s">
        <v>42</v>
      </c>
      <c r="B366" t="s">
        <v>1646</v>
      </c>
      <c r="C366" t="s">
        <v>353</v>
      </c>
      <c r="D366" t="s">
        <v>446</v>
      </c>
      <c r="E366" t="s">
        <v>978</v>
      </c>
      <c r="F366">
        <v>0</v>
      </c>
      <c r="G366" t="s">
        <v>1088</v>
      </c>
      <c r="H366" t="s">
        <v>446</v>
      </c>
      <c r="I366" t="s">
        <v>446</v>
      </c>
      <c r="J366" t="s">
        <v>1089</v>
      </c>
      <c r="K366" t="s">
        <v>446</v>
      </c>
      <c r="L366" t="s">
        <v>446</v>
      </c>
      <c r="M366" t="s">
        <v>446</v>
      </c>
      <c r="N366" t="s">
        <v>446</v>
      </c>
      <c r="O366" t="s">
        <v>446</v>
      </c>
      <c r="P366" t="s">
        <v>446</v>
      </c>
      <c r="Q366" t="b">
        <v>1</v>
      </c>
      <c r="R366" t="b">
        <v>0</v>
      </c>
      <c r="S366" t="s">
        <v>1090</v>
      </c>
      <c r="T366" t="s">
        <v>1159</v>
      </c>
      <c r="U366" t="s">
        <v>1092</v>
      </c>
      <c r="V366" t="s">
        <v>1093</v>
      </c>
      <c r="W366" t="s">
        <v>1088</v>
      </c>
      <c r="X366" t="s">
        <v>1094</v>
      </c>
    </row>
    <row r="367" spans="1:24" x14ac:dyDescent="0.25">
      <c r="A367" t="s">
        <v>42</v>
      </c>
      <c r="B367" t="s">
        <v>1647</v>
      </c>
      <c r="C367" t="s">
        <v>353</v>
      </c>
      <c r="D367" t="s">
        <v>446</v>
      </c>
      <c r="E367" t="s">
        <v>986</v>
      </c>
      <c r="F367">
        <v>0</v>
      </c>
      <c r="G367" t="s">
        <v>1088</v>
      </c>
      <c r="H367" t="s">
        <v>446</v>
      </c>
      <c r="I367" t="s">
        <v>446</v>
      </c>
      <c r="J367" t="s">
        <v>1089</v>
      </c>
      <c r="K367" t="s">
        <v>446</v>
      </c>
      <c r="L367" t="s">
        <v>446</v>
      </c>
      <c r="M367" t="s">
        <v>446</v>
      </c>
      <c r="N367" t="s">
        <v>446</v>
      </c>
      <c r="O367" t="s">
        <v>446</v>
      </c>
      <c r="P367" t="s">
        <v>446</v>
      </c>
      <c r="Q367" t="b">
        <v>1</v>
      </c>
      <c r="R367" t="b">
        <v>0</v>
      </c>
      <c r="S367" t="s">
        <v>1090</v>
      </c>
      <c r="T367" t="s">
        <v>1159</v>
      </c>
      <c r="U367" t="s">
        <v>1092</v>
      </c>
      <c r="V367" t="s">
        <v>1093</v>
      </c>
      <c r="W367" t="s">
        <v>1088</v>
      </c>
      <c r="X367" t="s">
        <v>1094</v>
      </c>
    </row>
    <row r="368" spans="1:24" x14ac:dyDescent="0.25">
      <c r="A368" t="s">
        <v>42</v>
      </c>
      <c r="B368" t="s">
        <v>1648</v>
      </c>
      <c r="C368" t="s">
        <v>353</v>
      </c>
      <c r="D368" t="s">
        <v>446</v>
      </c>
      <c r="E368" t="s">
        <v>992</v>
      </c>
      <c r="F368">
        <v>0</v>
      </c>
      <c r="G368" t="s">
        <v>1088</v>
      </c>
      <c r="H368" t="s">
        <v>446</v>
      </c>
      <c r="I368" t="s">
        <v>446</v>
      </c>
      <c r="J368" t="s">
        <v>1089</v>
      </c>
      <c r="K368" t="s">
        <v>446</v>
      </c>
      <c r="L368" t="s">
        <v>446</v>
      </c>
      <c r="M368" t="s">
        <v>446</v>
      </c>
      <c r="N368" t="s">
        <v>446</v>
      </c>
      <c r="O368" t="s">
        <v>446</v>
      </c>
      <c r="P368" t="s">
        <v>446</v>
      </c>
      <c r="Q368" t="b">
        <v>1</v>
      </c>
      <c r="R368" t="b">
        <v>0</v>
      </c>
      <c r="S368" t="s">
        <v>1090</v>
      </c>
      <c r="T368" t="s">
        <v>1159</v>
      </c>
      <c r="U368" t="s">
        <v>1092</v>
      </c>
      <c r="V368" t="s">
        <v>1093</v>
      </c>
      <c r="W368" t="s">
        <v>1088</v>
      </c>
      <c r="X368" t="s">
        <v>1094</v>
      </c>
    </row>
    <row r="369" spans="1:24" x14ac:dyDescent="0.25">
      <c r="A369" t="s">
        <v>42</v>
      </c>
      <c r="B369" t="s">
        <v>1649</v>
      </c>
      <c r="C369" t="s">
        <v>353</v>
      </c>
      <c r="D369" t="s">
        <v>446</v>
      </c>
      <c r="E369" t="s">
        <v>998</v>
      </c>
      <c r="F369">
        <v>0</v>
      </c>
      <c r="G369" t="s">
        <v>1088</v>
      </c>
      <c r="H369" t="s">
        <v>446</v>
      </c>
      <c r="I369" t="s">
        <v>446</v>
      </c>
      <c r="J369" t="s">
        <v>1089</v>
      </c>
      <c r="K369" t="s">
        <v>446</v>
      </c>
      <c r="L369" t="s">
        <v>446</v>
      </c>
      <c r="M369" t="s">
        <v>446</v>
      </c>
      <c r="N369" t="s">
        <v>446</v>
      </c>
      <c r="O369" t="s">
        <v>446</v>
      </c>
      <c r="P369" t="s">
        <v>446</v>
      </c>
      <c r="Q369" t="b">
        <v>1</v>
      </c>
      <c r="R369" t="b">
        <v>0</v>
      </c>
      <c r="S369" t="s">
        <v>1090</v>
      </c>
      <c r="T369" t="s">
        <v>1159</v>
      </c>
      <c r="U369" t="s">
        <v>1092</v>
      </c>
      <c r="V369" t="s">
        <v>1093</v>
      </c>
      <c r="W369" t="s">
        <v>1088</v>
      </c>
      <c r="X369" t="s">
        <v>1094</v>
      </c>
    </row>
    <row r="370" spans="1:24" x14ac:dyDescent="0.25">
      <c r="A370" t="s">
        <v>42</v>
      </c>
      <c r="B370" t="s">
        <v>1650</v>
      </c>
      <c r="C370" t="s">
        <v>353</v>
      </c>
      <c r="D370" t="s">
        <v>446</v>
      </c>
      <c r="E370" t="s">
        <v>1006</v>
      </c>
      <c r="F370">
        <v>0</v>
      </c>
      <c r="G370" t="s">
        <v>1088</v>
      </c>
      <c r="H370" t="s">
        <v>446</v>
      </c>
      <c r="I370" t="s">
        <v>446</v>
      </c>
      <c r="J370" t="s">
        <v>1089</v>
      </c>
      <c r="K370" t="s">
        <v>446</v>
      </c>
      <c r="L370" t="s">
        <v>446</v>
      </c>
      <c r="M370" t="s">
        <v>446</v>
      </c>
      <c r="N370" t="s">
        <v>446</v>
      </c>
      <c r="O370" t="s">
        <v>446</v>
      </c>
      <c r="P370" t="s">
        <v>446</v>
      </c>
      <c r="Q370" t="b">
        <v>1</v>
      </c>
      <c r="R370" t="b">
        <v>0</v>
      </c>
      <c r="S370" t="s">
        <v>1090</v>
      </c>
      <c r="T370" t="s">
        <v>1159</v>
      </c>
      <c r="U370" t="s">
        <v>1092</v>
      </c>
      <c r="V370" t="s">
        <v>1093</v>
      </c>
      <c r="W370" t="s">
        <v>1088</v>
      </c>
      <c r="X370" t="s">
        <v>1094</v>
      </c>
    </row>
    <row r="371" spans="1:24" x14ac:dyDescent="0.25">
      <c r="A371" t="s">
        <v>42</v>
      </c>
      <c r="B371" t="s">
        <v>1651</v>
      </c>
      <c r="C371" t="s">
        <v>353</v>
      </c>
      <c r="D371" t="s">
        <v>446</v>
      </c>
      <c r="E371" t="s">
        <v>1013</v>
      </c>
      <c r="F371">
        <v>0</v>
      </c>
      <c r="G371" t="s">
        <v>1088</v>
      </c>
      <c r="H371" t="s">
        <v>446</v>
      </c>
      <c r="I371" t="s">
        <v>446</v>
      </c>
      <c r="J371" t="s">
        <v>1089</v>
      </c>
      <c r="K371" t="s">
        <v>446</v>
      </c>
      <c r="L371" t="s">
        <v>446</v>
      </c>
      <c r="M371" t="s">
        <v>446</v>
      </c>
      <c r="N371" t="s">
        <v>446</v>
      </c>
      <c r="O371" t="s">
        <v>446</v>
      </c>
      <c r="P371" t="s">
        <v>446</v>
      </c>
      <c r="Q371" t="b">
        <v>1</v>
      </c>
      <c r="R371" t="b">
        <v>0</v>
      </c>
      <c r="S371" t="s">
        <v>1090</v>
      </c>
      <c r="T371" t="s">
        <v>1159</v>
      </c>
      <c r="U371" t="s">
        <v>1092</v>
      </c>
      <c r="V371" t="s">
        <v>1093</v>
      </c>
      <c r="W371" t="s">
        <v>1088</v>
      </c>
      <c r="X371" t="s">
        <v>1094</v>
      </c>
    </row>
    <row r="372" spans="1:24" x14ac:dyDescent="0.25">
      <c r="A372" t="s">
        <v>42</v>
      </c>
      <c r="B372" t="s">
        <v>1652</v>
      </c>
      <c r="C372" t="s">
        <v>353</v>
      </c>
      <c r="D372" t="s">
        <v>446</v>
      </c>
      <c r="E372" t="s">
        <v>1018</v>
      </c>
      <c r="F372">
        <v>0</v>
      </c>
      <c r="G372" t="s">
        <v>1088</v>
      </c>
      <c r="H372" t="s">
        <v>446</v>
      </c>
      <c r="I372" t="s">
        <v>446</v>
      </c>
      <c r="J372" t="s">
        <v>1089</v>
      </c>
      <c r="K372" t="s">
        <v>446</v>
      </c>
      <c r="L372" t="s">
        <v>446</v>
      </c>
      <c r="M372" t="s">
        <v>446</v>
      </c>
      <c r="N372" t="s">
        <v>446</v>
      </c>
      <c r="O372" t="s">
        <v>446</v>
      </c>
      <c r="P372" t="s">
        <v>446</v>
      </c>
      <c r="Q372" t="b">
        <v>1</v>
      </c>
      <c r="R372" t="b">
        <v>0</v>
      </c>
      <c r="S372" t="s">
        <v>1090</v>
      </c>
      <c r="T372" t="s">
        <v>1159</v>
      </c>
      <c r="U372" t="s">
        <v>1092</v>
      </c>
      <c r="V372" t="s">
        <v>1093</v>
      </c>
      <c r="W372" t="s">
        <v>1088</v>
      </c>
      <c r="X372" t="s">
        <v>1094</v>
      </c>
    </row>
    <row r="373" spans="1:24" x14ac:dyDescent="0.25">
      <c r="A373" t="s">
        <v>42</v>
      </c>
      <c r="B373" t="s">
        <v>1653</v>
      </c>
      <c r="C373" t="s">
        <v>353</v>
      </c>
      <c r="D373" t="s">
        <v>446</v>
      </c>
      <c r="E373" t="s">
        <v>1023</v>
      </c>
      <c r="F373">
        <v>0</v>
      </c>
      <c r="G373" t="s">
        <v>1088</v>
      </c>
      <c r="H373" t="s">
        <v>446</v>
      </c>
      <c r="I373" t="s">
        <v>446</v>
      </c>
      <c r="J373" t="s">
        <v>1089</v>
      </c>
      <c r="K373" t="s">
        <v>446</v>
      </c>
      <c r="L373" t="s">
        <v>446</v>
      </c>
      <c r="M373" t="s">
        <v>446</v>
      </c>
      <c r="N373" t="s">
        <v>446</v>
      </c>
      <c r="O373" t="s">
        <v>446</v>
      </c>
      <c r="P373" t="s">
        <v>446</v>
      </c>
      <c r="Q373" t="b">
        <v>1</v>
      </c>
      <c r="R373" t="b">
        <v>0</v>
      </c>
      <c r="S373" t="s">
        <v>1090</v>
      </c>
      <c r="T373" t="s">
        <v>1159</v>
      </c>
      <c r="U373" t="s">
        <v>1092</v>
      </c>
      <c r="V373" t="s">
        <v>1093</v>
      </c>
      <c r="W373" t="s">
        <v>1088</v>
      </c>
      <c r="X373" t="s">
        <v>1094</v>
      </c>
    </row>
    <row r="374" spans="1:24" x14ac:dyDescent="0.25">
      <c r="A374" t="s">
        <v>42</v>
      </c>
      <c r="B374" t="s">
        <v>1654</v>
      </c>
      <c r="C374" t="s">
        <v>353</v>
      </c>
      <c r="D374" t="s">
        <v>446</v>
      </c>
      <c r="E374" t="s">
        <v>1029</v>
      </c>
      <c r="F374">
        <v>0</v>
      </c>
      <c r="G374" t="s">
        <v>1088</v>
      </c>
      <c r="H374" t="s">
        <v>446</v>
      </c>
      <c r="I374" t="s">
        <v>446</v>
      </c>
      <c r="J374" t="s">
        <v>1089</v>
      </c>
      <c r="K374" t="s">
        <v>446</v>
      </c>
      <c r="L374" t="s">
        <v>446</v>
      </c>
      <c r="M374" t="s">
        <v>446</v>
      </c>
      <c r="N374" t="s">
        <v>446</v>
      </c>
      <c r="O374" t="s">
        <v>446</v>
      </c>
      <c r="P374" t="s">
        <v>446</v>
      </c>
      <c r="Q374" t="b">
        <v>1</v>
      </c>
      <c r="R374" t="b">
        <v>0</v>
      </c>
      <c r="S374" t="s">
        <v>1090</v>
      </c>
      <c r="T374" t="s">
        <v>1159</v>
      </c>
      <c r="U374" t="s">
        <v>1092</v>
      </c>
      <c r="V374" t="s">
        <v>1093</v>
      </c>
      <c r="W374" t="s">
        <v>1088</v>
      </c>
      <c r="X374" t="s">
        <v>1094</v>
      </c>
    </row>
    <row r="375" spans="1:24" x14ac:dyDescent="0.25">
      <c r="A375" t="s">
        <v>42</v>
      </c>
      <c r="B375" t="s">
        <v>1655</v>
      </c>
      <c r="C375" t="s">
        <v>353</v>
      </c>
      <c r="D375" t="s">
        <v>446</v>
      </c>
      <c r="E375" t="s">
        <v>1035</v>
      </c>
      <c r="F375">
        <v>0</v>
      </c>
      <c r="G375" t="s">
        <v>1088</v>
      </c>
      <c r="H375" t="s">
        <v>446</v>
      </c>
      <c r="I375" t="s">
        <v>446</v>
      </c>
      <c r="J375" t="s">
        <v>1089</v>
      </c>
      <c r="K375" t="s">
        <v>446</v>
      </c>
      <c r="L375" t="s">
        <v>446</v>
      </c>
      <c r="M375" t="s">
        <v>446</v>
      </c>
      <c r="N375" t="s">
        <v>446</v>
      </c>
      <c r="O375" t="s">
        <v>446</v>
      </c>
      <c r="P375" t="s">
        <v>446</v>
      </c>
      <c r="Q375" t="b">
        <v>1</v>
      </c>
      <c r="R375" t="b">
        <v>0</v>
      </c>
      <c r="S375" t="s">
        <v>1090</v>
      </c>
      <c r="T375" t="s">
        <v>1159</v>
      </c>
      <c r="U375" t="s">
        <v>1092</v>
      </c>
      <c r="V375" t="s">
        <v>1093</v>
      </c>
      <c r="W375" t="s">
        <v>1088</v>
      </c>
      <c r="X375" t="s">
        <v>1094</v>
      </c>
    </row>
    <row r="376" spans="1:24" x14ac:dyDescent="0.25">
      <c r="A376" t="s">
        <v>42</v>
      </c>
      <c r="B376" t="s">
        <v>1656</v>
      </c>
      <c r="C376" t="s">
        <v>353</v>
      </c>
      <c r="D376" t="s">
        <v>446</v>
      </c>
      <c r="E376" t="s">
        <v>1040</v>
      </c>
      <c r="F376">
        <v>0</v>
      </c>
      <c r="G376" t="s">
        <v>1088</v>
      </c>
      <c r="H376" t="s">
        <v>446</v>
      </c>
      <c r="I376" t="s">
        <v>446</v>
      </c>
      <c r="J376" t="s">
        <v>1089</v>
      </c>
      <c r="K376" t="s">
        <v>446</v>
      </c>
      <c r="L376" t="s">
        <v>446</v>
      </c>
      <c r="M376" t="s">
        <v>446</v>
      </c>
      <c r="N376" t="s">
        <v>446</v>
      </c>
      <c r="O376" t="s">
        <v>446</v>
      </c>
      <c r="P376" t="s">
        <v>446</v>
      </c>
      <c r="Q376" t="b">
        <v>1</v>
      </c>
      <c r="R376" t="b">
        <v>0</v>
      </c>
      <c r="S376" t="s">
        <v>1090</v>
      </c>
      <c r="T376" t="s">
        <v>1159</v>
      </c>
      <c r="U376" t="s">
        <v>1092</v>
      </c>
      <c r="V376" t="s">
        <v>1093</v>
      </c>
      <c r="W376" t="s">
        <v>1088</v>
      </c>
      <c r="X376" t="s">
        <v>1094</v>
      </c>
    </row>
    <row r="377" spans="1:24" x14ac:dyDescent="0.25">
      <c r="A377" t="s">
        <v>42</v>
      </c>
      <c r="B377" t="s">
        <v>1657</v>
      </c>
      <c r="C377" t="s">
        <v>353</v>
      </c>
      <c r="D377" t="s">
        <v>446</v>
      </c>
      <c r="E377" t="s">
        <v>1045</v>
      </c>
      <c r="F377">
        <v>0</v>
      </c>
      <c r="G377" t="s">
        <v>1088</v>
      </c>
      <c r="H377" t="s">
        <v>446</v>
      </c>
      <c r="I377" t="s">
        <v>446</v>
      </c>
      <c r="J377" t="s">
        <v>1089</v>
      </c>
      <c r="K377" t="s">
        <v>446</v>
      </c>
      <c r="L377" t="s">
        <v>446</v>
      </c>
      <c r="M377" t="s">
        <v>446</v>
      </c>
      <c r="N377" t="s">
        <v>446</v>
      </c>
      <c r="O377" t="s">
        <v>446</v>
      </c>
      <c r="P377" t="s">
        <v>446</v>
      </c>
      <c r="Q377" t="b">
        <v>1</v>
      </c>
      <c r="R377" t="b">
        <v>0</v>
      </c>
      <c r="S377" t="s">
        <v>1090</v>
      </c>
      <c r="T377" t="s">
        <v>1159</v>
      </c>
      <c r="U377" t="s">
        <v>1092</v>
      </c>
      <c r="V377" t="s">
        <v>1093</v>
      </c>
      <c r="W377" t="s">
        <v>1088</v>
      </c>
      <c r="X377" t="s">
        <v>1094</v>
      </c>
    </row>
    <row r="378" spans="1:24" x14ac:dyDescent="0.25">
      <c r="A378" t="s">
        <v>42</v>
      </c>
      <c r="B378" t="s">
        <v>1658</v>
      </c>
      <c r="C378" t="s">
        <v>353</v>
      </c>
      <c r="D378" t="s">
        <v>446</v>
      </c>
      <c r="E378" t="s">
        <v>1051</v>
      </c>
      <c r="F378">
        <v>0</v>
      </c>
      <c r="G378" t="s">
        <v>1088</v>
      </c>
      <c r="H378" t="s">
        <v>446</v>
      </c>
      <c r="I378" t="s">
        <v>446</v>
      </c>
      <c r="J378" t="s">
        <v>1089</v>
      </c>
      <c r="K378" t="s">
        <v>446</v>
      </c>
      <c r="L378" t="s">
        <v>446</v>
      </c>
      <c r="M378" t="s">
        <v>446</v>
      </c>
      <c r="N378" t="s">
        <v>446</v>
      </c>
      <c r="O378" t="s">
        <v>446</v>
      </c>
      <c r="P378" t="s">
        <v>446</v>
      </c>
      <c r="Q378" t="b">
        <v>1</v>
      </c>
      <c r="R378" t="b">
        <v>0</v>
      </c>
      <c r="S378" t="s">
        <v>1090</v>
      </c>
      <c r="T378" t="s">
        <v>1159</v>
      </c>
      <c r="U378" t="s">
        <v>1092</v>
      </c>
      <c r="V378" t="s">
        <v>1093</v>
      </c>
      <c r="W378" t="s">
        <v>1088</v>
      </c>
      <c r="X378" t="s">
        <v>1094</v>
      </c>
    </row>
    <row r="379" spans="1:24" x14ac:dyDescent="0.25">
      <c r="A379" t="s">
        <v>42</v>
      </c>
      <c r="B379" t="s">
        <v>1659</v>
      </c>
      <c r="C379" t="s">
        <v>354</v>
      </c>
      <c r="D379" t="s">
        <v>446</v>
      </c>
      <c r="E379" t="s">
        <v>978</v>
      </c>
      <c r="F379">
        <v>0</v>
      </c>
      <c r="G379" t="s">
        <v>1088</v>
      </c>
      <c r="H379" t="s">
        <v>446</v>
      </c>
      <c r="I379" t="s">
        <v>446</v>
      </c>
      <c r="J379" t="s">
        <v>1089</v>
      </c>
      <c r="K379" t="s">
        <v>446</v>
      </c>
      <c r="L379" t="s">
        <v>446</v>
      </c>
      <c r="M379" t="s">
        <v>446</v>
      </c>
      <c r="N379" t="s">
        <v>446</v>
      </c>
      <c r="O379" t="s">
        <v>446</v>
      </c>
      <c r="P379" t="s">
        <v>446</v>
      </c>
      <c r="Q379" t="b">
        <v>1</v>
      </c>
      <c r="R379" t="b">
        <v>0</v>
      </c>
      <c r="S379" t="s">
        <v>1090</v>
      </c>
      <c r="T379" t="s">
        <v>1660</v>
      </c>
      <c r="U379" t="s">
        <v>1092</v>
      </c>
      <c r="V379" t="s">
        <v>1093</v>
      </c>
      <c r="W379" t="s">
        <v>1088</v>
      </c>
      <c r="X379" t="s">
        <v>1094</v>
      </c>
    </row>
    <row r="380" spans="1:24" x14ac:dyDescent="0.25">
      <c r="A380" t="s">
        <v>42</v>
      </c>
      <c r="B380" t="s">
        <v>1661</v>
      </c>
      <c r="C380" t="s">
        <v>354</v>
      </c>
      <c r="D380" t="s">
        <v>446</v>
      </c>
      <c r="E380" t="s">
        <v>986</v>
      </c>
      <c r="F380">
        <v>0</v>
      </c>
      <c r="G380" t="s">
        <v>1088</v>
      </c>
      <c r="H380" t="s">
        <v>446</v>
      </c>
      <c r="I380" t="s">
        <v>446</v>
      </c>
      <c r="J380" t="s">
        <v>1089</v>
      </c>
      <c r="K380" t="s">
        <v>446</v>
      </c>
      <c r="L380" t="s">
        <v>446</v>
      </c>
      <c r="M380" t="s">
        <v>446</v>
      </c>
      <c r="N380" t="s">
        <v>446</v>
      </c>
      <c r="O380" t="s">
        <v>446</v>
      </c>
      <c r="P380" t="s">
        <v>446</v>
      </c>
      <c r="Q380" t="b">
        <v>1</v>
      </c>
      <c r="R380" t="b">
        <v>0</v>
      </c>
      <c r="S380" t="s">
        <v>1090</v>
      </c>
      <c r="T380" t="s">
        <v>1662</v>
      </c>
      <c r="U380" t="s">
        <v>1092</v>
      </c>
      <c r="V380" t="s">
        <v>1093</v>
      </c>
      <c r="W380" t="s">
        <v>1088</v>
      </c>
      <c r="X380" t="s">
        <v>1094</v>
      </c>
    </row>
    <row r="381" spans="1:24" x14ac:dyDescent="0.25">
      <c r="A381" t="s">
        <v>42</v>
      </c>
      <c r="B381" t="s">
        <v>1663</v>
      </c>
      <c r="C381" t="s">
        <v>354</v>
      </c>
      <c r="D381" t="s">
        <v>446</v>
      </c>
      <c r="E381" t="s">
        <v>992</v>
      </c>
      <c r="F381">
        <v>0</v>
      </c>
      <c r="G381" t="s">
        <v>1088</v>
      </c>
      <c r="H381" t="s">
        <v>446</v>
      </c>
      <c r="I381" t="s">
        <v>446</v>
      </c>
      <c r="J381" t="s">
        <v>1089</v>
      </c>
      <c r="K381" t="s">
        <v>446</v>
      </c>
      <c r="L381" t="s">
        <v>446</v>
      </c>
      <c r="M381" t="s">
        <v>446</v>
      </c>
      <c r="N381" t="s">
        <v>446</v>
      </c>
      <c r="O381" t="s">
        <v>446</v>
      </c>
      <c r="P381" t="s">
        <v>446</v>
      </c>
      <c r="Q381" t="b">
        <v>1</v>
      </c>
      <c r="R381" t="b">
        <v>0</v>
      </c>
      <c r="S381" t="s">
        <v>1090</v>
      </c>
      <c r="T381" t="s">
        <v>1664</v>
      </c>
      <c r="U381" t="s">
        <v>1092</v>
      </c>
      <c r="V381" t="s">
        <v>1093</v>
      </c>
      <c r="W381" t="s">
        <v>1088</v>
      </c>
      <c r="X381" t="s">
        <v>1094</v>
      </c>
    </row>
    <row r="382" spans="1:24" x14ac:dyDescent="0.25">
      <c r="A382" t="s">
        <v>42</v>
      </c>
      <c r="B382" t="s">
        <v>1665</v>
      </c>
      <c r="C382" t="s">
        <v>354</v>
      </c>
      <c r="D382" t="s">
        <v>446</v>
      </c>
      <c r="E382" t="s">
        <v>998</v>
      </c>
      <c r="F382">
        <v>0</v>
      </c>
      <c r="G382" t="s">
        <v>1088</v>
      </c>
      <c r="H382" t="s">
        <v>446</v>
      </c>
      <c r="I382" t="s">
        <v>446</v>
      </c>
      <c r="J382" t="s">
        <v>1089</v>
      </c>
      <c r="K382" t="s">
        <v>446</v>
      </c>
      <c r="L382" t="s">
        <v>446</v>
      </c>
      <c r="M382" t="s">
        <v>446</v>
      </c>
      <c r="N382" t="s">
        <v>446</v>
      </c>
      <c r="O382" t="s">
        <v>446</v>
      </c>
      <c r="P382" t="s">
        <v>446</v>
      </c>
      <c r="Q382" t="b">
        <v>1</v>
      </c>
      <c r="R382" t="b">
        <v>0</v>
      </c>
      <c r="S382" t="s">
        <v>1090</v>
      </c>
      <c r="T382" t="s">
        <v>1279</v>
      </c>
      <c r="U382" t="s">
        <v>1092</v>
      </c>
      <c r="V382" t="s">
        <v>1093</v>
      </c>
      <c r="W382" t="s">
        <v>1088</v>
      </c>
      <c r="X382" t="s">
        <v>1094</v>
      </c>
    </row>
    <row r="383" spans="1:24" x14ac:dyDescent="0.25">
      <c r="A383" t="s">
        <v>42</v>
      </c>
      <c r="B383" t="s">
        <v>1666</v>
      </c>
      <c r="C383" t="s">
        <v>354</v>
      </c>
      <c r="D383" t="s">
        <v>446</v>
      </c>
      <c r="E383" t="s">
        <v>1006</v>
      </c>
      <c r="F383">
        <v>0</v>
      </c>
      <c r="G383" t="s">
        <v>1088</v>
      </c>
      <c r="H383" t="s">
        <v>446</v>
      </c>
      <c r="I383" t="s">
        <v>446</v>
      </c>
      <c r="J383" t="s">
        <v>1089</v>
      </c>
      <c r="K383" t="s">
        <v>446</v>
      </c>
      <c r="L383" t="s">
        <v>446</v>
      </c>
      <c r="M383" t="s">
        <v>446</v>
      </c>
      <c r="N383" t="s">
        <v>446</v>
      </c>
      <c r="O383" t="s">
        <v>446</v>
      </c>
      <c r="P383" t="s">
        <v>446</v>
      </c>
      <c r="Q383" t="b">
        <v>1</v>
      </c>
      <c r="R383" t="b">
        <v>0</v>
      </c>
      <c r="S383" t="s">
        <v>1090</v>
      </c>
      <c r="T383" t="s">
        <v>1667</v>
      </c>
      <c r="U383" t="s">
        <v>1092</v>
      </c>
      <c r="V383" t="s">
        <v>1093</v>
      </c>
      <c r="W383" t="s">
        <v>1088</v>
      </c>
      <c r="X383" t="s">
        <v>1094</v>
      </c>
    </row>
    <row r="384" spans="1:24" x14ac:dyDescent="0.25">
      <c r="A384" t="s">
        <v>42</v>
      </c>
      <c r="B384" t="s">
        <v>1668</v>
      </c>
      <c r="C384" t="s">
        <v>354</v>
      </c>
      <c r="D384" t="s">
        <v>446</v>
      </c>
      <c r="E384" t="s">
        <v>1013</v>
      </c>
      <c r="F384">
        <v>0</v>
      </c>
      <c r="G384" t="s">
        <v>1088</v>
      </c>
      <c r="H384" t="s">
        <v>446</v>
      </c>
      <c r="I384" t="s">
        <v>446</v>
      </c>
      <c r="J384" t="s">
        <v>1089</v>
      </c>
      <c r="K384" t="s">
        <v>446</v>
      </c>
      <c r="L384" t="s">
        <v>446</v>
      </c>
      <c r="M384" t="s">
        <v>446</v>
      </c>
      <c r="N384" t="s">
        <v>446</v>
      </c>
      <c r="O384" t="s">
        <v>446</v>
      </c>
      <c r="P384" t="s">
        <v>446</v>
      </c>
      <c r="Q384" t="b">
        <v>1</v>
      </c>
      <c r="R384" t="b">
        <v>0</v>
      </c>
      <c r="S384" t="s">
        <v>1090</v>
      </c>
      <c r="T384" t="s">
        <v>1669</v>
      </c>
      <c r="U384" t="s">
        <v>1092</v>
      </c>
      <c r="V384" t="s">
        <v>1093</v>
      </c>
      <c r="W384" t="s">
        <v>1088</v>
      </c>
      <c r="X384" t="s">
        <v>1094</v>
      </c>
    </row>
    <row r="385" spans="1:24" x14ac:dyDescent="0.25">
      <c r="A385" t="s">
        <v>42</v>
      </c>
      <c r="B385" t="s">
        <v>1670</v>
      </c>
      <c r="C385" t="s">
        <v>354</v>
      </c>
      <c r="D385" t="s">
        <v>446</v>
      </c>
      <c r="E385" t="s">
        <v>1018</v>
      </c>
      <c r="F385">
        <v>0</v>
      </c>
      <c r="G385" t="s">
        <v>1088</v>
      </c>
      <c r="H385" t="s">
        <v>446</v>
      </c>
      <c r="I385" t="s">
        <v>446</v>
      </c>
      <c r="J385" t="s">
        <v>1089</v>
      </c>
      <c r="K385" t="s">
        <v>446</v>
      </c>
      <c r="L385" t="s">
        <v>446</v>
      </c>
      <c r="M385" t="s">
        <v>446</v>
      </c>
      <c r="N385" t="s">
        <v>446</v>
      </c>
      <c r="O385" t="s">
        <v>446</v>
      </c>
      <c r="P385" t="s">
        <v>446</v>
      </c>
      <c r="Q385" t="b">
        <v>1</v>
      </c>
      <c r="R385" t="b">
        <v>0</v>
      </c>
      <c r="S385" t="s">
        <v>1090</v>
      </c>
      <c r="T385" t="s">
        <v>1671</v>
      </c>
      <c r="U385" t="s">
        <v>1092</v>
      </c>
      <c r="V385" t="s">
        <v>1093</v>
      </c>
      <c r="W385" t="s">
        <v>1088</v>
      </c>
      <c r="X385" t="s">
        <v>1094</v>
      </c>
    </row>
    <row r="386" spans="1:24" x14ac:dyDescent="0.25">
      <c r="A386" t="s">
        <v>42</v>
      </c>
      <c r="B386" t="s">
        <v>1672</v>
      </c>
      <c r="C386" t="s">
        <v>354</v>
      </c>
      <c r="D386" t="s">
        <v>446</v>
      </c>
      <c r="E386" t="s">
        <v>1023</v>
      </c>
      <c r="F386">
        <v>0</v>
      </c>
      <c r="G386" t="s">
        <v>1088</v>
      </c>
      <c r="H386" t="s">
        <v>446</v>
      </c>
      <c r="I386" t="s">
        <v>446</v>
      </c>
      <c r="J386" t="s">
        <v>1089</v>
      </c>
      <c r="K386" t="s">
        <v>446</v>
      </c>
      <c r="L386" t="s">
        <v>446</v>
      </c>
      <c r="M386" t="s">
        <v>446</v>
      </c>
      <c r="N386" t="s">
        <v>446</v>
      </c>
      <c r="O386" t="s">
        <v>446</v>
      </c>
      <c r="P386" t="s">
        <v>446</v>
      </c>
      <c r="Q386" t="b">
        <v>1</v>
      </c>
      <c r="R386" t="b">
        <v>0</v>
      </c>
      <c r="S386" t="s">
        <v>1090</v>
      </c>
      <c r="T386" t="s">
        <v>1673</v>
      </c>
      <c r="U386" t="s">
        <v>1092</v>
      </c>
      <c r="V386" t="s">
        <v>1093</v>
      </c>
      <c r="W386" t="s">
        <v>1088</v>
      </c>
      <c r="X386" t="s">
        <v>1094</v>
      </c>
    </row>
    <row r="387" spans="1:24" x14ac:dyDescent="0.25">
      <c r="A387" t="s">
        <v>42</v>
      </c>
      <c r="B387" t="s">
        <v>1674</v>
      </c>
      <c r="C387" t="s">
        <v>354</v>
      </c>
      <c r="D387" t="s">
        <v>446</v>
      </c>
      <c r="E387" t="s">
        <v>1029</v>
      </c>
      <c r="F387">
        <v>0</v>
      </c>
      <c r="G387" t="s">
        <v>1088</v>
      </c>
      <c r="H387" t="s">
        <v>446</v>
      </c>
      <c r="I387" t="s">
        <v>446</v>
      </c>
      <c r="J387" t="s">
        <v>1089</v>
      </c>
      <c r="K387" t="s">
        <v>446</v>
      </c>
      <c r="L387" t="s">
        <v>446</v>
      </c>
      <c r="M387" t="s">
        <v>446</v>
      </c>
      <c r="N387" t="s">
        <v>446</v>
      </c>
      <c r="O387" t="s">
        <v>446</v>
      </c>
      <c r="P387" t="s">
        <v>446</v>
      </c>
      <c r="Q387" t="b">
        <v>1</v>
      </c>
      <c r="R387" t="b">
        <v>0</v>
      </c>
      <c r="S387" t="s">
        <v>1090</v>
      </c>
      <c r="T387" t="s">
        <v>1675</v>
      </c>
      <c r="U387" t="s">
        <v>1092</v>
      </c>
      <c r="V387" t="s">
        <v>1093</v>
      </c>
      <c r="W387" t="s">
        <v>1088</v>
      </c>
      <c r="X387" t="s">
        <v>1094</v>
      </c>
    </row>
    <row r="388" spans="1:24" x14ac:dyDescent="0.25">
      <c r="A388" t="s">
        <v>42</v>
      </c>
      <c r="B388" t="s">
        <v>1676</v>
      </c>
      <c r="C388" t="s">
        <v>354</v>
      </c>
      <c r="D388" t="s">
        <v>446</v>
      </c>
      <c r="E388" t="s">
        <v>1035</v>
      </c>
      <c r="F388">
        <v>0</v>
      </c>
      <c r="G388" t="s">
        <v>1088</v>
      </c>
      <c r="H388" t="s">
        <v>446</v>
      </c>
      <c r="I388" t="s">
        <v>446</v>
      </c>
      <c r="J388" t="s">
        <v>1089</v>
      </c>
      <c r="K388" t="s">
        <v>446</v>
      </c>
      <c r="L388" t="s">
        <v>446</v>
      </c>
      <c r="M388" t="s">
        <v>446</v>
      </c>
      <c r="N388" t="s">
        <v>446</v>
      </c>
      <c r="O388" t="s">
        <v>446</v>
      </c>
      <c r="P388" t="s">
        <v>446</v>
      </c>
      <c r="Q388" t="b">
        <v>1</v>
      </c>
      <c r="R388" t="b">
        <v>0</v>
      </c>
      <c r="S388" t="s">
        <v>1090</v>
      </c>
      <c r="T388" t="s">
        <v>1677</v>
      </c>
      <c r="U388" t="s">
        <v>1092</v>
      </c>
      <c r="V388" t="s">
        <v>1093</v>
      </c>
      <c r="W388" t="s">
        <v>1088</v>
      </c>
      <c r="X388" t="s">
        <v>1094</v>
      </c>
    </row>
    <row r="389" spans="1:24" x14ac:dyDescent="0.25">
      <c r="A389" t="s">
        <v>42</v>
      </c>
      <c r="B389" t="s">
        <v>1678</v>
      </c>
      <c r="C389" t="s">
        <v>354</v>
      </c>
      <c r="D389" t="s">
        <v>446</v>
      </c>
      <c r="E389" t="s">
        <v>1040</v>
      </c>
      <c r="F389">
        <v>0</v>
      </c>
      <c r="G389" t="s">
        <v>1088</v>
      </c>
      <c r="H389" t="s">
        <v>446</v>
      </c>
      <c r="I389" t="s">
        <v>446</v>
      </c>
      <c r="J389" t="s">
        <v>1089</v>
      </c>
      <c r="K389" t="s">
        <v>446</v>
      </c>
      <c r="L389" t="s">
        <v>446</v>
      </c>
      <c r="M389" t="s">
        <v>446</v>
      </c>
      <c r="N389" t="s">
        <v>446</v>
      </c>
      <c r="O389" t="s">
        <v>446</v>
      </c>
      <c r="P389" t="s">
        <v>446</v>
      </c>
      <c r="Q389" t="b">
        <v>1</v>
      </c>
      <c r="R389" t="b">
        <v>0</v>
      </c>
      <c r="S389" t="s">
        <v>1090</v>
      </c>
      <c r="T389" t="s">
        <v>1679</v>
      </c>
      <c r="U389" t="s">
        <v>1092</v>
      </c>
      <c r="V389" t="s">
        <v>1093</v>
      </c>
      <c r="W389" t="s">
        <v>1088</v>
      </c>
      <c r="X389" t="s">
        <v>1094</v>
      </c>
    </row>
    <row r="390" spans="1:24" x14ac:dyDescent="0.25">
      <c r="A390" t="s">
        <v>42</v>
      </c>
      <c r="B390" t="s">
        <v>1680</v>
      </c>
      <c r="C390" t="s">
        <v>354</v>
      </c>
      <c r="D390" t="s">
        <v>446</v>
      </c>
      <c r="E390" t="s">
        <v>1045</v>
      </c>
      <c r="F390">
        <v>0</v>
      </c>
      <c r="G390" t="s">
        <v>1088</v>
      </c>
      <c r="H390" t="s">
        <v>446</v>
      </c>
      <c r="I390" t="s">
        <v>446</v>
      </c>
      <c r="J390" t="s">
        <v>1089</v>
      </c>
      <c r="K390" t="s">
        <v>446</v>
      </c>
      <c r="L390" t="s">
        <v>446</v>
      </c>
      <c r="M390" t="s">
        <v>446</v>
      </c>
      <c r="N390" t="s">
        <v>446</v>
      </c>
      <c r="O390" t="s">
        <v>446</v>
      </c>
      <c r="P390" t="s">
        <v>446</v>
      </c>
      <c r="Q390" t="b">
        <v>1</v>
      </c>
      <c r="R390" t="b">
        <v>0</v>
      </c>
      <c r="S390" t="s">
        <v>1090</v>
      </c>
      <c r="T390" t="s">
        <v>1673</v>
      </c>
      <c r="U390" t="s">
        <v>1092</v>
      </c>
      <c r="V390" t="s">
        <v>1093</v>
      </c>
      <c r="W390" t="s">
        <v>1088</v>
      </c>
      <c r="X390" t="s">
        <v>1094</v>
      </c>
    </row>
    <row r="391" spans="1:24" x14ac:dyDescent="0.25">
      <c r="A391" t="s">
        <v>42</v>
      </c>
      <c r="B391" t="s">
        <v>1681</v>
      </c>
      <c r="C391" t="s">
        <v>354</v>
      </c>
      <c r="D391" t="s">
        <v>446</v>
      </c>
      <c r="E391" t="s">
        <v>1051</v>
      </c>
      <c r="F391">
        <v>0</v>
      </c>
      <c r="G391" t="s">
        <v>1088</v>
      </c>
      <c r="H391" t="s">
        <v>446</v>
      </c>
      <c r="I391" t="s">
        <v>446</v>
      </c>
      <c r="J391" t="s">
        <v>1089</v>
      </c>
      <c r="K391" t="s">
        <v>446</v>
      </c>
      <c r="L391" t="s">
        <v>446</v>
      </c>
      <c r="M391" t="s">
        <v>446</v>
      </c>
      <c r="N391" t="s">
        <v>446</v>
      </c>
      <c r="O391" t="s">
        <v>446</v>
      </c>
      <c r="P391" t="s">
        <v>446</v>
      </c>
      <c r="Q391" t="b">
        <v>1</v>
      </c>
      <c r="R391" t="b">
        <v>0</v>
      </c>
      <c r="S391" t="s">
        <v>1090</v>
      </c>
      <c r="T391" t="s">
        <v>1682</v>
      </c>
      <c r="U391" t="s">
        <v>1092</v>
      </c>
      <c r="V391" t="s">
        <v>1093</v>
      </c>
      <c r="W391" t="s">
        <v>1088</v>
      </c>
      <c r="X391" t="s">
        <v>1094</v>
      </c>
    </row>
    <row r="392" spans="1:24" x14ac:dyDescent="0.25">
      <c r="A392" t="s">
        <v>42</v>
      </c>
      <c r="B392" t="s">
        <v>1683</v>
      </c>
      <c r="C392" t="s">
        <v>356</v>
      </c>
      <c r="D392" t="s">
        <v>446</v>
      </c>
      <c r="E392" t="s">
        <v>978</v>
      </c>
      <c r="F392">
        <v>0</v>
      </c>
      <c r="G392" t="s">
        <v>1088</v>
      </c>
      <c r="H392" t="s">
        <v>446</v>
      </c>
      <c r="I392" t="s">
        <v>446</v>
      </c>
      <c r="J392" t="s">
        <v>1089</v>
      </c>
      <c r="K392" t="s">
        <v>446</v>
      </c>
      <c r="L392" t="s">
        <v>446</v>
      </c>
      <c r="M392" t="s">
        <v>446</v>
      </c>
      <c r="N392" t="s">
        <v>446</v>
      </c>
      <c r="O392" t="s">
        <v>446</v>
      </c>
      <c r="P392" t="s">
        <v>446</v>
      </c>
      <c r="Q392" t="b">
        <v>1</v>
      </c>
      <c r="R392" t="b">
        <v>0</v>
      </c>
      <c r="S392" t="s">
        <v>1090</v>
      </c>
      <c r="T392" t="s">
        <v>1159</v>
      </c>
      <c r="U392" t="s">
        <v>1092</v>
      </c>
      <c r="V392" t="s">
        <v>1093</v>
      </c>
      <c r="W392" t="s">
        <v>1088</v>
      </c>
      <c r="X392" t="s">
        <v>1094</v>
      </c>
    </row>
    <row r="393" spans="1:24" x14ac:dyDescent="0.25">
      <c r="A393" t="s">
        <v>42</v>
      </c>
      <c r="B393" t="s">
        <v>1684</v>
      </c>
      <c r="C393" t="s">
        <v>356</v>
      </c>
      <c r="D393" t="s">
        <v>446</v>
      </c>
      <c r="E393" t="s">
        <v>986</v>
      </c>
      <c r="F393">
        <v>0</v>
      </c>
      <c r="G393" t="s">
        <v>1088</v>
      </c>
      <c r="H393" t="s">
        <v>446</v>
      </c>
      <c r="I393" t="s">
        <v>446</v>
      </c>
      <c r="J393" t="s">
        <v>1089</v>
      </c>
      <c r="K393" t="s">
        <v>446</v>
      </c>
      <c r="L393" t="s">
        <v>446</v>
      </c>
      <c r="M393" t="s">
        <v>446</v>
      </c>
      <c r="N393" t="s">
        <v>446</v>
      </c>
      <c r="O393" t="s">
        <v>446</v>
      </c>
      <c r="P393" t="s">
        <v>446</v>
      </c>
      <c r="Q393" t="b">
        <v>1</v>
      </c>
      <c r="R393" t="b">
        <v>0</v>
      </c>
      <c r="S393" t="s">
        <v>1090</v>
      </c>
      <c r="T393" t="s">
        <v>1159</v>
      </c>
      <c r="U393" t="s">
        <v>1092</v>
      </c>
      <c r="V393" t="s">
        <v>1093</v>
      </c>
      <c r="W393" t="s">
        <v>1088</v>
      </c>
      <c r="X393" t="s">
        <v>1094</v>
      </c>
    </row>
    <row r="394" spans="1:24" x14ac:dyDescent="0.25">
      <c r="A394" t="s">
        <v>42</v>
      </c>
      <c r="B394" t="s">
        <v>1685</v>
      </c>
      <c r="C394" t="s">
        <v>356</v>
      </c>
      <c r="D394" t="s">
        <v>446</v>
      </c>
      <c r="E394" t="s">
        <v>992</v>
      </c>
      <c r="F394">
        <v>0</v>
      </c>
      <c r="G394" t="s">
        <v>1088</v>
      </c>
      <c r="H394" t="s">
        <v>446</v>
      </c>
      <c r="I394" t="s">
        <v>446</v>
      </c>
      <c r="J394" t="s">
        <v>1089</v>
      </c>
      <c r="K394" t="s">
        <v>446</v>
      </c>
      <c r="L394" t="s">
        <v>446</v>
      </c>
      <c r="M394" t="s">
        <v>446</v>
      </c>
      <c r="N394" t="s">
        <v>446</v>
      </c>
      <c r="O394" t="s">
        <v>446</v>
      </c>
      <c r="P394" t="s">
        <v>446</v>
      </c>
      <c r="Q394" t="b">
        <v>1</v>
      </c>
      <c r="R394" t="b">
        <v>0</v>
      </c>
      <c r="S394" t="s">
        <v>1090</v>
      </c>
      <c r="T394" t="s">
        <v>1159</v>
      </c>
      <c r="U394" t="s">
        <v>1092</v>
      </c>
      <c r="V394" t="s">
        <v>1093</v>
      </c>
      <c r="W394" t="s">
        <v>1088</v>
      </c>
      <c r="X394" t="s">
        <v>1094</v>
      </c>
    </row>
    <row r="395" spans="1:24" x14ac:dyDescent="0.25">
      <c r="A395" t="s">
        <v>42</v>
      </c>
      <c r="B395" t="s">
        <v>1686</v>
      </c>
      <c r="C395" t="s">
        <v>356</v>
      </c>
      <c r="D395" t="s">
        <v>446</v>
      </c>
      <c r="E395" t="s">
        <v>998</v>
      </c>
      <c r="F395">
        <v>0</v>
      </c>
      <c r="G395" t="s">
        <v>1088</v>
      </c>
      <c r="H395" t="s">
        <v>446</v>
      </c>
      <c r="I395" t="s">
        <v>446</v>
      </c>
      <c r="J395" t="s">
        <v>1089</v>
      </c>
      <c r="K395" t="s">
        <v>446</v>
      </c>
      <c r="L395" t="s">
        <v>446</v>
      </c>
      <c r="M395" t="s">
        <v>446</v>
      </c>
      <c r="N395" t="s">
        <v>446</v>
      </c>
      <c r="O395" t="s">
        <v>446</v>
      </c>
      <c r="P395" t="s">
        <v>446</v>
      </c>
      <c r="Q395" t="b">
        <v>1</v>
      </c>
      <c r="R395" t="b">
        <v>0</v>
      </c>
      <c r="S395" t="s">
        <v>1090</v>
      </c>
      <c r="T395" t="s">
        <v>1159</v>
      </c>
      <c r="U395" t="s">
        <v>1092</v>
      </c>
      <c r="V395" t="s">
        <v>1093</v>
      </c>
      <c r="W395" t="s">
        <v>1088</v>
      </c>
      <c r="X395" t="s">
        <v>1094</v>
      </c>
    </row>
    <row r="396" spans="1:24" x14ac:dyDescent="0.25">
      <c r="A396" t="s">
        <v>42</v>
      </c>
      <c r="B396" t="s">
        <v>1687</v>
      </c>
      <c r="C396" t="s">
        <v>356</v>
      </c>
      <c r="D396" t="s">
        <v>446</v>
      </c>
      <c r="E396" t="s">
        <v>1006</v>
      </c>
      <c r="F396">
        <v>0</v>
      </c>
      <c r="G396" t="s">
        <v>1088</v>
      </c>
      <c r="H396" t="s">
        <v>446</v>
      </c>
      <c r="I396" t="s">
        <v>446</v>
      </c>
      <c r="J396" t="s">
        <v>1089</v>
      </c>
      <c r="K396" t="s">
        <v>446</v>
      </c>
      <c r="L396" t="s">
        <v>446</v>
      </c>
      <c r="M396" t="s">
        <v>446</v>
      </c>
      <c r="N396" t="s">
        <v>446</v>
      </c>
      <c r="O396" t="s">
        <v>446</v>
      </c>
      <c r="P396" t="s">
        <v>446</v>
      </c>
      <c r="Q396" t="b">
        <v>1</v>
      </c>
      <c r="R396" t="b">
        <v>0</v>
      </c>
      <c r="S396" t="s">
        <v>1090</v>
      </c>
      <c r="T396" t="s">
        <v>1159</v>
      </c>
      <c r="U396" t="s">
        <v>1092</v>
      </c>
      <c r="V396" t="s">
        <v>1093</v>
      </c>
      <c r="W396" t="s">
        <v>1088</v>
      </c>
      <c r="X396" t="s">
        <v>1094</v>
      </c>
    </row>
    <row r="397" spans="1:24" x14ac:dyDescent="0.25">
      <c r="A397" t="s">
        <v>42</v>
      </c>
      <c r="B397" t="s">
        <v>1688</v>
      </c>
      <c r="C397" t="s">
        <v>356</v>
      </c>
      <c r="D397" t="s">
        <v>446</v>
      </c>
      <c r="E397" t="s">
        <v>1013</v>
      </c>
      <c r="F397">
        <v>0</v>
      </c>
      <c r="G397" t="s">
        <v>1088</v>
      </c>
      <c r="H397" t="s">
        <v>446</v>
      </c>
      <c r="I397" t="s">
        <v>446</v>
      </c>
      <c r="J397" t="s">
        <v>1089</v>
      </c>
      <c r="K397" t="s">
        <v>446</v>
      </c>
      <c r="L397" t="s">
        <v>446</v>
      </c>
      <c r="M397" t="s">
        <v>446</v>
      </c>
      <c r="N397" t="s">
        <v>446</v>
      </c>
      <c r="O397" t="s">
        <v>446</v>
      </c>
      <c r="P397" t="s">
        <v>446</v>
      </c>
      <c r="Q397" t="b">
        <v>1</v>
      </c>
      <c r="R397" t="b">
        <v>0</v>
      </c>
      <c r="S397" t="s">
        <v>1090</v>
      </c>
      <c r="T397" t="s">
        <v>1159</v>
      </c>
      <c r="U397" t="s">
        <v>1092</v>
      </c>
      <c r="V397" t="s">
        <v>1093</v>
      </c>
      <c r="W397" t="s">
        <v>1088</v>
      </c>
      <c r="X397" t="s">
        <v>1094</v>
      </c>
    </row>
    <row r="398" spans="1:24" x14ac:dyDescent="0.25">
      <c r="A398" t="s">
        <v>42</v>
      </c>
      <c r="B398" t="s">
        <v>1689</v>
      </c>
      <c r="C398" t="s">
        <v>356</v>
      </c>
      <c r="D398" t="s">
        <v>446</v>
      </c>
      <c r="E398" t="s">
        <v>1018</v>
      </c>
      <c r="F398">
        <v>0</v>
      </c>
      <c r="G398" t="s">
        <v>1088</v>
      </c>
      <c r="H398" t="s">
        <v>446</v>
      </c>
      <c r="I398" t="s">
        <v>446</v>
      </c>
      <c r="J398" t="s">
        <v>1089</v>
      </c>
      <c r="K398" t="s">
        <v>446</v>
      </c>
      <c r="L398" t="s">
        <v>446</v>
      </c>
      <c r="M398" t="s">
        <v>446</v>
      </c>
      <c r="N398" t="s">
        <v>446</v>
      </c>
      <c r="O398" t="s">
        <v>446</v>
      </c>
      <c r="P398" t="s">
        <v>446</v>
      </c>
      <c r="Q398" t="b">
        <v>1</v>
      </c>
      <c r="R398" t="b">
        <v>0</v>
      </c>
      <c r="S398" t="s">
        <v>1090</v>
      </c>
      <c r="T398" t="s">
        <v>1159</v>
      </c>
      <c r="U398" t="s">
        <v>1092</v>
      </c>
      <c r="V398" t="s">
        <v>1093</v>
      </c>
      <c r="W398" t="s">
        <v>1088</v>
      </c>
      <c r="X398" t="s">
        <v>1094</v>
      </c>
    </row>
    <row r="399" spans="1:24" x14ac:dyDescent="0.25">
      <c r="A399" t="s">
        <v>42</v>
      </c>
      <c r="B399" t="s">
        <v>1690</v>
      </c>
      <c r="C399" t="s">
        <v>356</v>
      </c>
      <c r="D399" t="s">
        <v>446</v>
      </c>
      <c r="E399" t="s">
        <v>1023</v>
      </c>
      <c r="F399">
        <v>0</v>
      </c>
      <c r="G399" t="s">
        <v>1088</v>
      </c>
      <c r="H399" t="s">
        <v>446</v>
      </c>
      <c r="I399" t="s">
        <v>446</v>
      </c>
      <c r="J399" t="s">
        <v>1089</v>
      </c>
      <c r="K399" t="s">
        <v>446</v>
      </c>
      <c r="L399" t="s">
        <v>446</v>
      </c>
      <c r="M399" t="s">
        <v>446</v>
      </c>
      <c r="N399" t="s">
        <v>446</v>
      </c>
      <c r="O399" t="s">
        <v>446</v>
      </c>
      <c r="P399" t="s">
        <v>446</v>
      </c>
      <c r="Q399" t="b">
        <v>1</v>
      </c>
      <c r="R399" t="b">
        <v>0</v>
      </c>
      <c r="S399" t="s">
        <v>1090</v>
      </c>
      <c r="T399" t="s">
        <v>1159</v>
      </c>
      <c r="U399" t="s">
        <v>1092</v>
      </c>
      <c r="V399" t="s">
        <v>1093</v>
      </c>
      <c r="W399" t="s">
        <v>1088</v>
      </c>
      <c r="X399" t="s">
        <v>1094</v>
      </c>
    </row>
    <row r="400" spans="1:24" x14ac:dyDescent="0.25">
      <c r="A400" t="s">
        <v>42</v>
      </c>
      <c r="B400" t="s">
        <v>1691</v>
      </c>
      <c r="C400" t="s">
        <v>356</v>
      </c>
      <c r="D400" t="s">
        <v>446</v>
      </c>
      <c r="E400" t="s">
        <v>1029</v>
      </c>
      <c r="F400">
        <v>0</v>
      </c>
      <c r="G400" t="s">
        <v>1088</v>
      </c>
      <c r="H400" t="s">
        <v>446</v>
      </c>
      <c r="I400" t="s">
        <v>446</v>
      </c>
      <c r="J400" t="s">
        <v>1089</v>
      </c>
      <c r="K400" t="s">
        <v>446</v>
      </c>
      <c r="L400" t="s">
        <v>446</v>
      </c>
      <c r="M400" t="s">
        <v>446</v>
      </c>
      <c r="N400" t="s">
        <v>446</v>
      </c>
      <c r="O400" t="s">
        <v>446</v>
      </c>
      <c r="P400" t="s">
        <v>446</v>
      </c>
      <c r="Q400" t="b">
        <v>1</v>
      </c>
      <c r="R400" t="b">
        <v>0</v>
      </c>
      <c r="S400" t="s">
        <v>1090</v>
      </c>
      <c r="T400" t="s">
        <v>1159</v>
      </c>
      <c r="U400" t="s">
        <v>1092</v>
      </c>
      <c r="V400" t="s">
        <v>1093</v>
      </c>
      <c r="W400" t="s">
        <v>1088</v>
      </c>
      <c r="X400" t="s">
        <v>1094</v>
      </c>
    </row>
    <row r="401" spans="1:24" x14ac:dyDescent="0.25">
      <c r="A401" t="s">
        <v>42</v>
      </c>
      <c r="B401" t="s">
        <v>1692</v>
      </c>
      <c r="C401" t="s">
        <v>356</v>
      </c>
      <c r="D401" t="s">
        <v>446</v>
      </c>
      <c r="E401" t="s">
        <v>1035</v>
      </c>
      <c r="F401">
        <v>0</v>
      </c>
      <c r="G401" t="s">
        <v>1088</v>
      </c>
      <c r="H401" t="s">
        <v>446</v>
      </c>
      <c r="I401" t="s">
        <v>446</v>
      </c>
      <c r="J401" t="s">
        <v>1089</v>
      </c>
      <c r="K401" t="s">
        <v>446</v>
      </c>
      <c r="L401" t="s">
        <v>446</v>
      </c>
      <c r="M401" t="s">
        <v>446</v>
      </c>
      <c r="N401" t="s">
        <v>446</v>
      </c>
      <c r="O401" t="s">
        <v>446</v>
      </c>
      <c r="P401" t="s">
        <v>446</v>
      </c>
      <c r="Q401" t="b">
        <v>1</v>
      </c>
      <c r="R401" t="b">
        <v>0</v>
      </c>
      <c r="S401" t="s">
        <v>1090</v>
      </c>
      <c r="T401" t="s">
        <v>1159</v>
      </c>
      <c r="U401" t="s">
        <v>1092</v>
      </c>
      <c r="V401" t="s">
        <v>1093</v>
      </c>
      <c r="W401" t="s">
        <v>1088</v>
      </c>
      <c r="X401" t="s">
        <v>1094</v>
      </c>
    </row>
    <row r="402" spans="1:24" x14ac:dyDescent="0.25">
      <c r="A402" t="s">
        <v>42</v>
      </c>
      <c r="B402" t="s">
        <v>1693</v>
      </c>
      <c r="C402" t="s">
        <v>356</v>
      </c>
      <c r="D402" t="s">
        <v>446</v>
      </c>
      <c r="E402" t="s">
        <v>1040</v>
      </c>
      <c r="F402">
        <v>0</v>
      </c>
      <c r="G402" t="s">
        <v>1088</v>
      </c>
      <c r="H402" t="s">
        <v>446</v>
      </c>
      <c r="I402" t="s">
        <v>446</v>
      </c>
      <c r="J402" t="s">
        <v>1089</v>
      </c>
      <c r="K402" t="s">
        <v>446</v>
      </c>
      <c r="L402" t="s">
        <v>446</v>
      </c>
      <c r="M402" t="s">
        <v>446</v>
      </c>
      <c r="N402" t="s">
        <v>446</v>
      </c>
      <c r="O402" t="s">
        <v>446</v>
      </c>
      <c r="P402" t="s">
        <v>446</v>
      </c>
      <c r="Q402" t="b">
        <v>1</v>
      </c>
      <c r="R402" t="b">
        <v>0</v>
      </c>
      <c r="S402" t="s">
        <v>1090</v>
      </c>
      <c r="T402" t="s">
        <v>1159</v>
      </c>
      <c r="U402" t="s">
        <v>1092</v>
      </c>
      <c r="V402" t="s">
        <v>1093</v>
      </c>
      <c r="W402" t="s">
        <v>1088</v>
      </c>
      <c r="X402" t="s">
        <v>1094</v>
      </c>
    </row>
    <row r="403" spans="1:24" x14ac:dyDescent="0.25">
      <c r="A403" t="s">
        <v>42</v>
      </c>
      <c r="B403" t="s">
        <v>1694</v>
      </c>
      <c r="C403" t="s">
        <v>356</v>
      </c>
      <c r="D403" t="s">
        <v>446</v>
      </c>
      <c r="E403" t="s">
        <v>1045</v>
      </c>
      <c r="F403">
        <v>0</v>
      </c>
      <c r="G403" t="s">
        <v>1088</v>
      </c>
      <c r="H403" t="s">
        <v>446</v>
      </c>
      <c r="I403" t="s">
        <v>446</v>
      </c>
      <c r="J403" t="s">
        <v>1089</v>
      </c>
      <c r="K403" t="s">
        <v>446</v>
      </c>
      <c r="L403" t="s">
        <v>446</v>
      </c>
      <c r="M403" t="s">
        <v>446</v>
      </c>
      <c r="N403" t="s">
        <v>446</v>
      </c>
      <c r="O403" t="s">
        <v>446</v>
      </c>
      <c r="P403" t="s">
        <v>446</v>
      </c>
      <c r="Q403" t="b">
        <v>1</v>
      </c>
      <c r="R403" t="b">
        <v>0</v>
      </c>
      <c r="S403" t="s">
        <v>1090</v>
      </c>
      <c r="T403" t="s">
        <v>1159</v>
      </c>
      <c r="U403" t="s">
        <v>1092</v>
      </c>
      <c r="V403" t="s">
        <v>1093</v>
      </c>
      <c r="W403" t="s">
        <v>1088</v>
      </c>
      <c r="X403" t="s">
        <v>1094</v>
      </c>
    </row>
    <row r="404" spans="1:24" x14ac:dyDescent="0.25">
      <c r="A404" t="s">
        <v>42</v>
      </c>
      <c r="B404" t="s">
        <v>1695</v>
      </c>
      <c r="C404" t="s">
        <v>356</v>
      </c>
      <c r="D404" t="s">
        <v>446</v>
      </c>
      <c r="E404" t="s">
        <v>1051</v>
      </c>
      <c r="F404">
        <v>0</v>
      </c>
      <c r="G404" t="s">
        <v>1088</v>
      </c>
      <c r="H404" t="s">
        <v>446</v>
      </c>
      <c r="I404" t="s">
        <v>446</v>
      </c>
      <c r="J404" t="s">
        <v>1089</v>
      </c>
      <c r="K404" t="s">
        <v>446</v>
      </c>
      <c r="L404" t="s">
        <v>446</v>
      </c>
      <c r="M404" t="s">
        <v>446</v>
      </c>
      <c r="N404" t="s">
        <v>446</v>
      </c>
      <c r="O404" t="s">
        <v>446</v>
      </c>
      <c r="P404" t="s">
        <v>446</v>
      </c>
      <c r="Q404" t="b">
        <v>1</v>
      </c>
      <c r="R404" t="b">
        <v>0</v>
      </c>
      <c r="S404" t="s">
        <v>1090</v>
      </c>
      <c r="T404" t="s">
        <v>1159</v>
      </c>
      <c r="U404" t="s">
        <v>1092</v>
      </c>
      <c r="V404" t="s">
        <v>1093</v>
      </c>
      <c r="W404" t="s">
        <v>1088</v>
      </c>
      <c r="X404" t="s">
        <v>1094</v>
      </c>
    </row>
    <row r="405" spans="1:24" x14ac:dyDescent="0.25">
      <c r="A405" t="s">
        <v>42</v>
      </c>
      <c r="B405" t="s">
        <v>1696</v>
      </c>
      <c r="C405" t="s">
        <v>121</v>
      </c>
      <c r="D405" t="s">
        <v>374</v>
      </c>
      <c r="E405" t="s">
        <v>978</v>
      </c>
      <c r="F405">
        <v>0</v>
      </c>
      <c r="G405" t="s">
        <v>1088</v>
      </c>
      <c r="H405" t="s">
        <v>446</v>
      </c>
      <c r="I405" t="s">
        <v>446</v>
      </c>
      <c r="J405" t="s">
        <v>1110</v>
      </c>
      <c r="K405" t="s">
        <v>446</v>
      </c>
      <c r="L405" t="s">
        <v>446</v>
      </c>
      <c r="M405" t="s">
        <v>446</v>
      </c>
      <c r="N405" t="s">
        <v>446</v>
      </c>
      <c r="O405" t="s">
        <v>446</v>
      </c>
      <c r="P405" t="s">
        <v>446</v>
      </c>
      <c r="Q405" t="b">
        <v>1</v>
      </c>
      <c r="R405" t="b">
        <v>0</v>
      </c>
      <c r="S405" t="s">
        <v>1090</v>
      </c>
      <c r="T405" t="s">
        <v>1697</v>
      </c>
      <c r="U405" t="s">
        <v>1092</v>
      </c>
      <c r="V405" t="s">
        <v>1093</v>
      </c>
      <c r="W405" t="s">
        <v>1088</v>
      </c>
      <c r="X405" t="s">
        <v>1094</v>
      </c>
    </row>
    <row r="406" spans="1:24" x14ac:dyDescent="0.25">
      <c r="A406" t="s">
        <v>42</v>
      </c>
      <c r="B406" t="s">
        <v>1698</v>
      </c>
      <c r="C406" t="s">
        <v>121</v>
      </c>
      <c r="D406" t="s">
        <v>374</v>
      </c>
      <c r="E406" t="s">
        <v>986</v>
      </c>
      <c r="F406">
        <v>0</v>
      </c>
      <c r="G406" t="s">
        <v>1088</v>
      </c>
      <c r="H406" t="s">
        <v>446</v>
      </c>
      <c r="I406" t="s">
        <v>446</v>
      </c>
      <c r="J406" t="s">
        <v>1110</v>
      </c>
      <c r="K406" t="s">
        <v>446</v>
      </c>
      <c r="L406" t="s">
        <v>446</v>
      </c>
      <c r="M406" t="s">
        <v>446</v>
      </c>
      <c r="N406" t="s">
        <v>446</v>
      </c>
      <c r="O406" t="s">
        <v>446</v>
      </c>
      <c r="P406" t="s">
        <v>446</v>
      </c>
      <c r="Q406" t="b">
        <v>1</v>
      </c>
      <c r="R406" t="b">
        <v>0</v>
      </c>
      <c r="S406" t="s">
        <v>1090</v>
      </c>
      <c r="T406" t="s">
        <v>1699</v>
      </c>
      <c r="U406" t="s">
        <v>1092</v>
      </c>
      <c r="V406" t="s">
        <v>1093</v>
      </c>
      <c r="W406" t="s">
        <v>1088</v>
      </c>
      <c r="X406" t="s">
        <v>1094</v>
      </c>
    </row>
    <row r="407" spans="1:24" x14ac:dyDescent="0.25">
      <c r="A407" t="s">
        <v>42</v>
      </c>
      <c r="B407" t="s">
        <v>1700</v>
      </c>
      <c r="C407" t="s">
        <v>121</v>
      </c>
      <c r="D407" t="s">
        <v>374</v>
      </c>
      <c r="E407" t="s">
        <v>992</v>
      </c>
      <c r="F407">
        <v>0</v>
      </c>
      <c r="G407" t="s">
        <v>1088</v>
      </c>
      <c r="H407" t="s">
        <v>446</v>
      </c>
      <c r="I407" t="s">
        <v>446</v>
      </c>
      <c r="J407" t="s">
        <v>1110</v>
      </c>
      <c r="K407" t="s">
        <v>446</v>
      </c>
      <c r="L407" t="s">
        <v>446</v>
      </c>
      <c r="M407" t="s">
        <v>446</v>
      </c>
      <c r="N407" t="s">
        <v>446</v>
      </c>
      <c r="O407" t="s">
        <v>446</v>
      </c>
      <c r="P407" t="s">
        <v>446</v>
      </c>
      <c r="Q407" t="b">
        <v>1</v>
      </c>
      <c r="R407" t="b">
        <v>0</v>
      </c>
      <c r="S407" t="s">
        <v>1090</v>
      </c>
      <c r="T407" t="s">
        <v>1474</v>
      </c>
      <c r="U407" t="s">
        <v>1092</v>
      </c>
      <c r="V407" t="s">
        <v>1093</v>
      </c>
      <c r="W407" t="s">
        <v>1088</v>
      </c>
      <c r="X407" t="s">
        <v>1094</v>
      </c>
    </row>
    <row r="408" spans="1:24" x14ac:dyDescent="0.25">
      <c r="A408" t="s">
        <v>42</v>
      </c>
      <c r="B408" t="s">
        <v>1701</v>
      </c>
      <c r="C408" t="s">
        <v>121</v>
      </c>
      <c r="D408" t="s">
        <v>374</v>
      </c>
      <c r="E408" t="s">
        <v>998</v>
      </c>
      <c r="F408">
        <v>0</v>
      </c>
      <c r="G408" t="s">
        <v>1088</v>
      </c>
      <c r="H408" t="s">
        <v>446</v>
      </c>
      <c r="I408" t="s">
        <v>446</v>
      </c>
      <c r="J408" t="s">
        <v>1110</v>
      </c>
      <c r="K408" t="s">
        <v>446</v>
      </c>
      <c r="L408" t="s">
        <v>446</v>
      </c>
      <c r="M408" t="s">
        <v>446</v>
      </c>
      <c r="N408" t="s">
        <v>446</v>
      </c>
      <c r="O408" t="s">
        <v>446</v>
      </c>
      <c r="P408" t="s">
        <v>446</v>
      </c>
      <c r="Q408" t="b">
        <v>1</v>
      </c>
      <c r="R408" t="b">
        <v>0</v>
      </c>
      <c r="S408" t="s">
        <v>1090</v>
      </c>
      <c r="T408" t="s">
        <v>1702</v>
      </c>
      <c r="U408" t="s">
        <v>1092</v>
      </c>
      <c r="V408" t="s">
        <v>1093</v>
      </c>
      <c r="W408" t="s">
        <v>1088</v>
      </c>
      <c r="X408" t="s">
        <v>1094</v>
      </c>
    </row>
    <row r="409" spans="1:24" x14ac:dyDescent="0.25">
      <c r="A409" t="s">
        <v>42</v>
      </c>
      <c r="B409" t="s">
        <v>1703</v>
      </c>
      <c r="C409" t="s">
        <v>121</v>
      </c>
      <c r="D409" t="s">
        <v>374</v>
      </c>
      <c r="E409" t="s">
        <v>1006</v>
      </c>
      <c r="F409">
        <v>0</v>
      </c>
      <c r="G409" t="s">
        <v>1088</v>
      </c>
      <c r="H409" t="s">
        <v>446</v>
      </c>
      <c r="I409" t="s">
        <v>446</v>
      </c>
      <c r="J409" t="s">
        <v>1110</v>
      </c>
      <c r="K409" t="s">
        <v>446</v>
      </c>
      <c r="L409" t="s">
        <v>446</v>
      </c>
      <c r="M409" t="s">
        <v>446</v>
      </c>
      <c r="N409" t="s">
        <v>446</v>
      </c>
      <c r="O409" t="s">
        <v>446</v>
      </c>
      <c r="P409" t="s">
        <v>446</v>
      </c>
      <c r="Q409" t="b">
        <v>1</v>
      </c>
      <c r="R409" t="b">
        <v>0</v>
      </c>
      <c r="S409" t="s">
        <v>1090</v>
      </c>
      <c r="T409" t="s">
        <v>1704</v>
      </c>
      <c r="U409" t="s">
        <v>1092</v>
      </c>
      <c r="V409" t="s">
        <v>1093</v>
      </c>
      <c r="W409" t="s">
        <v>1088</v>
      </c>
      <c r="X409" t="s">
        <v>1094</v>
      </c>
    </row>
    <row r="410" spans="1:24" x14ac:dyDescent="0.25">
      <c r="A410" t="s">
        <v>42</v>
      </c>
      <c r="B410" t="s">
        <v>1705</v>
      </c>
      <c r="C410" t="s">
        <v>121</v>
      </c>
      <c r="D410" t="s">
        <v>374</v>
      </c>
      <c r="E410" t="s">
        <v>1013</v>
      </c>
      <c r="F410">
        <v>0</v>
      </c>
      <c r="G410" t="s">
        <v>1088</v>
      </c>
      <c r="H410" t="s">
        <v>446</v>
      </c>
      <c r="I410" t="s">
        <v>446</v>
      </c>
      <c r="J410" t="s">
        <v>1110</v>
      </c>
      <c r="K410" t="s">
        <v>446</v>
      </c>
      <c r="L410" t="s">
        <v>446</v>
      </c>
      <c r="M410" t="s">
        <v>446</v>
      </c>
      <c r="N410" t="s">
        <v>446</v>
      </c>
      <c r="O410" t="s">
        <v>446</v>
      </c>
      <c r="P410" t="s">
        <v>446</v>
      </c>
      <c r="Q410" t="b">
        <v>1</v>
      </c>
      <c r="R410" t="b">
        <v>0</v>
      </c>
      <c r="S410" t="s">
        <v>1090</v>
      </c>
      <c r="T410" t="s">
        <v>1706</v>
      </c>
      <c r="U410" t="s">
        <v>1092</v>
      </c>
      <c r="V410" t="s">
        <v>1093</v>
      </c>
      <c r="W410" t="s">
        <v>1088</v>
      </c>
      <c r="X410" t="s">
        <v>1094</v>
      </c>
    </row>
    <row r="411" spans="1:24" x14ac:dyDescent="0.25">
      <c r="A411" t="s">
        <v>42</v>
      </c>
      <c r="B411" t="s">
        <v>1707</v>
      </c>
      <c r="C411" t="s">
        <v>121</v>
      </c>
      <c r="D411" t="s">
        <v>374</v>
      </c>
      <c r="E411" t="s">
        <v>1018</v>
      </c>
      <c r="F411">
        <v>0</v>
      </c>
      <c r="G411" t="s">
        <v>1088</v>
      </c>
      <c r="H411" t="s">
        <v>446</v>
      </c>
      <c r="I411" t="s">
        <v>446</v>
      </c>
      <c r="J411" t="s">
        <v>1110</v>
      </c>
      <c r="K411" t="s">
        <v>446</v>
      </c>
      <c r="L411" t="s">
        <v>446</v>
      </c>
      <c r="M411" t="s">
        <v>446</v>
      </c>
      <c r="N411" t="s">
        <v>446</v>
      </c>
      <c r="O411" t="s">
        <v>446</v>
      </c>
      <c r="P411" t="s">
        <v>446</v>
      </c>
      <c r="Q411" t="b">
        <v>1</v>
      </c>
      <c r="R411" t="b">
        <v>0</v>
      </c>
      <c r="S411" t="s">
        <v>1090</v>
      </c>
      <c r="T411" t="s">
        <v>1603</v>
      </c>
      <c r="U411" t="s">
        <v>1092</v>
      </c>
      <c r="V411" t="s">
        <v>1093</v>
      </c>
      <c r="W411" t="s">
        <v>1088</v>
      </c>
      <c r="X411" t="s">
        <v>1094</v>
      </c>
    </row>
    <row r="412" spans="1:24" x14ac:dyDescent="0.25">
      <c r="A412" t="s">
        <v>42</v>
      </c>
      <c r="B412" t="s">
        <v>1708</v>
      </c>
      <c r="C412" t="s">
        <v>121</v>
      </c>
      <c r="D412" t="s">
        <v>374</v>
      </c>
      <c r="E412" t="s">
        <v>1023</v>
      </c>
      <c r="F412">
        <v>0</v>
      </c>
      <c r="G412" t="s">
        <v>1088</v>
      </c>
      <c r="H412" t="s">
        <v>446</v>
      </c>
      <c r="I412" t="s">
        <v>446</v>
      </c>
      <c r="J412" t="s">
        <v>1110</v>
      </c>
      <c r="K412" t="s">
        <v>446</v>
      </c>
      <c r="L412" t="s">
        <v>446</v>
      </c>
      <c r="M412" t="s">
        <v>446</v>
      </c>
      <c r="N412" t="s">
        <v>446</v>
      </c>
      <c r="O412" t="s">
        <v>446</v>
      </c>
      <c r="P412" t="s">
        <v>446</v>
      </c>
      <c r="Q412" t="b">
        <v>1</v>
      </c>
      <c r="R412" t="b">
        <v>0</v>
      </c>
      <c r="S412" t="s">
        <v>1090</v>
      </c>
      <c r="T412" t="s">
        <v>1709</v>
      </c>
      <c r="U412" t="s">
        <v>1092</v>
      </c>
      <c r="V412" t="s">
        <v>1093</v>
      </c>
      <c r="W412" t="s">
        <v>1088</v>
      </c>
      <c r="X412" t="s">
        <v>1094</v>
      </c>
    </row>
    <row r="413" spans="1:24" x14ac:dyDescent="0.25">
      <c r="A413" t="s">
        <v>42</v>
      </c>
      <c r="B413" t="s">
        <v>1710</v>
      </c>
      <c r="C413" t="s">
        <v>121</v>
      </c>
      <c r="D413" t="s">
        <v>374</v>
      </c>
      <c r="E413" t="s">
        <v>1029</v>
      </c>
      <c r="F413">
        <v>0</v>
      </c>
      <c r="G413" t="s">
        <v>1088</v>
      </c>
      <c r="H413" t="s">
        <v>446</v>
      </c>
      <c r="I413" t="s">
        <v>446</v>
      </c>
      <c r="J413" t="s">
        <v>1110</v>
      </c>
      <c r="K413" t="s">
        <v>446</v>
      </c>
      <c r="L413" t="s">
        <v>446</v>
      </c>
      <c r="M413" t="s">
        <v>446</v>
      </c>
      <c r="N413" t="s">
        <v>446</v>
      </c>
      <c r="O413" t="s">
        <v>446</v>
      </c>
      <c r="P413" t="s">
        <v>446</v>
      </c>
      <c r="Q413" t="b">
        <v>1</v>
      </c>
      <c r="R413" t="b">
        <v>0</v>
      </c>
      <c r="S413" t="s">
        <v>1090</v>
      </c>
      <c r="T413" t="s">
        <v>1702</v>
      </c>
      <c r="U413" t="s">
        <v>1092</v>
      </c>
      <c r="V413" t="s">
        <v>1093</v>
      </c>
      <c r="W413" t="s">
        <v>1088</v>
      </c>
      <c r="X413" t="s">
        <v>1094</v>
      </c>
    </row>
    <row r="414" spans="1:24" x14ac:dyDescent="0.25">
      <c r="A414" t="s">
        <v>42</v>
      </c>
      <c r="B414" t="s">
        <v>1711</v>
      </c>
      <c r="C414" t="s">
        <v>121</v>
      </c>
      <c r="D414" t="s">
        <v>374</v>
      </c>
      <c r="E414" t="s">
        <v>1035</v>
      </c>
      <c r="F414">
        <v>0</v>
      </c>
      <c r="G414" t="s">
        <v>1088</v>
      </c>
      <c r="H414" t="s">
        <v>446</v>
      </c>
      <c r="I414" t="s">
        <v>446</v>
      </c>
      <c r="J414" t="s">
        <v>1110</v>
      </c>
      <c r="K414" t="s">
        <v>446</v>
      </c>
      <c r="L414" t="s">
        <v>446</v>
      </c>
      <c r="M414" t="s">
        <v>446</v>
      </c>
      <c r="N414" t="s">
        <v>446</v>
      </c>
      <c r="O414" t="s">
        <v>446</v>
      </c>
      <c r="P414" t="s">
        <v>446</v>
      </c>
      <c r="Q414" t="b">
        <v>1</v>
      </c>
      <c r="R414" t="b">
        <v>0</v>
      </c>
      <c r="S414" t="s">
        <v>1090</v>
      </c>
      <c r="T414" t="s">
        <v>1712</v>
      </c>
      <c r="U414" t="s">
        <v>1092</v>
      </c>
      <c r="V414" t="s">
        <v>1093</v>
      </c>
      <c r="W414" t="s">
        <v>1088</v>
      </c>
      <c r="X414" t="s">
        <v>1094</v>
      </c>
    </row>
    <row r="415" spans="1:24" x14ac:dyDescent="0.25">
      <c r="A415" t="s">
        <v>42</v>
      </c>
      <c r="B415" t="s">
        <v>1713</v>
      </c>
      <c r="C415" t="s">
        <v>121</v>
      </c>
      <c r="D415" t="s">
        <v>374</v>
      </c>
      <c r="E415" t="s">
        <v>1040</v>
      </c>
      <c r="F415">
        <v>0</v>
      </c>
      <c r="G415" t="s">
        <v>1088</v>
      </c>
      <c r="H415" t="s">
        <v>446</v>
      </c>
      <c r="I415" t="s">
        <v>446</v>
      </c>
      <c r="J415" t="s">
        <v>1110</v>
      </c>
      <c r="K415" t="s">
        <v>446</v>
      </c>
      <c r="L415" t="s">
        <v>446</v>
      </c>
      <c r="M415" t="s">
        <v>446</v>
      </c>
      <c r="N415" t="s">
        <v>446</v>
      </c>
      <c r="O415" t="s">
        <v>446</v>
      </c>
      <c r="P415" t="s">
        <v>446</v>
      </c>
      <c r="Q415" t="b">
        <v>1</v>
      </c>
      <c r="R415" t="b">
        <v>0</v>
      </c>
      <c r="S415" t="s">
        <v>1090</v>
      </c>
      <c r="T415" t="s">
        <v>1714</v>
      </c>
      <c r="U415" t="s">
        <v>1092</v>
      </c>
      <c r="V415" t="s">
        <v>1093</v>
      </c>
      <c r="W415" t="s">
        <v>1088</v>
      </c>
      <c r="X415" t="s">
        <v>1094</v>
      </c>
    </row>
    <row r="416" spans="1:24" x14ac:dyDescent="0.25">
      <c r="A416" t="s">
        <v>42</v>
      </c>
      <c r="B416" t="s">
        <v>1715</v>
      </c>
      <c r="C416" t="s">
        <v>121</v>
      </c>
      <c r="D416" t="s">
        <v>374</v>
      </c>
      <c r="E416" t="s">
        <v>1045</v>
      </c>
      <c r="F416">
        <v>0</v>
      </c>
      <c r="G416" t="s">
        <v>1088</v>
      </c>
      <c r="H416" t="s">
        <v>446</v>
      </c>
      <c r="I416" t="s">
        <v>446</v>
      </c>
      <c r="J416" t="s">
        <v>1110</v>
      </c>
      <c r="K416" t="s">
        <v>446</v>
      </c>
      <c r="L416" t="s">
        <v>446</v>
      </c>
      <c r="M416" t="s">
        <v>446</v>
      </c>
      <c r="N416" t="s">
        <v>446</v>
      </c>
      <c r="O416" t="s">
        <v>446</v>
      </c>
      <c r="P416" t="s">
        <v>446</v>
      </c>
      <c r="Q416" t="b">
        <v>1</v>
      </c>
      <c r="R416" t="b">
        <v>0</v>
      </c>
      <c r="S416" t="s">
        <v>1090</v>
      </c>
      <c r="T416" t="s">
        <v>1709</v>
      </c>
      <c r="U416" t="s">
        <v>1092</v>
      </c>
      <c r="V416" t="s">
        <v>1093</v>
      </c>
      <c r="W416" t="s">
        <v>1088</v>
      </c>
      <c r="X416" t="s">
        <v>1094</v>
      </c>
    </row>
    <row r="417" spans="1:24" x14ac:dyDescent="0.25">
      <c r="A417" t="s">
        <v>42</v>
      </c>
      <c r="B417" t="s">
        <v>1716</v>
      </c>
      <c r="C417" t="s">
        <v>121</v>
      </c>
      <c r="D417" t="s">
        <v>374</v>
      </c>
      <c r="E417" t="s">
        <v>1051</v>
      </c>
      <c r="F417">
        <v>0</v>
      </c>
      <c r="G417" t="s">
        <v>1088</v>
      </c>
      <c r="H417" t="s">
        <v>446</v>
      </c>
      <c r="I417" t="s">
        <v>446</v>
      </c>
      <c r="J417" t="s">
        <v>1110</v>
      </c>
      <c r="K417" t="s">
        <v>446</v>
      </c>
      <c r="L417" t="s">
        <v>446</v>
      </c>
      <c r="M417" t="s">
        <v>446</v>
      </c>
      <c r="N417" t="s">
        <v>446</v>
      </c>
      <c r="O417" t="s">
        <v>446</v>
      </c>
      <c r="P417" t="s">
        <v>446</v>
      </c>
      <c r="Q417" t="b">
        <v>1</v>
      </c>
      <c r="R417" t="b">
        <v>0</v>
      </c>
      <c r="S417" t="s">
        <v>1090</v>
      </c>
      <c r="T417" t="s">
        <v>1717</v>
      </c>
      <c r="U417" t="s">
        <v>1092</v>
      </c>
      <c r="V417" t="s">
        <v>1093</v>
      </c>
      <c r="W417" t="s">
        <v>1088</v>
      </c>
      <c r="X417" t="s">
        <v>1094</v>
      </c>
    </row>
    <row r="418" spans="1:24" x14ac:dyDescent="0.25">
      <c r="A418" t="s">
        <v>42</v>
      </c>
      <c r="B418" t="s">
        <v>1718</v>
      </c>
      <c r="C418" t="s">
        <v>375</v>
      </c>
      <c r="D418" t="s">
        <v>374</v>
      </c>
      <c r="E418" t="s">
        <v>978</v>
      </c>
      <c r="F418">
        <v>0</v>
      </c>
      <c r="G418" t="s">
        <v>1088</v>
      </c>
      <c r="H418" t="s">
        <v>446</v>
      </c>
      <c r="I418" t="s">
        <v>446</v>
      </c>
      <c r="J418" t="s">
        <v>1110</v>
      </c>
      <c r="K418" t="s">
        <v>446</v>
      </c>
      <c r="L418" t="s">
        <v>446</v>
      </c>
      <c r="M418" t="s">
        <v>446</v>
      </c>
      <c r="N418" t="s">
        <v>446</v>
      </c>
      <c r="O418" t="s">
        <v>446</v>
      </c>
      <c r="P418" t="s">
        <v>446</v>
      </c>
      <c r="Q418" t="b">
        <v>1</v>
      </c>
      <c r="R418" t="b">
        <v>0</v>
      </c>
      <c r="S418" t="s">
        <v>1090</v>
      </c>
      <c r="T418" t="s">
        <v>1173</v>
      </c>
      <c r="U418" t="s">
        <v>1092</v>
      </c>
      <c r="V418" t="s">
        <v>1093</v>
      </c>
      <c r="W418" t="s">
        <v>1088</v>
      </c>
      <c r="X418" t="s">
        <v>1094</v>
      </c>
    </row>
    <row r="419" spans="1:24" x14ac:dyDescent="0.25">
      <c r="A419" t="s">
        <v>42</v>
      </c>
      <c r="B419" t="s">
        <v>1719</v>
      </c>
      <c r="C419" t="s">
        <v>375</v>
      </c>
      <c r="D419" t="s">
        <v>374</v>
      </c>
      <c r="E419" t="s">
        <v>986</v>
      </c>
      <c r="F419">
        <v>0</v>
      </c>
      <c r="G419" t="s">
        <v>1088</v>
      </c>
      <c r="H419" t="s">
        <v>446</v>
      </c>
      <c r="I419" t="s">
        <v>446</v>
      </c>
      <c r="J419" t="s">
        <v>1110</v>
      </c>
      <c r="K419" t="s">
        <v>446</v>
      </c>
      <c r="L419" t="s">
        <v>446</v>
      </c>
      <c r="M419" t="s">
        <v>446</v>
      </c>
      <c r="N419" t="s">
        <v>446</v>
      </c>
      <c r="O419" t="s">
        <v>446</v>
      </c>
      <c r="P419" t="s">
        <v>446</v>
      </c>
      <c r="Q419" t="b">
        <v>1</v>
      </c>
      <c r="R419" t="b">
        <v>0</v>
      </c>
      <c r="S419" t="s">
        <v>1090</v>
      </c>
      <c r="T419" t="s">
        <v>1175</v>
      </c>
      <c r="U419" t="s">
        <v>1092</v>
      </c>
      <c r="V419" t="s">
        <v>1093</v>
      </c>
      <c r="W419" t="s">
        <v>1088</v>
      </c>
      <c r="X419" t="s">
        <v>1094</v>
      </c>
    </row>
    <row r="420" spans="1:24" x14ac:dyDescent="0.25">
      <c r="A420" t="s">
        <v>42</v>
      </c>
      <c r="B420" t="s">
        <v>1720</v>
      </c>
      <c r="C420" t="s">
        <v>375</v>
      </c>
      <c r="D420" t="s">
        <v>374</v>
      </c>
      <c r="E420" t="s">
        <v>992</v>
      </c>
      <c r="F420">
        <v>0</v>
      </c>
      <c r="G420" t="s">
        <v>1088</v>
      </c>
      <c r="H420" t="s">
        <v>446</v>
      </c>
      <c r="I420" t="s">
        <v>446</v>
      </c>
      <c r="J420" t="s">
        <v>1110</v>
      </c>
      <c r="K420" t="s">
        <v>446</v>
      </c>
      <c r="L420" t="s">
        <v>446</v>
      </c>
      <c r="M420" t="s">
        <v>446</v>
      </c>
      <c r="N420" t="s">
        <v>446</v>
      </c>
      <c r="O420" t="s">
        <v>446</v>
      </c>
      <c r="P420" t="s">
        <v>446</v>
      </c>
      <c r="Q420" t="b">
        <v>1</v>
      </c>
      <c r="R420" t="b">
        <v>0</v>
      </c>
      <c r="S420" t="s">
        <v>1090</v>
      </c>
      <c r="T420" t="s">
        <v>1177</v>
      </c>
      <c r="U420" t="s">
        <v>1092</v>
      </c>
      <c r="V420" t="s">
        <v>1093</v>
      </c>
      <c r="W420" t="s">
        <v>1088</v>
      </c>
      <c r="X420" t="s">
        <v>1094</v>
      </c>
    </row>
    <row r="421" spans="1:24" x14ac:dyDescent="0.25">
      <c r="A421" t="s">
        <v>42</v>
      </c>
      <c r="B421" t="s">
        <v>1721</v>
      </c>
      <c r="C421" t="s">
        <v>375</v>
      </c>
      <c r="D421" t="s">
        <v>374</v>
      </c>
      <c r="E421" t="s">
        <v>998</v>
      </c>
      <c r="F421">
        <v>0</v>
      </c>
      <c r="G421" t="s">
        <v>1088</v>
      </c>
      <c r="H421" t="s">
        <v>446</v>
      </c>
      <c r="I421" t="s">
        <v>446</v>
      </c>
      <c r="J421" t="s">
        <v>1110</v>
      </c>
      <c r="K421" t="s">
        <v>446</v>
      </c>
      <c r="L421" t="s">
        <v>446</v>
      </c>
      <c r="M421" t="s">
        <v>446</v>
      </c>
      <c r="N421" t="s">
        <v>446</v>
      </c>
      <c r="O421" t="s">
        <v>446</v>
      </c>
      <c r="P421" t="s">
        <v>446</v>
      </c>
      <c r="Q421" t="b">
        <v>1</v>
      </c>
      <c r="R421" t="b">
        <v>0</v>
      </c>
      <c r="S421" t="s">
        <v>1090</v>
      </c>
      <c r="T421" t="s">
        <v>1185</v>
      </c>
      <c r="U421" t="s">
        <v>1092</v>
      </c>
      <c r="V421" t="s">
        <v>1093</v>
      </c>
      <c r="W421" t="s">
        <v>1088</v>
      </c>
      <c r="X421" t="s">
        <v>1094</v>
      </c>
    </row>
    <row r="422" spans="1:24" x14ac:dyDescent="0.25">
      <c r="A422" t="s">
        <v>42</v>
      </c>
      <c r="B422" t="s">
        <v>1722</v>
      </c>
      <c r="C422" t="s">
        <v>375</v>
      </c>
      <c r="D422" t="s">
        <v>374</v>
      </c>
      <c r="E422" t="s">
        <v>1006</v>
      </c>
      <c r="F422">
        <v>0</v>
      </c>
      <c r="G422" t="s">
        <v>1088</v>
      </c>
      <c r="H422" t="s">
        <v>446</v>
      </c>
      <c r="I422" t="s">
        <v>446</v>
      </c>
      <c r="J422" t="s">
        <v>1110</v>
      </c>
      <c r="K422" t="s">
        <v>446</v>
      </c>
      <c r="L422" t="s">
        <v>446</v>
      </c>
      <c r="M422" t="s">
        <v>446</v>
      </c>
      <c r="N422" t="s">
        <v>446</v>
      </c>
      <c r="O422" t="s">
        <v>446</v>
      </c>
      <c r="P422" t="s">
        <v>446</v>
      </c>
      <c r="Q422" t="b">
        <v>1</v>
      </c>
      <c r="R422" t="b">
        <v>0</v>
      </c>
      <c r="S422" t="s">
        <v>1090</v>
      </c>
      <c r="T422" t="s">
        <v>1179</v>
      </c>
      <c r="U422" t="s">
        <v>1092</v>
      </c>
      <c r="V422" t="s">
        <v>1093</v>
      </c>
      <c r="W422" t="s">
        <v>1088</v>
      </c>
      <c r="X422" t="s">
        <v>1094</v>
      </c>
    </row>
    <row r="423" spans="1:24" x14ac:dyDescent="0.25">
      <c r="A423" t="s">
        <v>42</v>
      </c>
      <c r="B423" t="s">
        <v>1723</v>
      </c>
      <c r="C423" t="s">
        <v>375</v>
      </c>
      <c r="D423" t="s">
        <v>374</v>
      </c>
      <c r="E423" t="s">
        <v>1013</v>
      </c>
      <c r="F423">
        <v>0</v>
      </c>
      <c r="G423" t="s">
        <v>1088</v>
      </c>
      <c r="H423" t="s">
        <v>446</v>
      </c>
      <c r="I423" t="s">
        <v>446</v>
      </c>
      <c r="J423" t="s">
        <v>1110</v>
      </c>
      <c r="K423" t="s">
        <v>446</v>
      </c>
      <c r="L423" t="s">
        <v>446</v>
      </c>
      <c r="M423" t="s">
        <v>446</v>
      </c>
      <c r="N423" t="s">
        <v>446</v>
      </c>
      <c r="O423" t="s">
        <v>446</v>
      </c>
      <c r="P423" t="s">
        <v>446</v>
      </c>
      <c r="Q423" t="b">
        <v>1</v>
      </c>
      <c r="R423" t="b">
        <v>0</v>
      </c>
      <c r="S423" t="s">
        <v>1090</v>
      </c>
      <c r="T423" t="s">
        <v>1181</v>
      </c>
      <c r="U423" t="s">
        <v>1092</v>
      </c>
      <c r="V423" t="s">
        <v>1093</v>
      </c>
      <c r="W423" t="s">
        <v>1088</v>
      </c>
      <c r="X423" t="s">
        <v>1094</v>
      </c>
    </row>
    <row r="424" spans="1:24" x14ac:dyDescent="0.25">
      <c r="A424" t="s">
        <v>42</v>
      </c>
      <c r="B424" t="s">
        <v>1724</v>
      </c>
      <c r="C424" t="s">
        <v>375</v>
      </c>
      <c r="D424" t="s">
        <v>374</v>
      </c>
      <c r="E424" t="s">
        <v>1018</v>
      </c>
      <c r="F424">
        <v>0</v>
      </c>
      <c r="G424" t="s">
        <v>1088</v>
      </c>
      <c r="H424" t="s">
        <v>446</v>
      </c>
      <c r="I424" t="s">
        <v>446</v>
      </c>
      <c r="J424" t="s">
        <v>1110</v>
      </c>
      <c r="K424" t="s">
        <v>446</v>
      </c>
      <c r="L424" t="s">
        <v>446</v>
      </c>
      <c r="M424" t="s">
        <v>446</v>
      </c>
      <c r="N424" t="s">
        <v>446</v>
      </c>
      <c r="O424" t="s">
        <v>446</v>
      </c>
      <c r="P424" t="s">
        <v>446</v>
      </c>
      <c r="Q424" t="b">
        <v>1</v>
      </c>
      <c r="R424" t="b">
        <v>0</v>
      </c>
      <c r="S424" t="s">
        <v>1090</v>
      </c>
      <c r="T424" t="s">
        <v>1183</v>
      </c>
      <c r="U424" t="s">
        <v>1092</v>
      </c>
      <c r="V424" t="s">
        <v>1093</v>
      </c>
      <c r="W424" t="s">
        <v>1088</v>
      </c>
      <c r="X424" t="s">
        <v>1094</v>
      </c>
    </row>
    <row r="425" spans="1:24" x14ac:dyDescent="0.25">
      <c r="A425" t="s">
        <v>42</v>
      </c>
      <c r="B425" t="s">
        <v>1725</v>
      </c>
      <c r="C425" t="s">
        <v>375</v>
      </c>
      <c r="D425" t="s">
        <v>374</v>
      </c>
      <c r="E425" t="s">
        <v>1023</v>
      </c>
      <c r="F425">
        <v>0</v>
      </c>
      <c r="G425" t="s">
        <v>1088</v>
      </c>
      <c r="H425" t="s">
        <v>446</v>
      </c>
      <c r="I425" t="s">
        <v>446</v>
      </c>
      <c r="J425" t="s">
        <v>1110</v>
      </c>
      <c r="K425" t="s">
        <v>446</v>
      </c>
      <c r="L425" t="s">
        <v>446</v>
      </c>
      <c r="M425" t="s">
        <v>446</v>
      </c>
      <c r="N425" t="s">
        <v>446</v>
      </c>
      <c r="O425" t="s">
        <v>446</v>
      </c>
      <c r="P425" t="s">
        <v>446</v>
      </c>
      <c r="Q425" t="b">
        <v>1</v>
      </c>
      <c r="R425" t="b">
        <v>0</v>
      </c>
      <c r="S425" t="s">
        <v>1090</v>
      </c>
      <c r="T425" t="s">
        <v>1185</v>
      </c>
      <c r="U425" t="s">
        <v>1092</v>
      </c>
      <c r="V425" t="s">
        <v>1093</v>
      </c>
      <c r="W425" t="s">
        <v>1088</v>
      </c>
      <c r="X425" t="s">
        <v>1094</v>
      </c>
    </row>
    <row r="426" spans="1:24" x14ac:dyDescent="0.25">
      <c r="A426" t="s">
        <v>42</v>
      </c>
      <c r="B426" t="s">
        <v>1726</v>
      </c>
      <c r="C426" t="s">
        <v>375</v>
      </c>
      <c r="D426" t="s">
        <v>374</v>
      </c>
      <c r="E426" t="s">
        <v>1029</v>
      </c>
      <c r="F426">
        <v>0</v>
      </c>
      <c r="G426" t="s">
        <v>1088</v>
      </c>
      <c r="H426" t="s">
        <v>446</v>
      </c>
      <c r="I426" t="s">
        <v>446</v>
      </c>
      <c r="J426" t="s">
        <v>1110</v>
      </c>
      <c r="K426" t="s">
        <v>446</v>
      </c>
      <c r="L426" t="s">
        <v>446</v>
      </c>
      <c r="M426" t="s">
        <v>446</v>
      </c>
      <c r="N426" t="s">
        <v>446</v>
      </c>
      <c r="O426" t="s">
        <v>446</v>
      </c>
      <c r="P426" t="s">
        <v>446</v>
      </c>
      <c r="Q426" t="b">
        <v>1</v>
      </c>
      <c r="R426" t="b">
        <v>0</v>
      </c>
      <c r="S426" t="s">
        <v>1090</v>
      </c>
      <c r="T426" t="s">
        <v>1187</v>
      </c>
      <c r="U426" t="s">
        <v>1092</v>
      </c>
      <c r="V426" t="s">
        <v>1093</v>
      </c>
      <c r="W426" t="s">
        <v>1088</v>
      </c>
      <c r="X426" t="s">
        <v>1094</v>
      </c>
    </row>
    <row r="427" spans="1:24" x14ac:dyDescent="0.25">
      <c r="A427" t="s">
        <v>42</v>
      </c>
      <c r="B427" t="s">
        <v>1727</v>
      </c>
      <c r="C427" t="s">
        <v>375</v>
      </c>
      <c r="D427" t="s">
        <v>374</v>
      </c>
      <c r="E427" t="s">
        <v>1035</v>
      </c>
      <c r="F427">
        <v>0</v>
      </c>
      <c r="G427" t="s">
        <v>1088</v>
      </c>
      <c r="H427" t="s">
        <v>446</v>
      </c>
      <c r="I427" t="s">
        <v>446</v>
      </c>
      <c r="J427" t="s">
        <v>1110</v>
      </c>
      <c r="K427" t="s">
        <v>446</v>
      </c>
      <c r="L427" t="s">
        <v>446</v>
      </c>
      <c r="M427" t="s">
        <v>446</v>
      </c>
      <c r="N427" t="s">
        <v>446</v>
      </c>
      <c r="O427" t="s">
        <v>446</v>
      </c>
      <c r="P427" t="s">
        <v>446</v>
      </c>
      <c r="Q427" t="b">
        <v>1</v>
      </c>
      <c r="R427" t="b">
        <v>0</v>
      </c>
      <c r="S427" t="s">
        <v>1090</v>
      </c>
      <c r="T427" t="s">
        <v>1189</v>
      </c>
      <c r="U427" t="s">
        <v>1092</v>
      </c>
      <c r="V427" t="s">
        <v>1093</v>
      </c>
      <c r="W427" t="s">
        <v>1088</v>
      </c>
      <c r="X427" t="s">
        <v>1094</v>
      </c>
    </row>
    <row r="428" spans="1:24" x14ac:dyDescent="0.25">
      <c r="A428" t="s">
        <v>42</v>
      </c>
      <c r="B428" t="s">
        <v>1728</v>
      </c>
      <c r="C428" t="s">
        <v>375</v>
      </c>
      <c r="D428" t="s">
        <v>374</v>
      </c>
      <c r="E428" t="s">
        <v>1040</v>
      </c>
      <c r="F428">
        <v>0</v>
      </c>
      <c r="G428" t="s">
        <v>1088</v>
      </c>
      <c r="H428" t="s">
        <v>446</v>
      </c>
      <c r="I428" t="s">
        <v>446</v>
      </c>
      <c r="J428" t="s">
        <v>1110</v>
      </c>
      <c r="K428" t="s">
        <v>446</v>
      </c>
      <c r="L428" t="s">
        <v>446</v>
      </c>
      <c r="M428" t="s">
        <v>446</v>
      </c>
      <c r="N428" t="s">
        <v>446</v>
      </c>
      <c r="O428" t="s">
        <v>446</v>
      </c>
      <c r="P428" t="s">
        <v>446</v>
      </c>
      <c r="Q428" t="b">
        <v>1</v>
      </c>
      <c r="R428" t="b">
        <v>0</v>
      </c>
      <c r="S428" t="s">
        <v>1090</v>
      </c>
      <c r="T428" t="s">
        <v>1191</v>
      </c>
      <c r="U428" t="s">
        <v>1092</v>
      </c>
      <c r="V428" t="s">
        <v>1093</v>
      </c>
      <c r="W428" t="s">
        <v>1088</v>
      </c>
      <c r="X428" t="s">
        <v>1094</v>
      </c>
    </row>
    <row r="429" spans="1:24" x14ac:dyDescent="0.25">
      <c r="A429" t="s">
        <v>42</v>
      </c>
      <c r="B429" t="s">
        <v>1729</v>
      </c>
      <c r="C429" t="s">
        <v>375</v>
      </c>
      <c r="D429" t="s">
        <v>374</v>
      </c>
      <c r="E429" t="s">
        <v>1045</v>
      </c>
      <c r="F429">
        <v>0</v>
      </c>
      <c r="G429" t="s">
        <v>1088</v>
      </c>
      <c r="H429" t="s">
        <v>446</v>
      </c>
      <c r="I429" t="s">
        <v>446</v>
      </c>
      <c r="J429" t="s">
        <v>1110</v>
      </c>
      <c r="K429" t="s">
        <v>446</v>
      </c>
      <c r="L429" t="s">
        <v>446</v>
      </c>
      <c r="M429" t="s">
        <v>446</v>
      </c>
      <c r="N429" t="s">
        <v>446</v>
      </c>
      <c r="O429" t="s">
        <v>446</v>
      </c>
      <c r="P429" t="s">
        <v>446</v>
      </c>
      <c r="Q429" t="b">
        <v>1</v>
      </c>
      <c r="R429" t="b">
        <v>0</v>
      </c>
      <c r="S429" t="s">
        <v>1090</v>
      </c>
      <c r="T429" t="s">
        <v>1193</v>
      </c>
      <c r="U429" t="s">
        <v>1092</v>
      </c>
      <c r="V429" t="s">
        <v>1093</v>
      </c>
      <c r="W429" t="s">
        <v>1088</v>
      </c>
      <c r="X429" t="s">
        <v>1094</v>
      </c>
    </row>
    <row r="430" spans="1:24" x14ac:dyDescent="0.25">
      <c r="A430" t="s">
        <v>42</v>
      </c>
      <c r="B430" t="s">
        <v>1730</v>
      </c>
      <c r="C430" t="s">
        <v>375</v>
      </c>
      <c r="D430" t="s">
        <v>374</v>
      </c>
      <c r="E430" t="s">
        <v>1051</v>
      </c>
      <c r="F430">
        <v>0</v>
      </c>
      <c r="G430" t="s">
        <v>1088</v>
      </c>
      <c r="H430" t="s">
        <v>446</v>
      </c>
      <c r="I430" t="s">
        <v>446</v>
      </c>
      <c r="J430" t="s">
        <v>1110</v>
      </c>
      <c r="K430" t="s">
        <v>446</v>
      </c>
      <c r="L430" t="s">
        <v>446</v>
      </c>
      <c r="M430" t="s">
        <v>446</v>
      </c>
      <c r="N430" t="s">
        <v>446</v>
      </c>
      <c r="O430" t="s">
        <v>446</v>
      </c>
      <c r="P430" t="s">
        <v>446</v>
      </c>
      <c r="Q430" t="b">
        <v>1</v>
      </c>
      <c r="R430" t="b">
        <v>0</v>
      </c>
      <c r="S430" t="s">
        <v>1090</v>
      </c>
      <c r="T430" t="s">
        <v>1195</v>
      </c>
      <c r="U430" t="s">
        <v>1092</v>
      </c>
      <c r="V430" t="s">
        <v>1093</v>
      </c>
      <c r="W430" t="s">
        <v>1088</v>
      </c>
      <c r="X430" t="s">
        <v>1094</v>
      </c>
    </row>
    <row r="431" spans="1:24" x14ac:dyDescent="0.25">
      <c r="A431" t="s">
        <v>42</v>
      </c>
      <c r="B431" t="s">
        <v>1731</v>
      </c>
      <c r="C431" t="s">
        <v>376</v>
      </c>
      <c r="D431" t="s">
        <v>374</v>
      </c>
      <c r="E431" t="s">
        <v>978</v>
      </c>
      <c r="F431">
        <v>0</v>
      </c>
      <c r="G431" t="s">
        <v>1088</v>
      </c>
      <c r="H431" t="s">
        <v>446</v>
      </c>
      <c r="I431" t="s">
        <v>446</v>
      </c>
      <c r="J431" t="s">
        <v>1110</v>
      </c>
      <c r="K431" t="s">
        <v>446</v>
      </c>
      <c r="L431" t="s">
        <v>446</v>
      </c>
      <c r="M431" t="s">
        <v>446</v>
      </c>
      <c r="N431" t="s">
        <v>446</v>
      </c>
      <c r="O431" t="s">
        <v>446</v>
      </c>
      <c r="P431" t="s">
        <v>446</v>
      </c>
      <c r="Q431" t="b">
        <v>1</v>
      </c>
      <c r="R431" t="b">
        <v>0</v>
      </c>
      <c r="S431" t="s">
        <v>1090</v>
      </c>
      <c r="T431" t="s">
        <v>1159</v>
      </c>
      <c r="U431" t="s">
        <v>1092</v>
      </c>
      <c r="V431" t="s">
        <v>1093</v>
      </c>
      <c r="W431" t="s">
        <v>1088</v>
      </c>
      <c r="X431" t="s">
        <v>1094</v>
      </c>
    </row>
    <row r="432" spans="1:24" x14ac:dyDescent="0.25">
      <c r="A432" t="s">
        <v>42</v>
      </c>
      <c r="B432" t="s">
        <v>1732</v>
      </c>
      <c r="C432" t="s">
        <v>376</v>
      </c>
      <c r="D432" t="s">
        <v>374</v>
      </c>
      <c r="E432" t="s">
        <v>986</v>
      </c>
      <c r="F432">
        <v>0</v>
      </c>
      <c r="G432" t="s">
        <v>1088</v>
      </c>
      <c r="H432" t="s">
        <v>446</v>
      </c>
      <c r="I432" t="s">
        <v>446</v>
      </c>
      <c r="J432" t="s">
        <v>1110</v>
      </c>
      <c r="K432" t="s">
        <v>446</v>
      </c>
      <c r="L432" t="s">
        <v>446</v>
      </c>
      <c r="M432" t="s">
        <v>446</v>
      </c>
      <c r="N432" t="s">
        <v>446</v>
      </c>
      <c r="O432" t="s">
        <v>446</v>
      </c>
      <c r="P432" t="s">
        <v>446</v>
      </c>
      <c r="Q432" t="b">
        <v>1</v>
      </c>
      <c r="R432" t="b">
        <v>0</v>
      </c>
      <c r="S432" t="s">
        <v>1090</v>
      </c>
      <c r="T432" t="s">
        <v>1159</v>
      </c>
      <c r="U432" t="s">
        <v>1092</v>
      </c>
      <c r="V432" t="s">
        <v>1093</v>
      </c>
      <c r="W432" t="s">
        <v>1088</v>
      </c>
      <c r="X432" t="s">
        <v>1094</v>
      </c>
    </row>
    <row r="433" spans="1:24" x14ac:dyDescent="0.25">
      <c r="A433" t="s">
        <v>42</v>
      </c>
      <c r="B433" t="s">
        <v>1733</v>
      </c>
      <c r="C433" t="s">
        <v>376</v>
      </c>
      <c r="D433" t="s">
        <v>374</v>
      </c>
      <c r="E433" t="s">
        <v>992</v>
      </c>
      <c r="F433">
        <v>0</v>
      </c>
      <c r="G433" t="s">
        <v>1088</v>
      </c>
      <c r="H433" t="s">
        <v>446</v>
      </c>
      <c r="I433" t="s">
        <v>446</v>
      </c>
      <c r="J433" t="s">
        <v>1110</v>
      </c>
      <c r="K433" t="s">
        <v>446</v>
      </c>
      <c r="L433" t="s">
        <v>446</v>
      </c>
      <c r="M433" t="s">
        <v>446</v>
      </c>
      <c r="N433" t="s">
        <v>446</v>
      </c>
      <c r="O433" t="s">
        <v>446</v>
      </c>
      <c r="P433" t="s">
        <v>446</v>
      </c>
      <c r="Q433" t="b">
        <v>1</v>
      </c>
      <c r="R433" t="b">
        <v>0</v>
      </c>
      <c r="S433" t="s">
        <v>1090</v>
      </c>
      <c r="T433" t="s">
        <v>1159</v>
      </c>
      <c r="U433" t="s">
        <v>1092</v>
      </c>
      <c r="V433" t="s">
        <v>1093</v>
      </c>
      <c r="W433" t="s">
        <v>1088</v>
      </c>
      <c r="X433" t="s">
        <v>1094</v>
      </c>
    </row>
    <row r="434" spans="1:24" x14ac:dyDescent="0.25">
      <c r="A434" t="s">
        <v>42</v>
      </c>
      <c r="B434" t="s">
        <v>1734</v>
      </c>
      <c r="C434" t="s">
        <v>376</v>
      </c>
      <c r="D434" t="s">
        <v>374</v>
      </c>
      <c r="E434" t="s">
        <v>998</v>
      </c>
      <c r="F434">
        <v>0</v>
      </c>
      <c r="G434" t="s">
        <v>1088</v>
      </c>
      <c r="H434" t="s">
        <v>446</v>
      </c>
      <c r="I434" t="s">
        <v>446</v>
      </c>
      <c r="J434" t="s">
        <v>1110</v>
      </c>
      <c r="K434" t="s">
        <v>446</v>
      </c>
      <c r="L434" t="s">
        <v>446</v>
      </c>
      <c r="M434" t="s">
        <v>446</v>
      </c>
      <c r="N434" t="s">
        <v>446</v>
      </c>
      <c r="O434" t="s">
        <v>446</v>
      </c>
      <c r="P434" t="s">
        <v>446</v>
      </c>
      <c r="Q434" t="b">
        <v>1</v>
      </c>
      <c r="R434" t="b">
        <v>0</v>
      </c>
      <c r="S434" t="s">
        <v>1090</v>
      </c>
      <c r="T434" t="s">
        <v>1159</v>
      </c>
      <c r="U434" t="s">
        <v>1092</v>
      </c>
      <c r="V434" t="s">
        <v>1093</v>
      </c>
      <c r="W434" t="s">
        <v>1088</v>
      </c>
      <c r="X434" t="s">
        <v>1094</v>
      </c>
    </row>
    <row r="435" spans="1:24" x14ac:dyDescent="0.25">
      <c r="A435" t="s">
        <v>42</v>
      </c>
      <c r="B435" t="s">
        <v>1735</v>
      </c>
      <c r="C435" t="s">
        <v>376</v>
      </c>
      <c r="D435" t="s">
        <v>374</v>
      </c>
      <c r="E435" t="s">
        <v>1006</v>
      </c>
      <c r="F435">
        <v>0</v>
      </c>
      <c r="G435" t="s">
        <v>1088</v>
      </c>
      <c r="H435" t="s">
        <v>446</v>
      </c>
      <c r="I435" t="s">
        <v>446</v>
      </c>
      <c r="J435" t="s">
        <v>1110</v>
      </c>
      <c r="K435" t="s">
        <v>446</v>
      </c>
      <c r="L435" t="s">
        <v>446</v>
      </c>
      <c r="M435" t="s">
        <v>446</v>
      </c>
      <c r="N435" t="s">
        <v>446</v>
      </c>
      <c r="O435" t="s">
        <v>446</v>
      </c>
      <c r="P435" t="s">
        <v>446</v>
      </c>
      <c r="Q435" t="b">
        <v>1</v>
      </c>
      <c r="R435" t="b">
        <v>0</v>
      </c>
      <c r="S435" t="s">
        <v>1090</v>
      </c>
      <c r="T435" t="s">
        <v>1159</v>
      </c>
      <c r="U435" t="s">
        <v>1092</v>
      </c>
      <c r="V435" t="s">
        <v>1093</v>
      </c>
      <c r="W435" t="s">
        <v>1088</v>
      </c>
      <c r="X435" t="s">
        <v>1094</v>
      </c>
    </row>
    <row r="436" spans="1:24" x14ac:dyDescent="0.25">
      <c r="A436" t="s">
        <v>42</v>
      </c>
      <c r="B436" t="s">
        <v>1736</v>
      </c>
      <c r="C436" t="s">
        <v>376</v>
      </c>
      <c r="D436" t="s">
        <v>374</v>
      </c>
      <c r="E436" t="s">
        <v>1013</v>
      </c>
      <c r="F436">
        <v>0</v>
      </c>
      <c r="G436" t="s">
        <v>1088</v>
      </c>
      <c r="H436" t="s">
        <v>446</v>
      </c>
      <c r="I436" t="s">
        <v>446</v>
      </c>
      <c r="J436" t="s">
        <v>1110</v>
      </c>
      <c r="K436" t="s">
        <v>446</v>
      </c>
      <c r="L436" t="s">
        <v>446</v>
      </c>
      <c r="M436" t="s">
        <v>446</v>
      </c>
      <c r="N436" t="s">
        <v>446</v>
      </c>
      <c r="O436" t="s">
        <v>446</v>
      </c>
      <c r="P436" t="s">
        <v>446</v>
      </c>
      <c r="Q436" t="b">
        <v>1</v>
      </c>
      <c r="R436" t="b">
        <v>0</v>
      </c>
      <c r="S436" t="s">
        <v>1090</v>
      </c>
      <c r="T436" t="s">
        <v>1159</v>
      </c>
      <c r="U436" t="s">
        <v>1092</v>
      </c>
      <c r="V436" t="s">
        <v>1093</v>
      </c>
      <c r="W436" t="s">
        <v>1088</v>
      </c>
      <c r="X436" t="s">
        <v>1094</v>
      </c>
    </row>
    <row r="437" spans="1:24" x14ac:dyDescent="0.25">
      <c r="A437" t="s">
        <v>42</v>
      </c>
      <c r="B437" t="s">
        <v>1737</v>
      </c>
      <c r="C437" t="s">
        <v>376</v>
      </c>
      <c r="D437" t="s">
        <v>374</v>
      </c>
      <c r="E437" t="s">
        <v>1018</v>
      </c>
      <c r="F437">
        <v>0</v>
      </c>
      <c r="G437" t="s">
        <v>1088</v>
      </c>
      <c r="H437" t="s">
        <v>446</v>
      </c>
      <c r="I437" t="s">
        <v>446</v>
      </c>
      <c r="J437" t="s">
        <v>1110</v>
      </c>
      <c r="K437" t="s">
        <v>446</v>
      </c>
      <c r="L437" t="s">
        <v>446</v>
      </c>
      <c r="M437" t="s">
        <v>446</v>
      </c>
      <c r="N437" t="s">
        <v>446</v>
      </c>
      <c r="O437" t="s">
        <v>446</v>
      </c>
      <c r="P437" t="s">
        <v>446</v>
      </c>
      <c r="Q437" t="b">
        <v>1</v>
      </c>
      <c r="R437" t="b">
        <v>0</v>
      </c>
      <c r="S437" t="s">
        <v>1090</v>
      </c>
      <c r="T437" t="s">
        <v>1159</v>
      </c>
      <c r="U437" t="s">
        <v>1092</v>
      </c>
      <c r="V437" t="s">
        <v>1093</v>
      </c>
      <c r="W437" t="s">
        <v>1088</v>
      </c>
      <c r="X437" t="s">
        <v>1094</v>
      </c>
    </row>
    <row r="438" spans="1:24" x14ac:dyDescent="0.25">
      <c r="A438" t="s">
        <v>42</v>
      </c>
      <c r="B438" t="s">
        <v>1738</v>
      </c>
      <c r="C438" t="s">
        <v>376</v>
      </c>
      <c r="D438" t="s">
        <v>374</v>
      </c>
      <c r="E438" t="s">
        <v>1023</v>
      </c>
      <c r="F438">
        <v>0</v>
      </c>
      <c r="G438" t="s">
        <v>1088</v>
      </c>
      <c r="H438" t="s">
        <v>446</v>
      </c>
      <c r="I438" t="s">
        <v>446</v>
      </c>
      <c r="J438" t="s">
        <v>1110</v>
      </c>
      <c r="K438" t="s">
        <v>446</v>
      </c>
      <c r="L438" t="s">
        <v>446</v>
      </c>
      <c r="M438" t="s">
        <v>446</v>
      </c>
      <c r="N438" t="s">
        <v>446</v>
      </c>
      <c r="O438" t="s">
        <v>446</v>
      </c>
      <c r="P438" t="s">
        <v>446</v>
      </c>
      <c r="Q438" t="b">
        <v>1</v>
      </c>
      <c r="R438" t="b">
        <v>0</v>
      </c>
      <c r="S438" t="s">
        <v>1090</v>
      </c>
      <c r="T438" t="s">
        <v>1159</v>
      </c>
      <c r="U438" t="s">
        <v>1092</v>
      </c>
      <c r="V438" t="s">
        <v>1093</v>
      </c>
      <c r="W438" t="s">
        <v>1088</v>
      </c>
      <c r="X438" t="s">
        <v>1094</v>
      </c>
    </row>
    <row r="439" spans="1:24" x14ac:dyDescent="0.25">
      <c r="A439" t="s">
        <v>42</v>
      </c>
      <c r="B439" t="s">
        <v>1739</v>
      </c>
      <c r="C439" t="s">
        <v>376</v>
      </c>
      <c r="D439" t="s">
        <v>374</v>
      </c>
      <c r="E439" t="s">
        <v>1029</v>
      </c>
      <c r="F439">
        <v>0</v>
      </c>
      <c r="G439" t="s">
        <v>1088</v>
      </c>
      <c r="H439" t="s">
        <v>446</v>
      </c>
      <c r="I439" t="s">
        <v>446</v>
      </c>
      <c r="J439" t="s">
        <v>1110</v>
      </c>
      <c r="K439" t="s">
        <v>446</v>
      </c>
      <c r="L439" t="s">
        <v>446</v>
      </c>
      <c r="M439" t="s">
        <v>446</v>
      </c>
      <c r="N439" t="s">
        <v>446</v>
      </c>
      <c r="O439" t="s">
        <v>446</v>
      </c>
      <c r="P439" t="s">
        <v>446</v>
      </c>
      <c r="Q439" t="b">
        <v>1</v>
      </c>
      <c r="R439" t="b">
        <v>0</v>
      </c>
      <c r="S439" t="s">
        <v>1090</v>
      </c>
      <c r="T439" t="s">
        <v>1159</v>
      </c>
      <c r="U439" t="s">
        <v>1092</v>
      </c>
      <c r="V439" t="s">
        <v>1093</v>
      </c>
      <c r="W439" t="s">
        <v>1088</v>
      </c>
      <c r="X439" t="s">
        <v>1094</v>
      </c>
    </row>
    <row r="440" spans="1:24" x14ac:dyDescent="0.25">
      <c r="A440" t="s">
        <v>42</v>
      </c>
      <c r="B440" t="s">
        <v>1740</v>
      </c>
      <c r="C440" t="s">
        <v>376</v>
      </c>
      <c r="D440" t="s">
        <v>374</v>
      </c>
      <c r="E440" t="s">
        <v>1035</v>
      </c>
      <c r="F440">
        <v>0</v>
      </c>
      <c r="G440" t="s">
        <v>1088</v>
      </c>
      <c r="H440" t="s">
        <v>446</v>
      </c>
      <c r="I440" t="s">
        <v>446</v>
      </c>
      <c r="J440" t="s">
        <v>1110</v>
      </c>
      <c r="K440" t="s">
        <v>446</v>
      </c>
      <c r="L440" t="s">
        <v>446</v>
      </c>
      <c r="M440" t="s">
        <v>446</v>
      </c>
      <c r="N440" t="s">
        <v>446</v>
      </c>
      <c r="O440" t="s">
        <v>446</v>
      </c>
      <c r="P440" t="s">
        <v>446</v>
      </c>
      <c r="Q440" t="b">
        <v>1</v>
      </c>
      <c r="R440" t="b">
        <v>0</v>
      </c>
      <c r="S440" t="s">
        <v>1090</v>
      </c>
      <c r="T440" t="s">
        <v>1159</v>
      </c>
      <c r="U440" t="s">
        <v>1092</v>
      </c>
      <c r="V440" t="s">
        <v>1093</v>
      </c>
      <c r="W440" t="s">
        <v>1088</v>
      </c>
      <c r="X440" t="s">
        <v>1094</v>
      </c>
    </row>
    <row r="441" spans="1:24" x14ac:dyDescent="0.25">
      <c r="A441" t="s">
        <v>42</v>
      </c>
      <c r="B441" t="s">
        <v>1741</v>
      </c>
      <c r="C441" t="s">
        <v>376</v>
      </c>
      <c r="D441" t="s">
        <v>374</v>
      </c>
      <c r="E441" t="s">
        <v>1040</v>
      </c>
      <c r="F441">
        <v>0</v>
      </c>
      <c r="G441" t="s">
        <v>1088</v>
      </c>
      <c r="H441" t="s">
        <v>446</v>
      </c>
      <c r="I441" t="s">
        <v>446</v>
      </c>
      <c r="J441" t="s">
        <v>1110</v>
      </c>
      <c r="K441" t="s">
        <v>446</v>
      </c>
      <c r="L441" t="s">
        <v>446</v>
      </c>
      <c r="M441" t="s">
        <v>446</v>
      </c>
      <c r="N441" t="s">
        <v>446</v>
      </c>
      <c r="O441" t="s">
        <v>446</v>
      </c>
      <c r="P441" t="s">
        <v>446</v>
      </c>
      <c r="Q441" t="b">
        <v>1</v>
      </c>
      <c r="R441" t="b">
        <v>0</v>
      </c>
      <c r="S441" t="s">
        <v>1090</v>
      </c>
      <c r="T441" t="s">
        <v>1159</v>
      </c>
      <c r="U441" t="s">
        <v>1092</v>
      </c>
      <c r="V441" t="s">
        <v>1093</v>
      </c>
      <c r="W441" t="s">
        <v>1088</v>
      </c>
      <c r="X441" t="s">
        <v>1094</v>
      </c>
    </row>
    <row r="442" spans="1:24" x14ac:dyDescent="0.25">
      <c r="A442" t="s">
        <v>42</v>
      </c>
      <c r="B442" t="s">
        <v>1742</v>
      </c>
      <c r="C442" t="s">
        <v>376</v>
      </c>
      <c r="D442" t="s">
        <v>374</v>
      </c>
      <c r="E442" t="s">
        <v>1045</v>
      </c>
      <c r="F442">
        <v>0</v>
      </c>
      <c r="G442" t="s">
        <v>1088</v>
      </c>
      <c r="H442" t="s">
        <v>446</v>
      </c>
      <c r="I442" t="s">
        <v>446</v>
      </c>
      <c r="J442" t="s">
        <v>1110</v>
      </c>
      <c r="K442" t="s">
        <v>446</v>
      </c>
      <c r="L442" t="s">
        <v>446</v>
      </c>
      <c r="M442" t="s">
        <v>446</v>
      </c>
      <c r="N442" t="s">
        <v>446</v>
      </c>
      <c r="O442" t="s">
        <v>446</v>
      </c>
      <c r="P442" t="s">
        <v>446</v>
      </c>
      <c r="Q442" t="b">
        <v>1</v>
      </c>
      <c r="R442" t="b">
        <v>0</v>
      </c>
      <c r="S442" t="s">
        <v>1090</v>
      </c>
      <c r="T442" t="s">
        <v>1159</v>
      </c>
      <c r="U442" t="s">
        <v>1092</v>
      </c>
      <c r="V442" t="s">
        <v>1093</v>
      </c>
      <c r="W442" t="s">
        <v>1088</v>
      </c>
      <c r="X442" t="s">
        <v>1094</v>
      </c>
    </row>
    <row r="443" spans="1:24" x14ac:dyDescent="0.25">
      <c r="A443" t="s">
        <v>42</v>
      </c>
      <c r="B443" t="s">
        <v>1743</v>
      </c>
      <c r="C443" t="s">
        <v>376</v>
      </c>
      <c r="D443" t="s">
        <v>374</v>
      </c>
      <c r="E443" t="s">
        <v>1051</v>
      </c>
      <c r="F443">
        <v>0</v>
      </c>
      <c r="G443" t="s">
        <v>1088</v>
      </c>
      <c r="H443" t="s">
        <v>446</v>
      </c>
      <c r="I443" t="s">
        <v>446</v>
      </c>
      <c r="J443" t="s">
        <v>1110</v>
      </c>
      <c r="K443" t="s">
        <v>446</v>
      </c>
      <c r="L443" t="s">
        <v>446</v>
      </c>
      <c r="M443" t="s">
        <v>446</v>
      </c>
      <c r="N443" t="s">
        <v>446</v>
      </c>
      <c r="O443" t="s">
        <v>446</v>
      </c>
      <c r="P443" t="s">
        <v>446</v>
      </c>
      <c r="Q443" t="b">
        <v>1</v>
      </c>
      <c r="R443" t="b">
        <v>0</v>
      </c>
      <c r="S443" t="s">
        <v>1090</v>
      </c>
      <c r="T443" t="s">
        <v>1744</v>
      </c>
      <c r="U443" t="s">
        <v>1092</v>
      </c>
      <c r="V443" t="s">
        <v>1093</v>
      </c>
      <c r="W443" t="s">
        <v>1088</v>
      </c>
      <c r="X443" t="s">
        <v>1094</v>
      </c>
    </row>
    <row r="444" spans="1:24" x14ac:dyDescent="0.25">
      <c r="A444" t="s">
        <v>42</v>
      </c>
      <c r="B444" t="s">
        <v>1745</v>
      </c>
      <c r="C444" t="s">
        <v>305</v>
      </c>
      <c r="D444" t="s">
        <v>381</v>
      </c>
      <c r="E444" t="s">
        <v>978</v>
      </c>
      <c r="F444">
        <v>0</v>
      </c>
      <c r="G444" t="s">
        <v>1088</v>
      </c>
      <c r="H444" t="s">
        <v>446</v>
      </c>
      <c r="I444" t="s">
        <v>446</v>
      </c>
      <c r="J444" t="s">
        <v>1746</v>
      </c>
      <c r="K444" t="s">
        <v>446</v>
      </c>
      <c r="L444" t="s">
        <v>446</v>
      </c>
      <c r="M444" t="s">
        <v>446</v>
      </c>
      <c r="N444" t="s">
        <v>446</v>
      </c>
      <c r="O444" t="s">
        <v>446</v>
      </c>
      <c r="P444" t="s">
        <v>446</v>
      </c>
      <c r="Q444" t="b">
        <v>1</v>
      </c>
      <c r="R444" t="b">
        <v>0</v>
      </c>
      <c r="S444" t="s">
        <v>1090</v>
      </c>
      <c r="T444" t="s">
        <v>1159</v>
      </c>
      <c r="U444" t="s">
        <v>1092</v>
      </c>
      <c r="V444" t="s">
        <v>1093</v>
      </c>
      <c r="W444" t="s">
        <v>1088</v>
      </c>
      <c r="X444" t="s">
        <v>1094</v>
      </c>
    </row>
    <row r="445" spans="1:24" x14ac:dyDescent="0.25">
      <c r="A445" t="s">
        <v>42</v>
      </c>
      <c r="B445" t="s">
        <v>1747</v>
      </c>
      <c r="C445" t="s">
        <v>305</v>
      </c>
      <c r="D445" t="s">
        <v>381</v>
      </c>
      <c r="E445" t="s">
        <v>986</v>
      </c>
      <c r="F445">
        <v>0</v>
      </c>
      <c r="G445" t="s">
        <v>1088</v>
      </c>
      <c r="H445" t="s">
        <v>446</v>
      </c>
      <c r="I445" t="s">
        <v>446</v>
      </c>
      <c r="J445" t="s">
        <v>1746</v>
      </c>
      <c r="K445" t="s">
        <v>446</v>
      </c>
      <c r="L445" t="s">
        <v>446</v>
      </c>
      <c r="M445" t="s">
        <v>446</v>
      </c>
      <c r="N445" t="s">
        <v>446</v>
      </c>
      <c r="O445" t="s">
        <v>446</v>
      </c>
      <c r="P445" t="s">
        <v>446</v>
      </c>
      <c r="Q445" t="b">
        <v>1</v>
      </c>
      <c r="R445" t="b">
        <v>0</v>
      </c>
      <c r="S445" t="s">
        <v>1090</v>
      </c>
      <c r="T445" t="s">
        <v>1159</v>
      </c>
      <c r="U445" t="s">
        <v>1092</v>
      </c>
      <c r="V445" t="s">
        <v>1093</v>
      </c>
      <c r="W445" t="s">
        <v>1088</v>
      </c>
      <c r="X445" t="s">
        <v>1094</v>
      </c>
    </row>
    <row r="446" spans="1:24" x14ac:dyDescent="0.25">
      <c r="A446" t="s">
        <v>42</v>
      </c>
      <c r="B446" t="s">
        <v>1748</v>
      </c>
      <c r="C446" t="s">
        <v>305</v>
      </c>
      <c r="D446" t="s">
        <v>381</v>
      </c>
      <c r="E446" t="s">
        <v>992</v>
      </c>
      <c r="F446">
        <v>0</v>
      </c>
      <c r="G446" t="s">
        <v>1088</v>
      </c>
      <c r="H446" t="s">
        <v>446</v>
      </c>
      <c r="I446" t="s">
        <v>446</v>
      </c>
      <c r="J446" t="s">
        <v>1746</v>
      </c>
      <c r="K446" t="s">
        <v>446</v>
      </c>
      <c r="L446" t="s">
        <v>446</v>
      </c>
      <c r="M446" t="s">
        <v>446</v>
      </c>
      <c r="N446" t="s">
        <v>446</v>
      </c>
      <c r="O446" t="s">
        <v>446</v>
      </c>
      <c r="P446" t="s">
        <v>446</v>
      </c>
      <c r="Q446" t="b">
        <v>1</v>
      </c>
      <c r="R446" t="b">
        <v>0</v>
      </c>
      <c r="S446" t="s">
        <v>1090</v>
      </c>
      <c r="T446" t="s">
        <v>1159</v>
      </c>
      <c r="U446" t="s">
        <v>1092</v>
      </c>
      <c r="V446" t="s">
        <v>1093</v>
      </c>
      <c r="W446" t="s">
        <v>1088</v>
      </c>
      <c r="X446" t="s">
        <v>1094</v>
      </c>
    </row>
    <row r="447" spans="1:24" x14ac:dyDescent="0.25">
      <c r="A447" t="s">
        <v>42</v>
      </c>
      <c r="B447" t="s">
        <v>1749</v>
      </c>
      <c r="C447" t="s">
        <v>305</v>
      </c>
      <c r="D447" t="s">
        <v>381</v>
      </c>
      <c r="E447" t="s">
        <v>998</v>
      </c>
      <c r="F447">
        <v>0</v>
      </c>
      <c r="G447" t="s">
        <v>1088</v>
      </c>
      <c r="H447" t="s">
        <v>446</v>
      </c>
      <c r="I447" t="s">
        <v>446</v>
      </c>
      <c r="J447" t="s">
        <v>1746</v>
      </c>
      <c r="K447" t="s">
        <v>446</v>
      </c>
      <c r="L447" t="s">
        <v>446</v>
      </c>
      <c r="M447" t="s">
        <v>446</v>
      </c>
      <c r="N447" t="s">
        <v>446</v>
      </c>
      <c r="O447" t="s">
        <v>446</v>
      </c>
      <c r="P447" t="s">
        <v>446</v>
      </c>
      <c r="Q447" t="b">
        <v>1</v>
      </c>
      <c r="R447" t="b">
        <v>0</v>
      </c>
      <c r="S447" t="s">
        <v>1090</v>
      </c>
      <c r="T447" t="s">
        <v>1159</v>
      </c>
      <c r="U447" t="s">
        <v>1092</v>
      </c>
      <c r="V447" t="s">
        <v>1093</v>
      </c>
      <c r="W447" t="s">
        <v>1088</v>
      </c>
      <c r="X447" t="s">
        <v>1094</v>
      </c>
    </row>
    <row r="448" spans="1:24" x14ac:dyDescent="0.25">
      <c r="A448" t="s">
        <v>42</v>
      </c>
      <c r="B448" t="s">
        <v>1750</v>
      </c>
      <c r="C448" t="s">
        <v>305</v>
      </c>
      <c r="D448" t="s">
        <v>381</v>
      </c>
      <c r="E448" t="s">
        <v>1006</v>
      </c>
      <c r="F448">
        <v>0</v>
      </c>
      <c r="G448" t="s">
        <v>1088</v>
      </c>
      <c r="H448" t="s">
        <v>446</v>
      </c>
      <c r="I448" t="s">
        <v>446</v>
      </c>
      <c r="J448" t="s">
        <v>1746</v>
      </c>
      <c r="K448" t="s">
        <v>446</v>
      </c>
      <c r="L448" t="s">
        <v>446</v>
      </c>
      <c r="M448" t="s">
        <v>446</v>
      </c>
      <c r="N448" t="s">
        <v>446</v>
      </c>
      <c r="O448" t="s">
        <v>446</v>
      </c>
      <c r="P448" t="s">
        <v>446</v>
      </c>
      <c r="Q448" t="b">
        <v>1</v>
      </c>
      <c r="R448" t="b">
        <v>0</v>
      </c>
      <c r="S448" t="s">
        <v>1090</v>
      </c>
      <c r="T448" t="s">
        <v>1159</v>
      </c>
      <c r="U448" t="s">
        <v>1092</v>
      </c>
      <c r="V448" t="s">
        <v>1093</v>
      </c>
      <c r="W448" t="s">
        <v>1088</v>
      </c>
      <c r="X448" t="s">
        <v>1094</v>
      </c>
    </row>
    <row r="449" spans="1:24" x14ac:dyDescent="0.25">
      <c r="A449" t="s">
        <v>42</v>
      </c>
      <c r="B449" t="s">
        <v>1751</v>
      </c>
      <c r="C449" t="s">
        <v>305</v>
      </c>
      <c r="D449" t="s">
        <v>381</v>
      </c>
      <c r="E449" t="s">
        <v>1013</v>
      </c>
      <c r="F449">
        <v>0</v>
      </c>
      <c r="G449" t="s">
        <v>1088</v>
      </c>
      <c r="H449" t="s">
        <v>446</v>
      </c>
      <c r="I449" t="s">
        <v>446</v>
      </c>
      <c r="J449" t="s">
        <v>1746</v>
      </c>
      <c r="K449" t="s">
        <v>446</v>
      </c>
      <c r="L449" t="s">
        <v>446</v>
      </c>
      <c r="M449" t="s">
        <v>446</v>
      </c>
      <c r="N449" t="s">
        <v>446</v>
      </c>
      <c r="O449" t="s">
        <v>446</v>
      </c>
      <c r="P449" t="s">
        <v>446</v>
      </c>
      <c r="Q449" t="b">
        <v>1</v>
      </c>
      <c r="R449" t="b">
        <v>0</v>
      </c>
      <c r="S449" t="s">
        <v>1090</v>
      </c>
      <c r="T449" t="s">
        <v>1159</v>
      </c>
      <c r="U449" t="s">
        <v>1092</v>
      </c>
      <c r="V449" t="s">
        <v>1093</v>
      </c>
      <c r="W449" t="s">
        <v>1088</v>
      </c>
      <c r="X449" t="s">
        <v>1094</v>
      </c>
    </row>
    <row r="450" spans="1:24" x14ac:dyDescent="0.25">
      <c r="A450" t="s">
        <v>42</v>
      </c>
      <c r="B450" t="s">
        <v>1752</v>
      </c>
      <c r="C450" t="s">
        <v>305</v>
      </c>
      <c r="D450" t="s">
        <v>381</v>
      </c>
      <c r="E450" t="s">
        <v>1018</v>
      </c>
      <c r="F450">
        <v>0</v>
      </c>
      <c r="G450" t="s">
        <v>1088</v>
      </c>
      <c r="H450" t="s">
        <v>446</v>
      </c>
      <c r="I450" t="s">
        <v>446</v>
      </c>
      <c r="J450" t="s">
        <v>1746</v>
      </c>
      <c r="K450" t="s">
        <v>446</v>
      </c>
      <c r="L450" t="s">
        <v>446</v>
      </c>
      <c r="M450" t="s">
        <v>446</v>
      </c>
      <c r="N450" t="s">
        <v>446</v>
      </c>
      <c r="O450" t="s">
        <v>446</v>
      </c>
      <c r="P450" t="s">
        <v>446</v>
      </c>
      <c r="Q450" t="b">
        <v>1</v>
      </c>
      <c r="R450" t="b">
        <v>0</v>
      </c>
      <c r="S450" t="s">
        <v>1090</v>
      </c>
      <c r="T450" t="s">
        <v>1159</v>
      </c>
      <c r="U450" t="s">
        <v>1092</v>
      </c>
      <c r="V450" t="s">
        <v>1093</v>
      </c>
      <c r="W450" t="s">
        <v>1088</v>
      </c>
      <c r="X450" t="s">
        <v>1094</v>
      </c>
    </row>
    <row r="451" spans="1:24" x14ac:dyDescent="0.25">
      <c r="A451" t="s">
        <v>42</v>
      </c>
      <c r="B451" t="s">
        <v>1753</v>
      </c>
      <c r="C451" t="s">
        <v>305</v>
      </c>
      <c r="D451" t="s">
        <v>381</v>
      </c>
      <c r="E451" t="s">
        <v>1023</v>
      </c>
      <c r="F451">
        <v>0</v>
      </c>
      <c r="G451" t="s">
        <v>1088</v>
      </c>
      <c r="H451" t="s">
        <v>446</v>
      </c>
      <c r="I451" t="s">
        <v>446</v>
      </c>
      <c r="J451" t="s">
        <v>1746</v>
      </c>
      <c r="K451" t="s">
        <v>446</v>
      </c>
      <c r="L451" t="s">
        <v>446</v>
      </c>
      <c r="M451" t="s">
        <v>446</v>
      </c>
      <c r="N451" t="s">
        <v>446</v>
      </c>
      <c r="O451" t="s">
        <v>446</v>
      </c>
      <c r="P451" t="s">
        <v>446</v>
      </c>
      <c r="Q451" t="b">
        <v>1</v>
      </c>
      <c r="R451" t="b">
        <v>0</v>
      </c>
      <c r="S451" t="s">
        <v>1090</v>
      </c>
      <c r="T451" t="s">
        <v>1159</v>
      </c>
      <c r="U451" t="s">
        <v>1092</v>
      </c>
      <c r="V451" t="s">
        <v>1093</v>
      </c>
      <c r="W451" t="s">
        <v>1088</v>
      </c>
      <c r="X451" t="s">
        <v>1094</v>
      </c>
    </row>
    <row r="452" spans="1:24" x14ac:dyDescent="0.25">
      <c r="A452" t="s">
        <v>42</v>
      </c>
      <c r="B452" t="s">
        <v>1754</v>
      </c>
      <c r="C452" t="s">
        <v>305</v>
      </c>
      <c r="D452" t="s">
        <v>381</v>
      </c>
      <c r="E452" t="s">
        <v>1029</v>
      </c>
      <c r="F452">
        <v>0</v>
      </c>
      <c r="G452" t="s">
        <v>1088</v>
      </c>
      <c r="H452" t="s">
        <v>446</v>
      </c>
      <c r="I452" t="s">
        <v>446</v>
      </c>
      <c r="J452" t="s">
        <v>1746</v>
      </c>
      <c r="K452" t="s">
        <v>446</v>
      </c>
      <c r="L452" t="s">
        <v>446</v>
      </c>
      <c r="M452" t="s">
        <v>446</v>
      </c>
      <c r="N452" t="s">
        <v>446</v>
      </c>
      <c r="O452" t="s">
        <v>446</v>
      </c>
      <c r="P452" t="s">
        <v>446</v>
      </c>
      <c r="Q452" t="b">
        <v>1</v>
      </c>
      <c r="R452" t="b">
        <v>0</v>
      </c>
      <c r="S452" t="s">
        <v>1090</v>
      </c>
      <c r="T452" t="s">
        <v>1159</v>
      </c>
      <c r="U452" t="s">
        <v>1092</v>
      </c>
      <c r="V452" t="s">
        <v>1093</v>
      </c>
      <c r="W452" t="s">
        <v>1088</v>
      </c>
      <c r="X452" t="s">
        <v>1094</v>
      </c>
    </row>
    <row r="453" spans="1:24" x14ac:dyDescent="0.25">
      <c r="A453" t="s">
        <v>42</v>
      </c>
      <c r="B453" t="s">
        <v>1755</v>
      </c>
      <c r="C453" t="s">
        <v>305</v>
      </c>
      <c r="D453" t="s">
        <v>381</v>
      </c>
      <c r="E453" t="s">
        <v>1035</v>
      </c>
      <c r="F453">
        <v>0</v>
      </c>
      <c r="G453" t="s">
        <v>1088</v>
      </c>
      <c r="H453" t="s">
        <v>446</v>
      </c>
      <c r="I453" t="s">
        <v>446</v>
      </c>
      <c r="J453" t="s">
        <v>1746</v>
      </c>
      <c r="K453" t="s">
        <v>446</v>
      </c>
      <c r="L453" t="s">
        <v>446</v>
      </c>
      <c r="M453" t="s">
        <v>446</v>
      </c>
      <c r="N453" t="s">
        <v>446</v>
      </c>
      <c r="O453" t="s">
        <v>446</v>
      </c>
      <c r="P453" t="s">
        <v>446</v>
      </c>
      <c r="Q453" t="b">
        <v>1</v>
      </c>
      <c r="R453" t="b">
        <v>0</v>
      </c>
      <c r="S453" t="s">
        <v>1090</v>
      </c>
      <c r="T453" t="s">
        <v>1159</v>
      </c>
      <c r="U453" t="s">
        <v>1092</v>
      </c>
      <c r="V453" t="s">
        <v>1093</v>
      </c>
      <c r="W453" t="s">
        <v>1088</v>
      </c>
      <c r="X453" t="s">
        <v>1094</v>
      </c>
    </row>
    <row r="454" spans="1:24" x14ac:dyDescent="0.25">
      <c r="A454" t="s">
        <v>42</v>
      </c>
      <c r="B454" t="s">
        <v>1756</v>
      </c>
      <c r="C454" t="s">
        <v>305</v>
      </c>
      <c r="D454" t="s">
        <v>381</v>
      </c>
      <c r="E454" t="s">
        <v>1040</v>
      </c>
      <c r="F454">
        <v>0</v>
      </c>
      <c r="G454" t="s">
        <v>1088</v>
      </c>
      <c r="H454" t="s">
        <v>446</v>
      </c>
      <c r="I454" t="s">
        <v>446</v>
      </c>
      <c r="J454" t="s">
        <v>1746</v>
      </c>
      <c r="K454" t="s">
        <v>446</v>
      </c>
      <c r="L454" t="s">
        <v>446</v>
      </c>
      <c r="M454" t="s">
        <v>446</v>
      </c>
      <c r="N454" t="s">
        <v>446</v>
      </c>
      <c r="O454" t="s">
        <v>446</v>
      </c>
      <c r="P454" t="s">
        <v>446</v>
      </c>
      <c r="Q454" t="b">
        <v>1</v>
      </c>
      <c r="R454" t="b">
        <v>0</v>
      </c>
      <c r="S454" t="s">
        <v>1090</v>
      </c>
      <c r="T454" t="s">
        <v>1159</v>
      </c>
      <c r="U454" t="s">
        <v>1092</v>
      </c>
      <c r="V454" t="s">
        <v>1093</v>
      </c>
      <c r="W454" t="s">
        <v>1088</v>
      </c>
      <c r="X454" t="s">
        <v>1094</v>
      </c>
    </row>
    <row r="455" spans="1:24" x14ac:dyDescent="0.25">
      <c r="A455" t="s">
        <v>42</v>
      </c>
      <c r="B455" t="s">
        <v>1757</v>
      </c>
      <c r="C455" t="s">
        <v>305</v>
      </c>
      <c r="D455" t="s">
        <v>381</v>
      </c>
      <c r="E455" t="s">
        <v>1045</v>
      </c>
      <c r="F455">
        <v>0</v>
      </c>
      <c r="G455" t="s">
        <v>1088</v>
      </c>
      <c r="H455" t="s">
        <v>446</v>
      </c>
      <c r="I455" t="s">
        <v>446</v>
      </c>
      <c r="J455" t="s">
        <v>1746</v>
      </c>
      <c r="K455" t="s">
        <v>446</v>
      </c>
      <c r="L455" t="s">
        <v>446</v>
      </c>
      <c r="M455" t="s">
        <v>446</v>
      </c>
      <c r="N455" t="s">
        <v>446</v>
      </c>
      <c r="O455" t="s">
        <v>446</v>
      </c>
      <c r="P455" t="s">
        <v>446</v>
      </c>
      <c r="Q455" t="b">
        <v>1</v>
      </c>
      <c r="R455" t="b">
        <v>0</v>
      </c>
      <c r="S455" t="s">
        <v>1090</v>
      </c>
      <c r="T455" t="s">
        <v>1159</v>
      </c>
      <c r="U455" t="s">
        <v>1092</v>
      </c>
      <c r="V455" t="s">
        <v>1093</v>
      </c>
      <c r="W455" t="s">
        <v>1088</v>
      </c>
      <c r="X455" t="s">
        <v>1094</v>
      </c>
    </row>
    <row r="456" spans="1:24" x14ac:dyDescent="0.25">
      <c r="A456" t="s">
        <v>42</v>
      </c>
      <c r="B456" t="s">
        <v>1758</v>
      </c>
      <c r="C456" t="s">
        <v>305</v>
      </c>
      <c r="D456" t="s">
        <v>381</v>
      </c>
      <c r="E456" t="s">
        <v>1051</v>
      </c>
      <c r="F456">
        <v>0</v>
      </c>
      <c r="G456" t="s">
        <v>1088</v>
      </c>
      <c r="H456" t="s">
        <v>446</v>
      </c>
      <c r="I456" t="s">
        <v>446</v>
      </c>
      <c r="J456" t="s">
        <v>1746</v>
      </c>
      <c r="K456" t="s">
        <v>446</v>
      </c>
      <c r="L456" t="s">
        <v>446</v>
      </c>
      <c r="M456" t="s">
        <v>446</v>
      </c>
      <c r="N456" t="s">
        <v>446</v>
      </c>
      <c r="O456" t="s">
        <v>446</v>
      </c>
      <c r="P456" t="s">
        <v>446</v>
      </c>
      <c r="Q456" t="b">
        <v>1</v>
      </c>
      <c r="R456" t="b">
        <v>0</v>
      </c>
      <c r="S456" t="s">
        <v>1090</v>
      </c>
      <c r="T456" t="s">
        <v>1159</v>
      </c>
      <c r="U456" t="s">
        <v>1092</v>
      </c>
      <c r="V456" t="s">
        <v>1093</v>
      </c>
      <c r="W456" t="s">
        <v>1088</v>
      </c>
      <c r="X456" t="s">
        <v>1094</v>
      </c>
    </row>
    <row r="457" spans="1:24" x14ac:dyDescent="0.25">
      <c r="A457" t="s">
        <v>42</v>
      </c>
      <c r="B457" t="s">
        <v>1759</v>
      </c>
      <c r="C457" t="s">
        <v>384</v>
      </c>
      <c r="D457" t="s">
        <v>381</v>
      </c>
      <c r="E457" t="s">
        <v>978</v>
      </c>
      <c r="F457">
        <v>0</v>
      </c>
      <c r="G457" t="s">
        <v>1088</v>
      </c>
      <c r="H457" t="s">
        <v>446</v>
      </c>
      <c r="I457" t="s">
        <v>446</v>
      </c>
      <c r="J457" t="s">
        <v>1110</v>
      </c>
      <c r="K457" t="s">
        <v>446</v>
      </c>
      <c r="L457" t="s">
        <v>446</v>
      </c>
      <c r="M457" t="s">
        <v>446</v>
      </c>
      <c r="N457" t="s">
        <v>446</v>
      </c>
      <c r="O457" t="s">
        <v>446</v>
      </c>
      <c r="P457" t="s">
        <v>446</v>
      </c>
      <c r="Q457" t="b">
        <v>1</v>
      </c>
      <c r="R457" t="b">
        <v>0</v>
      </c>
      <c r="S457" t="s">
        <v>1090</v>
      </c>
      <c r="T457" t="s">
        <v>1159</v>
      </c>
      <c r="U457" t="s">
        <v>1092</v>
      </c>
      <c r="V457" t="s">
        <v>1093</v>
      </c>
      <c r="W457" t="s">
        <v>1088</v>
      </c>
      <c r="X457" t="s">
        <v>1094</v>
      </c>
    </row>
    <row r="458" spans="1:24" x14ac:dyDescent="0.25">
      <c r="A458" t="s">
        <v>42</v>
      </c>
      <c r="B458" t="s">
        <v>1760</v>
      </c>
      <c r="C458" t="s">
        <v>384</v>
      </c>
      <c r="D458" t="s">
        <v>381</v>
      </c>
      <c r="E458" t="s">
        <v>986</v>
      </c>
      <c r="F458">
        <v>0</v>
      </c>
      <c r="G458" t="s">
        <v>1088</v>
      </c>
      <c r="H458" t="s">
        <v>446</v>
      </c>
      <c r="I458" t="s">
        <v>446</v>
      </c>
      <c r="J458" t="s">
        <v>1110</v>
      </c>
      <c r="K458" t="s">
        <v>446</v>
      </c>
      <c r="L458" t="s">
        <v>446</v>
      </c>
      <c r="M458" t="s">
        <v>446</v>
      </c>
      <c r="N458" t="s">
        <v>446</v>
      </c>
      <c r="O458" t="s">
        <v>446</v>
      </c>
      <c r="P458" t="s">
        <v>446</v>
      </c>
      <c r="Q458" t="b">
        <v>1</v>
      </c>
      <c r="R458" t="b">
        <v>0</v>
      </c>
      <c r="S458" t="s">
        <v>1090</v>
      </c>
      <c r="T458" t="s">
        <v>1159</v>
      </c>
      <c r="U458" t="s">
        <v>1092</v>
      </c>
      <c r="V458" t="s">
        <v>1093</v>
      </c>
      <c r="W458" t="s">
        <v>1088</v>
      </c>
      <c r="X458" t="s">
        <v>1094</v>
      </c>
    </row>
    <row r="459" spans="1:24" x14ac:dyDescent="0.25">
      <c r="A459" t="s">
        <v>42</v>
      </c>
      <c r="B459" t="s">
        <v>1761</v>
      </c>
      <c r="C459" t="s">
        <v>384</v>
      </c>
      <c r="D459" t="s">
        <v>381</v>
      </c>
      <c r="E459" t="s">
        <v>992</v>
      </c>
      <c r="F459">
        <v>0</v>
      </c>
      <c r="G459" t="s">
        <v>1088</v>
      </c>
      <c r="H459" t="s">
        <v>446</v>
      </c>
      <c r="I459" t="s">
        <v>446</v>
      </c>
      <c r="J459" t="s">
        <v>1110</v>
      </c>
      <c r="K459" t="s">
        <v>446</v>
      </c>
      <c r="L459" t="s">
        <v>446</v>
      </c>
      <c r="M459" t="s">
        <v>446</v>
      </c>
      <c r="N459" t="s">
        <v>446</v>
      </c>
      <c r="O459" t="s">
        <v>446</v>
      </c>
      <c r="P459" t="s">
        <v>446</v>
      </c>
      <c r="Q459" t="b">
        <v>1</v>
      </c>
      <c r="R459" t="b">
        <v>0</v>
      </c>
      <c r="S459" t="s">
        <v>1090</v>
      </c>
      <c r="T459" t="s">
        <v>1159</v>
      </c>
      <c r="U459" t="s">
        <v>1092</v>
      </c>
      <c r="V459" t="s">
        <v>1093</v>
      </c>
      <c r="W459" t="s">
        <v>1088</v>
      </c>
      <c r="X459" t="s">
        <v>1094</v>
      </c>
    </row>
    <row r="460" spans="1:24" x14ac:dyDescent="0.25">
      <c r="A460" t="s">
        <v>42</v>
      </c>
      <c r="B460" t="s">
        <v>1762</v>
      </c>
      <c r="C460" t="s">
        <v>384</v>
      </c>
      <c r="D460" t="s">
        <v>381</v>
      </c>
      <c r="E460" t="s">
        <v>998</v>
      </c>
      <c r="F460">
        <v>0</v>
      </c>
      <c r="G460" t="s">
        <v>1088</v>
      </c>
      <c r="H460" t="s">
        <v>446</v>
      </c>
      <c r="I460" t="s">
        <v>446</v>
      </c>
      <c r="J460" t="s">
        <v>1110</v>
      </c>
      <c r="K460" t="s">
        <v>446</v>
      </c>
      <c r="L460" t="s">
        <v>446</v>
      </c>
      <c r="M460" t="s">
        <v>446</v>
      </c>
      <c r="N460" t="s">
        <v>446</v>
      </c>
      <c r="O460" t="s">
        <v>446</v>
      </c>
      <c r="P460" t="s">
        <v>446</v>
      </c>
      <c r="Q460" t="b">
        <v>1</v>
      </c>
      <c r="R460" t="b">
        <v>0</v>
      </c>
      <c r="S460" t="s">
        <v>1090</v>
      </c>
      <c r="T460" t="s">
        <v>1159</v>
      </c>
      <c r="U460" t="s">
        <v>1092</v>
      </c>
      <c r="V460" t="s">
        <v>1093</v>
      </c>
      <c r="W460" t="s">
        <v>1088</v>
      </c>
      <c r="X460" t="s">
        <v>1094</v>
      </c>
    </row>
    <row r="461" spans="1:24" x14ac:dyDescent="0.25">
      <c r="A461" t="s">
        <v>42</v>
      </c>
      <c r="B461" t="s">
        <v>1763</v>
      </c>
      <c r="C461" t="s">
        <v>384</v>
      </c>
      <c r="D461" t="s">
        <v>381</v>
      </c>
      <c r="E461" t="s">
        <v>1006</v>
      </c>
      <c r="F461">
        <v>0</v>
      </c>
      <c r="G461" t="s">
        <v>1088</v>
      </c>
      <c r="H461" t="s">
        <v>446</v>
      </c>
      <c r="I461" t="s">
        <v>446</v>
      </c>
      <c r="J461" t="s">
        <v>1110</v>
      </c>
      <c r="K461" t="s">
        <v>446</v>
      </c>
      <c r="L461" t="s">
        <v>446</v>
      </c>
      <c r="M461" t="s">
        <v>446</v>
      </c>
      <c r="N461" t="s">
        <v>446</v>
      </c>
      <c r="O461" t="s">
        <v>446</v>
      </c>
      <c r="P461" t="s">
        <v>446</v>
      </c>
      <c r="Q461" t="b">
        <v>1</v>
      </c>
      <c r="R461" t="b">
        <v>0</v>
      </c>
      <c r="S461" t="s">
        <v>1090</v>
      </c>
      <c r="T461" t="s">
        <v>1159</v>
      </c>
      <c r="U461" t="s">
        <v>1092</v>
      </c>
      <c r="V461" t="s">
        <v>1093</v>
      </c>
      <c r="W461" t="s">
        <v>1088</v>
      </c>
      <c r="X461" t="s">
        <v>1094</v>
      </c>
    </row>
    <row r="462" spans="1:24" x14ac:dyDescent="0.25">
      <c r="A462" t="s">
        <v>42</v>
      </c>
      <c r="B462" t="s">
        <v>1764</v>
      </c>
      <c r="C462" t="s">
        <v>384</v>
      </c>
      <c r="D462" t="s">
        <v>381</v>
      </c>
      <c r="E462" t="s">
        <v>1013</v>
      </c>
      <c r="F462">
        <v>0</v>
      </c>
      <c r="G462" t="s">
        <v>1088</v>
      </c>
      <c r="H462" t="s">
        <v>446</v>
      </c>
      <c r="I462" t="s">
        <v>446</v>
      </c>
      <c r="J462" t="s">
        <v>1110</v>
      </c>
      <c r="K462" t="s">
        <v>446</v>
      </c>
      <c r="L462" t="s">
        <v>446</v>
      </c>
      <c r="M462" t="s">
        <v>446</v>
      </c>
      <c r="N462" t="s">
        <v>446</v>
      </c>
      <c r="O462" t="s">
        <v>446</v>
      </c>
      <c r="P462" t="s">
        <v>446</v>
      </c>
      <c r="Q462" t="b">
        <v>1</v>
      </c>
      <c r="R462" t="b">
        <v>0</v>
      </c>
      <c r="S462" t="s">
        <v>1090</v>
      </c>
      <c r="T462" t="s">
        <v>1159</v>
      </c>
      <c r="U462" t="s">
        <v>1092</v>
      </c>
      <c r="V462" t="s">
        <v>1093</v>
      </c>
      <c r="W462" t="s">
        <v>1088</v>
      </c>
      <c r="X462" t="s">
        <v>1094</v>
      </c>
    </row>
    <row r="463" spans="1:24" x14ac:dyDescent="0.25">
      <c r="A463" t="s">
        <v>42</v>
      </c>
      <c r="B463" t="s">
        <v>1765</v>
      </c>
      <c r="C463" t="s">
        <v>384</v>
      </c>
      <c r="D463" t="s">
        <v>381</v>
      </c>
      <c r="E463" t="s">
        <v>1018</v>
      </c>
      <c r="F463">
        <v>0</v>
      </c>
      <c r="G463" t="s">
        <v>1088</v>
      </c>
      <c r="H463" t="s">
        <v>446</v>
      </c>
      <c r="I463" t="s">
        <v>446</v>
      </c>
      <c r="J463" t="s">
        <v>1110</v>
      </c>
      <c r="K463" t="s">
        <v>446</v>
      </c>
      <c r="L463" t="s">
        <v>446</v>
      </c>
      <c r="M463" t="s">
        <v>446</v>
      </c>
      <c r="N463" t="s">
        <v>446</v>
      </c>
      <c r="O463" t="s">
        <v>446</v>
      </c>
      <c r="P463" t="s">
        <v>446</v>
      </c>
      <c r="Q463" t="b">
        <v>1</v>
      </c>
      <c r="R463" t="b">
        <v>0</v>
      </c>
      <c r="S463" t="s">
        <v>1090</v>
      </c>
      <c r="T463" t="s">
        <v>1159</v>
      </c>
      <c r="U463" t="s">
        <v>1092</v>
      </c>
      <c r="V463" t="s">
        <v>1093</v>
      </c>
      <c r="W463" t="s">
        <v>1088</v>
      </c>
      <c r="X463" t="s">
        <v>1094</v>
      </c>
    </row>
    <row r="464" spans="1:24" x14ac:dyDescent="0.25">
      <c r="A464" t="s">
        <v>42</v>
      </c>
      <c r="B464" t="s">
        <v>1766</v>
      </c>
      <c r="C464" t="s">
        <v>384</v>
      </c>
      <c r="D464" t="s">
        <v>381</v>
      </c>
      <c r="E464" t="s">
        <v>1023</v>
      </c>
      <c r="F464">
        <v>0</v>
      </c>
      <c r="G464" t="s">
        <v>1088</v>
      </c>
      <c r="H464" t="s">
        <v>446</v>
      </c>
      <c r="I464" t="s">
        <v>446</v>
      </c>
      <c r="J464" t="s">
        <v>1110</v>
      </c>
      <c r="K464" t="s">
        <v>446</v>
      </c>
      <c r="L464" t="s">
        <v>446</v>
      </c>
      <c r="M464" t="s">
        <v>446</v>
      </c>
      <c r="N464" t="s">
        <v>446</v>
      </c>
      <c r="O464" t="s">
        <v>446</v>
      </c>
      <c r="P464" t="s">
        <v>446</v>
      </c>
      <c r="Q464" t="b">
        <v>1</v>
      </c>
      <c r="R464" t="b">
        <v>0</v>
      </c>
      <c r="S464" t="s">
        <v>1090</v>
      </c>
      <c r="T464" t="s">
        <v>1159</v>
      </c>
      <c r="U464" t="s">
        <v>1092</v>
      </c>
      <c r="V464" t="s">
        <v>1093</v>
      </c>
      <c r="W464" t="s">
        <v>1088</v>
      </c>
      <c r="X464" t="s">
        <v>1094</v>
      </c>
    </row>
    <row r="465" spans="1:24" x14ac:dyDescent="0.25">
      <c r="A465" t="s">
        <v>42</v>
      </c>
      <c r="B465" t="s">
        <v>1767</v>
      </c>
      <c r="C465" t="s">
        <v>384</v>
      </c>
      <c r="D465" t="s">
        <v>381</v>
      </c>
      <c r="E465" t="s">
        <v>1029</v>
      </c>
      <c r="F465">
        <v>0</v>
      </c>
      <c r="G465" t="s">
        <v>1088</v>
      </c>
      <c r="H465" t="s">
        <v>446</v>
      </c>
      <c r="I465" t="s">
        <v>446</v>
      </c>
      <c r="J465" t="s">
        <v>1110</v>
      </c>
      <c r="K465" t="s">
        <v>446</v>
      </c>
      <c r="L465" t="s">
        <v>446</v>
      </c>
      <c r="M465" t="s">
        <v>446</v>
      </c>
      <c r="N465" t="s">
        <v>446</v>
      </c>
      <c r="O465" t="s">
        <v>446</v>
      </c>
      <c r="P465" t="s">
        <v>446</v>
      </c>
      <c r="Q465" t="b">
        <v>1</v>
      </c>
      <c r="R465" t="b">
        <v>0</v>
      </c>
      <c r="S465" t="s">
        <v>1090</v>
      </c>
      <c r="T465" t="s">
        <v>1159</v>
      </c>
      <c r="U465" t="s">
        <v>1092</v>
      </c>
      <c r="V465" t="s">
        <v>1093</v>
      </c>
      <c r="W465" t="s">
        <v>1088</v>
      </c>
      <c r="X465" t="s">
        <v>1094</v>
      </c>
    </row>
    <row r="466" spans="1:24" x14ac:dyDescent="0.25">
      <c r="A466" t="s">
        <v>42</v>
      </c>
      <c r="B466" t="s">
        <v>1768</v>
      </c>
      <c r="C466" t="s">
        <v>384</v>
      </c>
      <c r="D466" t="s">
        <v>381</v>
      </c>
      <c r="E466" t="s">
        <v>1035</v>
      </c>
      <c r="F466">
        <v>0</v>
      </c>
      <c r="G466" t="s">
        <v>1088</v>
      </c>
      <c r="H466" t="s">
        <v>446</v>
      </c>
      <c r="I466" t="s">
        <v>446</v>
      </c>
      <c r="J466" t="s">
        <v>1110</v>
      </c>
      <c r="K466" t="s">
        <v>446</v>
      </c>
      <c r="L466" t="s">
        <v>446</v>
      </c>
      <c r="M466" t="s">
        <v>446</v>
      </c>
      <c r="N466" t="s">
        <v>446</v>
      </c>
      <c r="O466" t="s">
        <v>446</v>
      </c>
      <c r="P466" t="s">
        <v>446</v>
      </c>
      <c r="Q466" t="b">
        <v>1</v>
      </c>
      <c r="R466" t="b">
        <v>0</v>
      </c>
      <c r="S466" t="s">
        <v>1090</v>
      </c>
      <c r="T466" t="s">
        <v>1159</v>
      </c>
      <c r="U466" t="s">
        <v>1092</v>
      </c>
      <c r="V466" t="s">
        <v>1093</v>
      </c>
      <c r="W466" t="s">
        <v>1088</v>
      </c>
      <c r="X466" t="s">
        <v>1094</v>
      </c>
    </row>
    <row r="467" spans="1:24" x14ac:dyDescent="0.25">
      <c r="A467" t="s">
        <v>42</v>
      </c>
      <c r="B467" t="s">
        <v>1769</v>
      </c>
      <c r="C467" t="s">
        <v>384</v>
      </c>
      <c r="D467" t="s">
        <v>381</v>
      </c>
      <c r="E467" t="s">
        <v>1040</v>
      </c>
      <c r="F467">
        <v>0</v>
      </c>
      <c r="G467" t="s">
        <v>1088</v>
      </c>
      <c r="H467" t="s">
        <v>446</v>
      </c>
      <c r="I467" t="s">
        <v>446</v>
      </c>
      <c r="J467" t="s">
        <v>1110</v>
      </c>
      <c r="K467" t="s">
        <v>446</v>
      </c>
      <c r="L467" t="s">
        <v>446</v>
      </c>
      <c r="M467" t="s">
        <v>446</v>
      </c>
      <c r="N467" t="s">
        <v>446</v>
      </c>
      <c r="O467" t="s">
        <v>446</v>
      </c>
      <c r="P467" t="s">
        <v>446</v>
      </c>
      <c r="Q467" t="b">
        <v>1</v>
      </c>
      <c r="R467" t="b">
        <v>0</v>
      </c>
      <c r="S467" t="s">
        <v>1090</v>
      </c>
      <c r="T467" t="s">
        <v>1159</v>
      </c>
      <c r="U467" t="s">
        <v>1092</v>
      </c>
      <c r="V467" t="s">
        <v>1093</v>
      </c>
      <c r="W467" t="s">
        <v>1088</v>
      </c>
      <c r="X467" t="s">
        <v>1094</v>
      </c>
    </row>
    <row r="468" spans="1:24" x14ac:dyDescent="0.25">
      <c r="A468" t="s">
        <v>42</v>
      </c>
      <c r="B468" t="s">
        <v>1770</v>
      </c>
      <c r="C468" t="s">
        <v>384</v>
      </c>
      <c r="D468" t="s">
        <v>381</v>
      </c>
      <c r="E468" t="s">
        <v>1045</v>
      </c>
      <c r="F468">
        <v>0</v>
      </c>
      <c r="G468" t="s">
        <v>1088</v>
      </c>
      <c r="H468" t="s">
        <v>446</v>
      </c>
      <c r="I468" t="s">
        <v>446</v>
      </c>
      <c r="J468" t="s">
        <v>1110</v>
      </c>
      <c r="K468" t="s">
        <v>446</v>
      </c>
      <c r="L468" t="s">
        <v>446</v>
      </c>
      <c r="M468" t="s">
        <v>446</v>
      </c>
      <c r="N468" t="s">
        <v>446</v>
      </c>
      <c r="O468" t="s">
        <v>446</v>
      </c>
      <c r="P468" t="s">
        <v>446</v>
      </c>
      <c r="Q468" t="b">
        <v>1</v>
      </c>
      <c r="R468" t="b">
        <v>0</v>
      </c>
      <c r="S468" t="s">
        <v>1090</v>
      </c>
      <c r="T468" t="s">
        <v>1159</v>
      </c>
      <c r="U468" t="s">
        <v>1092</v>
      </c>
      <c r="V468" t="s">
        <v>1093</v>
      </c>
      <c r="W468" t="s">
        <v>1088</v>
      </c>
      <c r="X468" t="s">
        <v>1094</v>
      </c>
    </row>
    <row r="469" spans="1:24" x14ac:dyDescent="0.25">
      <c r="A469" t="s">
        <v>42</v>
      </c>
      <c r="B469" t="s">
        <v>1771</v>
      </c>
      <c r="C469" t="s">
        <v>384</v>
      </c>
      <c r="D469" t="s">
        <v>381</v>
      </c>
      <c r="E469" t="s">
        <v>1051</v>
      </c>
      <c r="F469">
        <v>0</v>
      </c>
      <c r="G469" t="s">
        <v>1088</v>
      </c>
      <c r="H469" t="s">
        <v>446</v>
      </c>
      <c r="I469" t="s">
        <v>446</v>
      </c>
      <c r="J469" t="s">
        <v>1110</v>
      </c>
      <c r="K469" t="s">
        <v>446</v>
      </c>
      <c r="L469" t="s">
        <v>446</v>
      </c>
      <c r="M469" t="s">
        <v>446</v>
      </c>
      <c r="N469" t="s">
        <v>446</v>
      </c>
      <c r="O469" t="s">
        <v>446</v>
      </c>
      <c r="P469" t="s">
        <v>446</v>
      </c>
      <c r="Q469" t="b">
        <v>1</v>
      </c>
      <c r="R469" t="b">
        <v>0</v>
      </c>
      <c r="S469" t="s">
        <v>1090</v>
      </c>
      <c r="T469" t="s">
        <v>1159</v>
      </c>
      <c r="U469" t="s">
        <v>1092</v>
      </c>
      <c r="V469" t="s">
        <v>1093</v>
      </c>
      <c r="W469" t="s">
        <v>1088</v>
      </c>
      <c r="X469" t="s">
        <v>1094</v>
      </c>
    </row>
    <row r="470" spans="1:24" x14ac:dyDescent="0.25">
      <c r="A470" t="s">
        <v>42</v>
      </c>
      <c r="B470" t="s">
        <v>1772</v>
      </c>
      <c r="C470" t="s">
        <v>399</v>
      </c>
      <c r="D470" t="s">
        <v>396</v>
      </c>
      <c r="E470" t="s">
        <v>978</v>
      </c>
      <c r="F470">
        <v>0</v>
      </c>
      <c r="G470" t="s">
        <v>1088</v>
      </c>
      <c r="H470" t="s">
        <v>446</v>
      </c>
      <c r="I470" t="s">
        <v>446</v>
      </c>
      <c r="J470" t="s">
        <v>1746</v>
      </c>
      <c r="K470" t="s">
        <v>446</v>
      </c>
      <c r="L470" t="s">
        <v>446</v>
      </c>
      <c r="M470" t="s">
        <v>446</v>
      </c>
      <c r="N470" t="s">
        <v>446</v>
      </c>
      <c r="O470" t="s">
        <v>446</v>
      </c>
      <c r="P470" t="s">
        <v>446</v>
      </c>
      <c r="Q470" t="b">
        <v>1</v>
      </c>
      <c r="R470" t="b">
        <v>0</v>
      </c>
      <c r="S470" t="s">
        <v>1090</v>
      </c>
      <c r="T470" t="s">
        <v>1773</v>
      </c>
      <c r="U470" t="s">
        <v>1092</v>
      </c>
      <c r="V470" t="s">
        <v>1093</v>
      </c>
      <c r="W470" t="s">
        <v>1088</v>
      </c>
      <c r="X470" t="s">
        <v>1094</v>
      </c>
    </row>
    <row r="471" spans="1:24" x14ac:dyDescent="0.25">
      <c r="A471" t="s">
        <v>42</v>
      </c>
      <c r="B471" t="s">
        <v>1774</v>
      </c>
      <c r="C471" t="s">
        <v>399</v>
      </c>
      <c r="D471" t="s">
        <v>396</v>
      </c>
      <c r="E471" t="s">
        <v>986</v>
      </c>
      <c r="F471">
        <v>0</v>
      </c>
      <c r="G471" t="s">
        <v>1088</v>
      </c>
      <c r="H471" t="s">
        <v>446</v>
      </c>
      <c r="I471" t="s">
        <v>446</v>
      </c>
      <c r="J471" t="s">
        <v>1746</v>
      </c>
      <c r="K471" t="s">
        <v>446</v>
      </c>
      <c r="L471" t="s">
        <v>446</v>
      </c>
      <c r="M471" t="s">
        <v>446</v>
      </c>
      <c r="N471" t="s">
        <v>446</v>
      </c>
      <c r="O471" t="s">
        <v>446</v>
      </c>
      <c r="P471" t="s">
        <v>446</v>
      </c>
      <c r="Q471" t="b">
        <v>1</v>
      </c>
      <c r="R471" t="b">
        <v>0</v>
      </c>
      <c r="S471" t="s">
        <v>1090</v>
      </c>
      <c r="T471" t="s">
        <v>1775</v>
      </c>
      <c r="U471" t="s">
        <v>1092</v>
      </c>
      <c r="V471" t="s">
        <v>1093</v>
      </c>
      <c r="W471" t="s">
        <v>1088</v>
      </c>
      <c r="X471" t="s">
        <v>1094</v>
      </c>
    </row>
    <row r="472" spans="1:24" x14ac:dyDescent="0.25">
      <c r="A472" t="s">
        <v>42</v>
      </c>
      <c r="B472" t="s">
        <v>1776</v>
      </c>
      <c r="C472" t="s">
        <v>399</v>
      </c>
      <c r="D472" t="s">
        <v>396</v>
      </c>
      <c r="E472" t="s">
        <v>992</v>
      </c>
      <c r="F472">
        <v>0</v>
      </c>
      <c r="G472" t="s">
        <v>1088</v>
      </c>
      <c r="H472" t="s">
        <v>446</v>
      </c>
      <c r="I472" t="s">
        <v>446</v>
      </c>
      <c r="J472" t="s">
        <v>1746</v>
      </c>
      <c r="K472" t="s">
        <v>446</v>
      </c>
      <c r="L472" t="s">
        <v>446</v>
      </c>
      <c r="M472" t="s">
        <v>446</v>
      </c>
      <c r="N472" t="s">
        <v>446</v>
      </c>
      <c r="O472" t="s">
        <v>446</v>
      </c>
      <c r="P472" t="s">
        <v>446</v>
      </c>
      <c r="Q472" t="b">
        <v>1</v>
      </c>
      <c r="R472" t="b">
        <v>0</v>
      </c>
      <c r="S472" t="s">
        <v>1090</v>
      </c>
      <c r="T472" t="s">
        <v>1777</v>
      </c>
      <c r="U472" t="s">
        <v>1092</v>
      </c>
      <c r="V472" t="s">
        <v>1093</v>
      </c>
      <c r="W472" t="s">
        <v>1088</v>
      </c>
      <c r="X472" t="s">
        <v>1094</v>
      </c>
    </row>
    <row r="473" spans="1:24" x14ac:dyDescent="0.25">
      <c r="A473" t="s">
        <v>42</v>
      </c>
      <c r="B473" t="s">
        <v>1778</v>
      </c>
      <c r="C473" t="s">
        <v>399</v>
      </c>
      <c r="D473" t="s">
        <v>396</v>
      </c>
      <c r="E473" t="s">
        <v>998</v>
      </c>
      <c r="F473">
        <v>0</v>
      </c>
      <c r="G473" t="s">
        <v>1088</v>
      </c>
      <c r="H473" t="s">
        <v>446</v>
      </c>
      <c r="I473" t="s">
        <v>446</v>
      </c>
      <c r="J473" t="s">
        <v>1746</v>
      </c>
      <c r="K473" t="s">
        <v>446</v>
      </c>
      <c r="L473" t="s">
        <v>446</v>
      </c>
      <c r="M473" t="s">
        <v>446</v>
      </c>
      <c r="N473" t="s">
        <v>446</v>
      </c>
      <c r="O473" t="s">
        <v>446</v>
      </c>
      <c r="P473" t="s">
        <v>446</v>
      </c>
      <c r="Q473" t="b">
        <v>1</v>
      </c>
      <c r="R473" t="b">
        <v>0</v>
      </c>
      <c r="S473" t="s">
        <v>1090</v>
      </c>
      <c r="T473" t="s">
        <v>1779</v>
      </c>
      <c r="U473" t="s">
        <v>1092</v>
      </c>
      <c r="V473" t="s">
        <v>1093</v>
      </c>
      <c r="W473" t="s">
        <v>1088</v>
      </c>
      <c r="X473" t="s">
        <v>1094</v>
      </c>
    </row>
    <row r="474" spans="1:24" x14ac:dyDescent="0.25">
      <c r="A474" t="s">
        <v>42</v>
      </c>
      <c r="B474" t="s">
        <v>1780</v>
      </c>
      <c r="C474" t="s">
        <v>399</v>
      </c>
      <c r="D474" t="s">
        <v>396</v>
      </c>
      <c r="E474" t="s">
        <v>1006</v>
      </c>
      <c r="F474">
        <v>0</v>
      </c>
      <c r="G474" t="s">
        <v>1088</v>
      </c>
      <c r="H474" t="s">
        <v>446</v>
      </c>
      <c r="I474" t="s">
        <v>446</v>
      </c>
      <c r="J474" t="s">
        <v>1746</v>
      </c>
      <c r="K474" t="s">
        <v>446</v>
      </c>
      <c r="L474" t="s">
        <v>446</v>
      </c>
      <c r="M474" t="s">
        <v>446</v>
      </c>
      <c r="N474" t="s">
        <v>446</v>
      </c>
      <c r="O474" t="s">
        <v>446</v>
      </c>
      <c r="P474" t="s">
        <v>446</v>
      </c>
      <c r="Q474" t="b">
        <v>1</v>
      </c>
      <c r="R474" t="b">
        <v>0</v>
      </c>
      <c r="S474" t="s">
        <v>1090</v>
      </c>
      <c r="T474" t="s">
        <v>1781</v>
      </c>
      <c r="U474" t="s">
        <v>1092</v>
      </c>
      <c r="V474" t="s">
        <v>1093</v>
      </c>
      <c r="W474" t="s">
        <v>1088</v>
      </c>
      <c r="X474" t="s">
        <v>1094</v>
      </c>
    </row>
    <row r="475" spans="1:24" x14ac:dyDescent="0.25">
      <c r="A475" t="s">
        <v>42</v>
      </c>
      <c r="B475" t="s">
        <v>1782</v>
      </c>
      <c r="C475" t="s">
        <v>399</v>
      </c>
      <c r="D475" t="s">
        <v>396</v>
      </c>
      <c r="E475" t="s">
        <v>1013</v>
      </c>
      <c r="F475">
        <v>0</v>
      </c>
      <c r="G475" t="s">
        <v>1088</v>
      </c>
      <c r="H475" t="s">
        <v>446</v>
      </c>
      <c r="I475" t="s">
        <v>446</v>
      </c>
      <c r="J475" t="s">
        <v>1746</v>
      </c>
      <c r="K475" t="s">
        <v>446</v>
      </c>
      <c r="L475" t="s">
        <v>446</v>
      </c>
      <c r="M475" t="s">
        <v>446</v>
      </c>
      <c r="N475" t="s">
        <v>446</v>
      </c>
      <c r="O475" t="s">
        <v>446</v>
      </c>
      <c r="P475" t="s">
        <v>446</v>
      </c>
      <c r="Q475" t="b">
        <v>1</v>
      </c>
      <c r="R475" t="b">
        <v>0</v>
      </c>
      <c r="S475" t="s">
        <v>1090</v>
      </c>
      <c r="T475" t="s">
        <v>1783</v>
      </c>
      <c r="U475" t="s">
        <v>1092</v>
      </c>
      <c r="V475" t="s">
        <v>1093</v>
      </c>
      <c r="W475" t="s">
        <v>1088</v>
      </c>
      <c r="X475" t="s">
        <v>1094</v>
      </c>
    </row>
    <row r="476" spans="1:24" x14ac:dyDescent="0.25">
      <c r="A476" t="s">
        <v>42</v>
      </c>
      <c r="B476" t="s">
        <v>1784</v>
      </c>
      <c r="C476" t="s">
        <v>399</v>
      </c>
      <c r="D476" t="s">
        <v>396</v>
      </c>
      <c r="E476" t="s">
        <v>1018</v>
      </c>
      <c r="F476">
        <v>0</v>
      </c>
      <c r="G476" t="s">
        <v>1088</v>
      </c>
      <c r="H476" t="s">
        <v>446</v>
      </c>
      <c r="I476" t="s">
        <v>446</v>
      </c>
      <c r="J476" t="s">
        <v>1746</v>
      </c>
      <c r="K476" t="s">
        <v>446</v>
      </c>
      <c r="L476" t="s">
        <v>446</v>
      </c>
      <c r="M476" t="s">
        <v>446</v>
      </c>
      <c r="N476" t="s">
        <v>446</v>
      </c>
      <c r="O476" t="s">
        <v>446</v>
      </c>
      <c r="P476" t="s">
        <v>446</v>
      </c>
      <c r="Q476" t="b">
        <v>1</v>
      </c>
      <c r="R476" t="b">
        <v>0</v>
      </c>
      <c r="S476" t="s">
        <v>1090</v>
      </c>
      <c r="T476" t="s">
        <v>1785</v>
      </c>
      <c r="U476" t="s">
        <v>1092</v>
      </c>
      <c r="V476" t="s">
        <v>1093</v>
      </c>
      <c r="W476" t="s">
        <v>1088</v>
      </c>
      <c r="X476" t="s">
        <v>1094</v>
      </c>
    </row>
    <row r="477" spans="1:24" x14ac:dyDescent="0.25">
      <c r="A477" t="s">
        <v>42</v>
      </c>
      <c r="B477" t="s">
        <v>1786</v>
      </c>
      <c r="C477" t="s">
        <v>399</v>
      </c>
      <c r="D477" t="s">
        <v>396</v>
      </c>
      <c r="E477" t="s">
        <v>1023</v>
      </c>
      <c r="F477">
        <v>0</v>
      </c>
      <c r="G477" t="s">
        <v>1088</v>
      </c>
      <c r="H477" t="s">
        <v>446</v>
      </c>
      <c r="I477" t="s">
        <v>446</v>
      </c>
      <c r="J477" t="s">
        <v>1746</v>
      </c>
      <c r="K477" t="s">
        <v>446</v>
      </c>
      <c r="L477" t="s">
        <v>446</v>
      </c>
      <c r="M477" t="s">
        <v>446</v>
      </c>
      <c r="N477" t="s">
        <v>446</v>
      </c>
      <c r="O477" t="s">
        <v>446</v>
      </c>
      <c r="P477" t="s">
        <v>446</v>
      </c>
      <c r="Q477" t="b">
        <v>1</v>
      </c>
      <c r="R477" t="b">
        <v>0</v>
      </c>
      <c r="S477" t="s">
        <v>1090</v>
      </c>
      <c r="T477" t="s">
        <v>1787</v>
      </c>
      <c r="U477" t="s">
        <v>1092</v>
      </c>
      <c r="V477" t="s">
        <v>1093</v>
      </c>
      <c r="W477" t="s">
        <v>1088</v>
      </c>
      <c r="X477" t="s">
        <v>1094</v>
      </c>
    </row>
    <row r="478" spans="1:24" x14ac:dyDescent="0.25">
      <c r="A478" t="s">
        <v>42</v>
      </c>
      <c r="B478" t="s">
        <v>1788</v>
      </c>
      <c r="C478" t="s">
        <v>399</v>
      </c>
      <c r="D478" t="s">
        <v>396</v>
      </c>
      <c r="E478" t="s">
        <v>1029</v>
      </c>
      <c r="F478">
        <v>0</v>
      </c>
      <c r="G478" t="s">
        <v>1088</v>
      </c>
      <c r="H478" t="s">
        <v>446</v>
      </c>
      <c r="I478" t="s">
        <v>446</v>
      </c>
      <c r="J478" t="s">
        <v>1746</v>
      </c>
      <c r="K478" t="s">
        <v>446</v>
      </c>
      <c r="L478" t="s">
        <v>446</v>
      </c>
      <c r="M478" t="s">
        <v>446</v>
      </c>
      <c r="N478" t="s">
        <v>446</v>
      </c>
      <c r="O478" t="s">
        <v>446</v>
      </c>
      <c r="P478" t="s">
        <v>446</v>
      </c>
      <c r="Q478" t="b">
        <v>1</v>
      </c>
      <c r="R478" t="b">
        <v>0</v>
      </c>
      <c r="S478" t="s">
        <v>1090</v>
      </c>
      <c r="T478" t="s">
        <v>1789</v>
      </c>
      <c r="U478" t="s">
        <v>1092</v>
      </c>
      <c r="V478" t="s">
        <v>1093</v>
      </c>
      <c r="W478" t="s">
        <v>1088</v>
      </c>
      <c r="X478" t="s">
        <v>1094</v>
      </c>
    </row>
    <row r="479" spans="1:24" x14ac:dyDescent="0.25">
      <c r="A479" t="s">
        <v>42</v>
      </c>
      <c r="B479" t="s">
        <v>1790</v>
      </c>
      <c r="C479" t="s">
        <v>399</v>
      </c>
      <c r="D479" t="s">
        <v>396</v>
      </c>
      <c r="E479" t="s">
        <v>1035</v>
      </c>
      <c r="F479">
        <v>0</v>
      </c>
      <c r="G479" t="s">
        <v>1088</v>
      </c>
      <c r="H479" t="s">
        <v>446</v>
      </c>
      <c r="I479" t="s">
        <v>446</v>
      </c>
      <c r="J479" t="s">
        <v>1746</v>
      </c>
      <c r="K479" t="s">
        <v>446</v>
      </c>
      <c r="L479" t="s">
        <v>446</v>
      </c>
      <c r="M479" t="s">
        <v>446</v>
      </c>
      <c r="N479" t="s">
        <v>446</v>
      </c>
      <c r="O479" t="s">
        <v>446</v>
      </c>
      <c r="P479" t="s">
        <v>446</v>
      </c>
      <c r="Q479" t="b">
        <v>1</v>
      </c>
      <c r="R479" t="b">
        <v>0</v>
      </c>
      <c r="S479" t="s">
        <v>1090</v>
      </c>
      <c r="T479" t="s">
        <v>1789</v>
      </c>
      <c r="U479" t="s">
        <v>1092</v>
      </c>
      <c r="V479" t="s">
        <v>1093</v>
      </c>
      <c r="W479" t="s">
        <v>1088</v>
      </c>
      <c r="X479" t="s">
        <v>1094</v>
      </c>
    </row>
    <row r="480" spans="1:24" x14ac:dyDescent="0.25">
      <c r="A480" t="s">
        <v>42</v>
      </c>
      <c r="B480" t="s">
        <v>1791</v>
      </c>
      <c r="C480" t="s">
        <v>399</v>
      </c>
      <c r="D480" t="s">
        <v>396</v>
      </c>
      <c r="E480" t="s">
        <v>1040</v>
      </c>
      <c r="F480">
        <v>0</v>
      </c>
      <c r="G480" t="s">
        <v>1088</v>
      </c>
      <c r="H480" t="s">
        <v>446</v>
      </c>
      <c r="I480" t="s">
        <v>446</v>
      </c>
      <c r="J480" t="s">
        <v>1746</v>
      </c>
      <c r="K480" t="s">
        <v>446</v>
      </c>
      <c r="L480" t="s">
        <v>446</v>
      </c>
      <c r="M480" t="s">
        <v>446</v>
      </c>
      <c r="N480" t="s">
        <v>446</v>
      </c>
      <c r="O480" t="s">
        <v>446</v>
      </c>
      <c r="P480" t="s">
        <v>446</v>
      </c>
      <c r="Q480" t="b">
        <v>1</v>
      </c>
      <c r="R480" t="b">
        <v>0</v>
      </c>
      <c r="S480" t="s">
        <v>1090</v>
      </c>
      <c r="T480" t="s">
        <v>1792</v>
      </c>
      <c r="U480" t="s">
        <v>1092</v>
      </c>
      <c r="V480" t="s">
        <v>1093</v>
      </c>
      <c r="W480" t="s">
        <v>1088</v>
      </c>
      <c r="X480" t="s">
        <v>1094</v>
      </c>
    </row>
    <row r="481" spans="1:24" x14ac:dyDescent="0.25">
      <c r="A481" t="s">
        <v>42</v>
      </c>
      <c r="B481" t="s">
        <v>1793</v>
      </c>
      <c r="C481" t="s">
        <v>399</v>
      </c>
      <c r="D481" t="s">
        <v>396</v>
      </c>
      <c r="E481" t="s">
        <v>1045</v>
      </c>
      <c r="F481">
        <v>0</v>
      </c>
      <c r="G481" t="s">
        <v>1088</v>
      </c>
      <c r="H481" t="s">
        <v>446</v>
      </c>
      <c r="I481" t="s">
        <v>446</v>
      </c>
      <c r="J481" t="s">
        <v>1746</v>
      </c>
      <c r="K481" t="s">
        <v>446</v>
      </c>
      <c r="L481" t="s">
        <v>446</v>
      </c>
      <c r="M481" t="s">
        <v>446</v>
      </c>
      <c r="N481" t="s">
        <v>446</v>
      </c>
      <c r="O481" t="s">
        <v>446</v>
      </c>
      <c r="P481" t="s">
        <v>446</v>
      </c>
      <c r="Q481" t="b">
        <v>1</v>
      </c>
      <c r="R481" t="b">
        <v>0</v>
      </c>
      <c r="S481" t="s">
        <v>1090</v>
      </c>
      <c r="T481" t="s">
        <v>1794</v>
      </c>
      <c r="U481" t="s">
        <v>1092</v>
      </c>
      <c r="V481" t="s">
        <v>1093</v>
      </c>
      <c r="W481" t="s">
        <v>1088</v>
      </c>
      <c r="X481" t="s">
        <v>1094</v>
      </c>
    </row>
    <row r="482" spans="1:24" x14ac:dyDescent="0.25">
      <c r="A482" t="s">
        <v>42</v>
      </c>
      <c r="B482" t="s">
        <v>1795</v>
      </c>
      <c r="C482" t="s">
        <v>399</v>
      </c>
      <c r="D482" t="s">
        <v>396</v>
      </c>
      <c r="E482" t="s">
        <v>1051</v>
      </c>
      <c r="F482">
        <v>0</v>
      </c>
      <c r="G482" t="s">
        <v>1088</v>
      </c>
      <c r="H482" t="s">
        <v>446</v>
      </c>
      <c r="I482" t="s">
        <v>446</v>
      </c>
      <c r="J482" t="s">
        <v>1746</v>
      </c>
      <c r="K482" t="s">
        <v>446</v>
      </c>
      <c r="L482" t="s">
        <v>446</v>
      </c>
      <c r="M482" t="s">
        <v>446</v>
      </c>
      <c r="N482" t="s">
        <v>446</v>
      </c>
      <c r="O482" t="s">
        <v>446</v>
      </c>
      <c r="P482" t="s">
        <v>446</v>
      </c>
      <c r="Q482" t="b">
        <v>1</v>
      </c>
      <c r="R482" t="b">
        <v>0</v>
      </c>
      <c r="S482" t="s">
        <v>1090</v>
      </c>
      <c r="T482" t="s">
        <v>1796</v>
      </c>
      <c r="U482" t="s">
        <v>1092</v>
      </c>
      <c r="V482" t="s">
        <v>1093</v>
      </c>
      <c r="W482" t="s">
        <v>1088</v>
      </c>
      <c r="X482" t="s">
        <v>1094</v>
      </c>
    </row>
    <row r="483" spans="1:24" x14ac:dyDescent="0.25">
      <c r="A483" t="s">
        <v>42</v>
      </c>
      <c r="B483" t="s">
        <v>1797</v>
      </c>
      <c r="C483" t="s">
        <v>401</v>
      </c>
      <c r="D483" t="s">
        <v>396</v>
      </c>
      <c r="E483" t="s">
        <v>978</v>
      </c>
      <c r="F483">
        <v>0</v>
      </c>
      <c r="G483" t="s">
        <v>1088</v>
      </c>
      <c r="H483" t="s">
        <v>446</v>
      </c>
      <c r="I483" t="s">
        <v>446</v>
      </c>
      <c r="J483" t="s">
        <v>1746</v>
      </c>
      <c r="K483" t="s">
        <v>446</v>
      </c>
      <c r="L483" t="s">
        <v>446</v>
      </c>
      <c r="M483" t="s">
        <v>446</v>
      </c>
      <c r="N483" t="s">
        <v>446</v>
      </c>
      <c r="O483" t="s">
        <v>446</v>
      </c>
      <c r="P483" t="s">
        <v>446</v>
      </c>
      <c r="Q483" t="b">
        <v>1</v>
      </c>
      <c r="R483" t="b">
        <v>0</v>
      </c>
      <c r="S483" t="s">
        <v>1090</v>
      </c>
      <c r="T483" t="s">
        <v>1798</v>
      </c>
      <c r="U483" t="s">
        <v>1092</v>
      </c>
      <c r="V483" t="s">
        <v>1093</v>
      </c>
      <c r="W483" t="s">
        <v>1088</v>
      </c>
      <c r="X483" t="s">
        <v>1094</v>
      </c>
    </row>
    <row r="484" spans="1:24" x14ac:dyDescent="0.25">
      <c r="A484" t="s">
        <v>42</v>
      </c>
      <c r="B484" t="s">
        <v>1799</v>
      </c>
      <c r="C484" t="s">
        <v>401</v>
      </c>
      <c r="D484" t="s">
        <v>396</v>
      </c>
      <c r="E484" t="s">
        <v>986</v>
      </c>
      <c r="F484">
        <v>0</v>
      </c>
      <c r="G484" t="s">
        <v>1088</v>
      </c>
      <c r="H484" t="s">
        <v>446</v>
      </c>
      <c r="I484" t="s">
        <v>446</v>
      </c>
      <c r="J484" t="s">
        <v>1746</v>
      </c>
      <c r="K484" t="s">
        <v>446</v>
      </c>
      <c r="L484" t="s">
        <v>446</v>
      </c>
      <c r="M484" t="s">
        <v>446</v>
      </c>
      <c r="N484" t="s">
        <v>446</v>
      </c>
      <c r="O484" t="s">
        <v>446</v>
      </c>
      <c r="P484" t="s">
        <v>446</v>
      </c>
      <c r="Q484" t="b">
        <v>1</v>
      </c>
      <c r="R484" t="b">
        <v>0</v>
      </c>
      <c r="S484" t="s">
        <v>1090</v>
      </c>
      <c r="T484" t="s">
        <v>1800</v>
      </c>
      <c r="U484" t="s">
        <v>1092</v>
      </c>
      <c r="V484" t="s">
        <v>1093</v>
      </c>
      <c r="W484" t="s">
        <v>1088</v>
      </c>
      <c r="X484" t="s">
        <v>1094</v>
      </c>
    </row>
    <row r="485" spans="1:24" x14ac:dyDescent="0.25">
      <c r="A485" t="s">
        <v>42</v>
      </c>
      <c r="B485" t="s">
        <v>1801</v>
      </c>
      <c r="C485" t="s">
        <v>401</v>
      </c>
      <c r="D485" t="s">
        <v>396</v>
      </c>
      <c r="E485" t="s">
        <v>998</v>
      </c>
      <c r="F485">
        <v>0</v>
      </c>
      <c r="G485" t="s">
        <v>1088</v>
      </c>
      <c r="H485" t="s">
        <v>446</v>
      </c>
      <c r="I485" t="s">
        <v>446</v>
      </c>
      <c r="J485" t="s">
        <v>1746</v>
      </c>
      <c r="K485" t="s">
        <v>446</v>
      </c>
      <c r="L485" t="s">
        <v>446</v>
      </c>
      <c r="M485" t="s">
        <v>446</v>
      </c>
      <c r="N485" t="s">
        <v>446</v>
      </c>
      <c r="O485" t="s">
        <v>446</v>
      </c>
      <c r="P485" t="s">
        <v>446</v>
      </c>
      <c r="Q485" t="b">
        <v>1</v>
      </c>
      <c r="R485" t="b">
        <v>0</v>
      </c>
      <c r="S485" t="s">
        <v>1090</v>
      </c>
      <c r="T485" t="s">
        <v>1802</v>
      </c>
      <c r="U485" t="s">
        <v>1092</v>
      </c>
      <c r="V485" t="s">
        <v>1093</v>
      </c>
      <c r="W485" t="s">
        <v>1088</v>
      </c>
      <c r="X485" t="s">
        <v>1094</v>
      </c>
    </row>
    <row r="486" spans="1:24" x14ac:dyDescent="0.25">
      <c r="A486" t="s">
        <v>42</v>
      </c>
      <c r="B486" t="s">
        <v>1803</v>
      </c>
      <c r="C486" t="s">
        <v>401</v>
      </c>
      <c r="D486" t="s">
        <v>396</v>
      </c>
      <c r="E486" t="s">
        <v>1006</v>
      </c>
      <c r="F486">
        <v>0</v>
      </c>
      <c r="G486" t="s">
        <v>1088</v>
      </c>
      <c r="H486" t="s">
        <v>446</v>
      </c>
      <c r="I486" t="s">
        <v>446</v>
      </c>
      <c r="J486" t="s">
        <v>1746</v>
      </c>
      <c r="K486" t="s">
        <v>446</v>
      </c>
      <c r="L486" t="s">
        <v>446</v>
      </c>
      <c r="M486" t="s">
        <v>446</v>
      </c>
      <c r="N486" t="s">
        <v>446</v>
      </c>
      <c r="O486" t="s">
        <v>446</v>
      </c>
      <c r="P486" t="s">
        <v>446</v>
      </c>
      <c r="Q486" t="b">
        <v>1</v>
      </c>
      <c r="R486" t="b">
        <v>0</v>
      </c>
      <c r="S486" t="s">
        <v>1090</v>
      </c>
      <c r="T486" t="s">
        <v>1804</v>
      </c>
      <c r="U486" t="s">
        <v>1092</v>
      </c>
      <c r="V486" t="s">
        <v>1093</v>
      </c>
      <c r="W486" t="s">
        <v>1088</v>
      </c>
      <c r="X486" t="s">
        <v>1094</v>
      </c>
    </row>
    <row r="487" spans="1:24" x14ac:dyDescent="0.25">
      <c r="A487" t="s">
        <v>42</v>
      </c>
      <c r="B487" t="s">
        <v>1805</v>
      </c>
      <c r="C487" t="s">
        <v>401</v>
      </c>
      <c r="D487" t="s">
        <v>396</v>
      </c>
      <c r="E487" t="s">
        <v>1013</v>
      </c>
      <c r="F487">
        <v>0</v>
      </c>
      <c r="G487" t="s">
        <v>1088</v>
      </c>
      <c r="H487" t="s">
        <v>446</v>
      </c>
      <c r="I487" t="s">
        <v>446</v>
      </c>
      <c r="J487" t="s">
        <v>1746</v>
      </c>
      <c r="K487" t="s">
        <v>446</v>
      </c>
      <c r="L487" t="s">
        <v>446</v>
      </c>
      <c r="M487" t="s">
        <v>446</v>
      </c>
      <c r="N487" t="s">
        <v>446</v>
      </c>
      <c r="O487" t="s">
        <v>446</v>
      </c>
      <c r="P487" t="s">
        <v>446</v>
      </c>
      <c r="Q487" t="b">
        <v>1</v>
      </c>
      <c r="R487" t="b">
        <v>0</v>
      </c>
      <c r="S487" t="s">
        <v>1090</v>
      </c>
      <c r="T487" t="s">
        <v>1806</v>
      </c>
      <c r="U487" t="s">
        <v>1092</v>
      </c>
      <c r="V487" t="s">
        <v>1093</v>
      </c>
      <c r="W487" t="s">
        <v>1088</v>
      </c>
      <c r="X487" t="s">
        <v>1094</v>
      </c>
    </row>
    <row r="488" spans="1:24" x14ac:dyDescent="0.25">
      <c r="A488" t="s">
        <v>42</v>
      </c>
      <c r="B488" t="s">
        <v>1807</v>
      </c>
      <c r="C488" t="s">
        <v>401</v>
      </c>
      <c r="D488" t="s">
        <v>396</v>
      </c>
      <c r="E488" t="s">
        <v>1018</v>
      </c>
      <c r="F488">
        <v>0</v>
      </c>
      <c r="G488" t="s">
        <v>1088</v>
      </c>
      <c r="H488" t="s">
        <v>446</v>
      </c>
      <c r="I488" t="s">
        <v>446</v>
      </c>
      <c r="J488" t="s">
        <v>1746</v>
      </c>
      <c r="K488" t="s">
        <v>446</v>
      </c>
      <c r="L488" t="s">
        <v>446</v>
      </c>
      <c r="M488" t="s">
        <v>446</v>
      </c>
      <c r="N488" t="s">
        <v>446</v>
      </c>
      <c r="O488" t="s">
        <v>446</v>
      </c>
      <c r="P488" t="s">
        <v>446</v>
      </c>
      <c r="Q488" t="b">
        <v>1</v>
      </c>
      <c r="R488" t="b">
        <v>0</v>
      </c>
      <c r="S488" t="s">
        <v>1090</v>
      </c>
      <c r="T488" t="s">
        <v>1808</v>
      </c>
      <c r="U488" t="s">
        <v>1092</v>
      </c>
      <c r="V488" t="s">
        <v>1093</v>
      </c>
      <c r="W488" t="s">
        <v>1088</v>
      </c>
      <c r="X488" t="s">
        <v>1094</v>
      </c>
    </row>
    <row r="489" spans="1:24" x14ac:dyDescent="0.25">
      <c r="A489" t="s">
        <v>42</v>
      </c>
      <c r="B489" t="s">
        <v>1809</v>
      </c>
      <c r="C489" t="s">
        <v>401</v>
      </c>
      <c r="D489" t="s">
        <v>396</v>
      </c>
      <c r="E489" t="s">
        <v>1023</v>
      </c>
      <c r="F489">
        <v>0</v>
      </c>
      <c r="G489" t="s">
        <v>1088</v>
      </c>
      <c r="H489" t="s">
        <v>446</v>
      </c>
      <c r="I489" t="s">
        <v>446</v>
      </c>
      <c r="J489" t="s">
        <v>1746</v>
      </c>
      <c r="K489" t="s">
        <v>446</v>
      </c>
      <c r="L489" t="s">
        <v>446</v>
      </c>
      <c r="M489" t="s">
        <v>446</v>
      </c>
      <c r="N489" t="s">
        <v>446</v>
      </c>
      <c r="O489" t="s">
        <v>446</v>
      </c>
      <c r="P489" t="s">
        <v>446</v>
      </c>
      <c r="Q489" t="b">
        <v>1</v>
      </c>
      <c r="R489" t="b">
        <v>0</v>
      </c>
      <c r="S489" t="s">
        <v>1090</v>
      </c>
      <c r="T489" t="s">
        <v>1810</v>
      </c>
      <c r="U489" t="s">
        <v>1092</v>
      </c>
      <c r="V489" t="s">
        <v>1093</v>
      </c>
      <c r="W489" t="s">
        <v>1088</v>
      </c>
      <c r="X489" t="s">
        <v>1094</v>
      </c>
    </row>
    <row r="490" spans="1:24" x14ac:dyDescent="0.25">
      <c r="A490" t="s">
        <v>42</v>
      </c>
      <c r="B490" t="s">
        <v>1811</v>
      </c>
      <c r="C490" t="s">
        <v>401</v>
      </c>
      <c r="D490" t="s">
        <v>396</v>
      </c>
      <c r="E490" t="s">
        <v>1029</v>
      </c>
      <c r="F490">
        <v>0</v>
      </c>
      <c r="G490" t="s">
        <v>1088</v>
      </c>
      <c r="H490" t="s">
        <v>446</v>
      </c>
      <c r="I490" t="s">
        <v>446</v>
      </c>
      <c r="J490" t="s">
        <v>1746</v>
      </c>
      <c r="K490" t="s">
        <v>446</v>
      </c>
      <c r="L490" t="s">
        <v>446</v>
      </c>
      <c r="M490" t="s">
        <v>446</v>
      </c>
      <c r="N490" t="s">
        <v>446</v>
      </c>
      <c r="O490" t="s">
        <v>446</v>
      </c>
      <c r="P490" t="s">
        <v>446</v>
      </c>
      <c r="Q490" t="b">
        <v>1</v>
      </c>
      <c r="R490" t="b">
        <v>0</v>
      </c>
      <c r="S490" t="s">
        <v>1090</v>
      </c>
      <c r="T490" t="s">
        <v>1812</v>
      </c>
      <c r="U490" t="s">
        <v>1092</v>
      </c>
      <c r="V490" t="s">
        <v>1093</v>
      </c>
      <c r="W490" t="s">
        <v>1088</v>
      </c>
      <c r="X490" t="s">
        <v>1094</v>
      </c>
    </row>
    <row r="491" spans="1:24" x14ac:dyDescent="0.25">
      <c r="A491" t="s">
        <v>42</v>
      </c>
      <c r="B491" t="s">
        <v>1813</v>
      </c>
      <c r="C491" t="s">
        <v>401</v>
      </c>
      <c r="D491" t="s">
        <v>396</v>
      </c>
      <c r="E491" t="s">
        <v>1035</v>
      </c>
      <c r="F491">
        <v>0</v>
      </c>
      <c r="G491" t="s">
        <v>1088</v>
      </c>
      <c r="H491" t="s">
        <v>446</v>
      </c>
      <c r="I491" t="s">
        <v>446</v>
      </c>
      <c r="J491" t="s">
        <v>1746</v>
      </c>
      <c r="K491" t="s">
        <v>446</v>
      </c>
      <c r="L491" t="s">
        <v>446</v>
      </c>
      <c r="M491" t="s">
        <v>446</v>
      </c>
      <c r="N491" t="s">
        <v>446</v>
      </c>
      <c r="O491" t="s">
        <v>446</v>
      </c>
      <c r="P491" t="s">
        <v>446</v>
      </c>
      <c r="Q491" t="b">
        <v>1</v>
      </c>
      <c r="R491" t="b">
        <v>0</v>
      </c>
      <c r="S491" t="s">
        <v>1090</v>
      </c>
      <c r="T491" t="s">
        <v>1159</v>
      </c>
      <c r="U491" t="s">
        <v>1092</v>
      </c>
      <c r="V491" t="s">
        <v>1093</v>
      </c>
      <c r="W491" t="s">
        <v>1088</v>
      </c>
      <c r="X491" t="s">
        <v>1094</v>
      </c>
    </row>
    <row r="492" spans="1:24" x14ac:dyDescent="0.25">
      <c r="A492" t="s">
        <v>42</v>
      </c>
      <c r="B492" t="s">
        <v>1814</v>
      </c>
      <c r="C492" t="s">
        <v>401</v>
      </c>
      <c r="D492" t="s">
        <v>396</v>
      </c>
      <c r="E492" t="s">
        <v>1040</v>
      </c>
      <c r="F492">
        <v>0</v>
      </c>
      <c r="G492" t="s">
        <v>1088</v>
      </c>
      <c r="H492" t="s">
        <v>446</v>
      </c>
      <c r="I492" t="s">
        <v>446</v>
      </c>
      <c r="J492" t="s">
        <v>1746</v>
      </c>
      <c r="K492" t="s">
        <v>446</v>
      </c>
      <c r="L492" t="s">
        <v>446</v>
      </c>
      <c r="M492" t="s">
        <v>446</v>
      </c>
      <c r="N492" t="s">
        <v>446</v>
      </c>
      <c r="O492" t="s">
        <v>446</v>
      </c>
      <c r="P492" t="s">
        <v>446</v>
      </c>
      <c r="Q492" t="b">
        <v>1</v>
      </c>
      <c r="R492" t="b">
        <v>0</v>
      </c>
      <c r="S492" t="s">
        <v>1090</v>
      </c>
      <c r="T492" t="s">
        <v>1815</v>
      </c>
      <c r="U492" t="s">
        <v>1092</v>
      </c>
      <c r="V492" t="s">
        <v>1093</v>
      </c>
      <c r="W492" t="s">
        <v>1088</v>
      </c>
      <c r="X492" t="s">
        <v>1094</v>
      </c>
    </row>
    <row r="493" spans="1:24" x14ac:dyDescent="0.25">
      <c r="A493" t="s">
        <v>42</v>
      </c>
      <c r="B493" t="s">
        <v>1816</v>
      </c>
      <c r="C493" t="s">
        <v>401</v>
      </c>
      <c r="D493" t="s">
        <v>396</v>
      </c>
      <c r="E493" t="s">
        <v>1051</v>
      </c>
      <c r="F493">
        <v>0</v>
      </c>
      <c r="G493" t="s">
        <v>1088</v>
      </c>
      <c r="H493" t="s">
        <v>446</v>
      </c>
      <c r="I493" t="s">
        <v>446</v>
      </c>
      <c r="J493" t="s">
        <v>1746</v>
      </c>
      <c r="K493" t="s">
        <v>446</v>
      </c>
      <c r="L493" t="s">
        <v>446</v>
      </c>
      <c r="M493" t="s">
        <v>446</v>
      </c>
      <c r="N493" t="s">
        <v>446</v>
      </c>
      <c r="O493" t="s">
        <v>446</v>
      </c>
      <c r="P493" t="s">
        <v>446</v>
      </c>
      <c r="Q493" t="b">
        <v>1</v>
      </c>
      <c r="R493" t="b">
        <v>0</v>
      </c>
      <c r="S493" t="s">
        <v>1090</v>
      </c>
      <c r="T493" t="s">
        <v>1817</v>
      </c>
      <c r="U493" t="s">
        <v>1092</v>
      </c>
      <c r="V493" t="s">
        <v>1093</v>
      </c>
      <c r="W493" t="s">
        <v>1088</v>
      </c>
      <c r="X493" t="s">
        <v>1094</v>
      </c>
    </row>
    <row r="494" spans="1:24" x14ac:dyDescent="0.25">
      <c r="A494" t="s">
        <v>42</v>
      </c>
      <c r="B494" t="s">
        <v>1818</v>
      </c>
      <c r="C494" t="s">
        <v>404</v>
      </c>
      <c r="D494" t="s">
        <v>403</v>
      </c>
      <c r="E494" t="s">
        <v>978</v>
      </c>
      <c r="F494">
        <v>0</v>
      </c>
      <c r="G494" t="s">
        <v>1088</v>
      </c>
      <c r="H494" t="s">
        <v>446</v>
      </c>
      <c r="I494" t="s">
        <v>446</v>
      </c>
      <c r="J494" t="s">
        <v>1746</v>
      </c>
      <c r="K494" t="s">
        <v>446</v>
      </c>
      <c r="L494" t="s">
        <v>446</v>
      </c>
      <c r="M494" t="s">
        <v>446</v>
      </c>
      <c r="N494" t="s">
        <v>446</v>
      </c>
      <c r="O494" t="s">
        <v>446</v>
      </c>
      <c r="P494" t="s">
        <v>446</v>
      </c>
      <c r="Q494" t="b">
        <v>1</v>
      </c>
      <c r="R494" t="b">
        <v>0</v>
      </c>
      <c r="S494" t="s">
        <v>1090</v>
      </c>
      <c r="T494" t="s">
        <v>1159</v>
      </c>
      <c r="U494" t="s">
        <v>1092</v>
      </c>
      <c r="V494" t="s">
        <v>1093</v>
      </c>
      <c r="W494" t="s">
        <v>1088</v>
      </c>
      <c r="X494" t="s">
        <v>1094</v>
      </c>
    </row>
    <row r="495" spans="1:24" x14ac:dyDescent="0.25">
      <c r="A495" t="s">
        <v>42</v>
      </c>
      <c r="B495" t="s">
        <v>1819</v>
      </c>
      <c r="C495" t="s">
        <v>404</v>
      </c>
      <c r="D495" t="s">
        <v>403</v>
      </c>
      <c r="E495" t="s">
        <v>986</v>
      </c>
      <c r="F495">
        <v>0</v>
      </c>
      <c r="G495" t="s">
        <v>1088</v>
      </c>
      <c r="H495" t="s">
        <v>446</v>
      </c>
      <c r="I495" t="s">
        <v>446</v>
      </c>
      <c r="J495" t="s">
        <v>1746</v>
      </c>
      <c r="K495" t="s">
        <v>446</v>
      </c>
      <c r="L495" t="s">
        <v>446</v>
      </c>
      <c r="M495" t="s">
        <v>446</v>
      </c>
      <c r="N495" t="s">
        <v>446</v>
      </c>
      <c r="O495" t="s">
        <v>446</v>
      </c>
      <c r="P495" t="s">
        <v>446</v>
      </c>
      <c r="Q495" t="b">
        <v>1</v>
      </c>
      <c r="R495" t="b">
        <v>0</v>
      </c>
      <c r="S495" t="s">
        <v>1090</v>
      </c>
      <c r="T495" t="s">
        <v>1159</v>
      </c>
      <c r="U495" t="s">
        <v>1092</v>
      </c>
      <c r="V495" t="s">
        <v>1093</v>
      </c>
      <c r="W495" t="s">
        <v>1088</v>
      </c>
      <c r="X495" t="s">
        <v>1094</v>
      </c>
    </row>
    <row r="496" spans="1:24" x14ac:dyDescent="0.25">
      <c r="A496" t="s">
        <v>42</v>
      </c>
      <c r="B496" t="s">
        <v>1820</v>
      </c>
      <c r="C496" t="s">
        <v>404</v>
      </c>
      <c r="D496" t="s">
        <v>403</v>
      </c>
      <c r="E496" t="s">
        <v>992</v>
      </c>
      <c r="F496">
        <v>0</v>
      </c>
      <c r="G496" t="s">
        <v>1088</v>
      </c>
      <c r="H496" t="s">
        <v>446</v>
      </c>
      <c r="I496" t="s">
        <v>446</v>
      </c>
      <c r="J496" t="s">
        <v>1746</v>
      </c>
      <c r="K496" t="s">
        <v>446</v>
      </c>
      <c r="L496" t="s">
        <v>446</v>
      </c>
      <c r="M496" t="s">
        <v>446</v>
      </c>
      <c r="N496" t="s">
        <v>446</v>
      </c>
      <c r="O496" t="s">
        <v>446</v>
      </c>
      <c r="P496" t="s">
        <v>446</v>
      </c>
      <c r="Q496" t="b">
        <v>1</v>
      </c>
      <c r="R496" t="b">
        <v>0</v>
      </c>
      <c r="S496" t="s">
        <v>1090</v>
      </c>
      <c r="T496" t="s">
        <v>1159</v>
      </c>
      <c r="U496" t="s">
        <v>1092</v>
      </c>
      <c r="V496" t="s">
        <v>1093</v>
      </c>
      <c r="W496" t="s">
        <v>1088</v>
      </c>
      <c r="X496" t="s">
        <v>1094</v>
      </c>
    </row>
    <row r="497" spans="1:24" x14ac:dyDescent="0.25">
      <c r="A497" t="s">
        <v>42</v>
      </c>
      <c r="B497" t="s">
        <v>1821</v>
      </c>
      <c r="C497" t="s">
        <v>404</v>
      </c>
      <c r="D497" t="s">
        <v>403</v>
      </c>
      <c r="E497" t="s">
        <v>998</v>
      </c>
      <c r="F497">
        <v>0</v>
      </c>
      <c r="G497" t="s">
        <v>1088</v>
      </c>
      <c r="H497" t="s">
        <v>446</v>
      </c>
      <c r="I497" t="s">
        <v>446</v>
      </c>
      <c r="J497" t="s">
        <v>1746</v>
      </c>
      <c r="K497" t="s">
        <v>446</v>
      </c>
      <c r="L497" t="s">
        <v>446</v>
      </c>
      <c r="M497" t="s">
        <v>446</v>
      </c>
      <c r="N497" t="s">
        <v>446</v>
      </c>
      <c r="O497" t="s">
        <v>446</v>
      </c>
      <c r="P497" t="s">
        <v>446</v>
      </c>
      <c r="Q497" t="b">
        <v>1</v>
      </c>
      <c r="R497" t="b">
        <v>0</v>
      </c>
      <c r="S497" t="s">
        <v>1090</v>
      </c>
      <c r="T497" t="s">
        <v>1159</v>
      </c>
      <c r="U497" t="s">
        <v>1092</v>
      </c>
      <c r="V497" t="s">
        <v>1093</v>
      </c>
      <c r="W497" t="s">
        <v>1088</v>
      </c>
      <c r="X497" t="s">
        <v>1094</v>
      </c>
    </row>
    <row r="498" spans="1:24" x14ac:dyDescent="0.25">
      <c r="A498" t="s">
        <v>42</v>
      </c>
      <c r="B498" t="s">
        <v>1822</v>
      </c>
      <c r="C498" t="s">
        <v>404</v>
      </c>
      <c r="D498" t="s">
        <v>403</v>
      </c>
      <c r="E498" t="s">
        <v>1006</v>
      </c>
      <c r="F498">
        <v>0</v>
      </c>
      <c r="G498" t="s">
        <v>1088</v>
      </c>
      <c r="H498" t="s">
        <v>446</v>
      </c>
      <c r="I498" t="s">
        <v>446</v>
      </c>
      <c r="J498" t="s">
        <v>1746</v>
      </c>
      <c r="K498" t="s">
        <v>446</v>
      </c>
      <c r="L498" t="s">
        <v>446</v>
      </c>
      <c r="M498" t="s">
        <v>446</v>
      </c>
      <c r="N498" t="s">
        <v>446</v>
      </c>
      <c r="O498" t="s">
        <v>446</v>
      </c>
      <c r="P498" t="s">
        <v>446</v>
      </c>
      <c r="Q498" t="b">
        <v>1</v>
      </c>
      <c r="R498" t="b">
        <v>0</v>
      </c>
      <c r="S498" t="s">
        <v>1090</v>
      </c>
      <c r="T498" t="s">
        <v>1159</v>
      </c>
      <c r="U498" t="s">
        <v>1092</v>
      </c>
      <c r="V498" t="s">
        <v>1093</v>
      </c>
      <c r="W498" t="s">
        <v>1088</v>
      </c>
      <c r="X498" t="s">
        <v>1094</v>
      </c>
    </row>
    <row r="499" spans="1:24" x14ac:dyDescent="0.25">
      <c r="A499" t="s">
        <v>42</v>
      </c>
      <c r="B499" t="s">
        <v>1823</v>
      </c>
      <c r="C499" t="s">
        <v>404</v>
      </c>
      <c r="D499" t="s">
        <v>403</v>
      </c>
      <c r="E499" t="s">
        <v>1013</v>
      </c>
      <c r="F499">
        <v>0</v>
      </c>
      <c r="G499" t="s">
        <v>1088</v>
      </c>
      <c r="H499" t="s">
        <v>446</v>
      </c>
      <c r="I499" t="s">
        <v>446</v>
      </c>
      <c r="J499" t="s">
        <v>1746</v>
      </c>
      <c r="K499" t="s">
        <v>446</v>
      </c>
      <c r="L499" t="s">
        <v>446</v>
      </c>
      <c r="M499" t="s">
        <v>446</v>
      </c>
      <c r="N499" t="s">
        <v>446</v>
      </c>
      <c r="O499" t="s">
        <v>446</v>
      </c>
      <c r="P499" t="s">
        <v>446</v>
      </c>
      <c r="Q499" t="b">
        <v>1</v>
      </c>
      <c r="R499" t="b">
        <v>0</v>
      </c>
      <c r="S499" t="s">
        <v>1090</v>
      </c>
      <c r="T499" t="s">
        <v>1159</v>
      </c>
      <c r="U499" t="s">
        <v>1092</v>
      </c>
      <c r="V499" t="s">
        <v>1093</v>
      </c>
      <c r="W499" t="s">
        <v>1088</v>
      </c>
      <c r="X499" t="s">
        <v>1094</v>
      </c>
    </row>
    <row r="500" spans="1:24" x14ac:dyDescent="0.25">
      <c r="A500" t="s">
        <v>42</v>
      </c>
      <c r="B500" t="s">
        <v>1824</v>
      </c>
      <c r="C500" t="s">
        <v>404</v>
      </c>
      <c r="D500" t="s">
        <v>403</v>
      </c>
      <c r="E500" t="s">
        <v>1018</v>
      </c>
      <c r="F500">
        <v>0</v>
      </c>
      <c r="G500" t="s">
        <v>1088</v>
      </c>
      <c r="H500" t="s">
        <v>446</v>
      </c>
      <c r="I500" t="s">
        <v>446</v>
      </c>
      <c r="J500" t="s">
        <v>1746</v>
      </c>
      <c r="K500" t="s">
        <v>446</v>
      </c>
      <c r="L500" t="s">
        <v>446</v>
      </c>
      <c r="M500" t="s">
        <v>446</v>
      </c>
      <c r="N500" t="s">
        <v>446</v>
      </c>
      <c r="O500" t="s">
        <v>446</v>
      </c>
      <c r="P500" t="s">
        <v>446</v>
      </c>
      <c r="Q500" t="b">
        <v>1</v>
      </c>
      <c r="R500" t="b">
        <v>0</v>
      </c>
      <c r="S500" t="s">
        <v>1090</v>
      </c>
      <c r="T500" t="s">
        <v>1159</v>
      </c>
      <c r="U500" t="s">
        <v>1092</v>
      </c>
      <c r="V500" t="s">
        <v>1093</v>
      </c>
      <c r="W500" t="s">
        <v>1088</v>
      </c>
      <c r="X500" t="s">
        <v>1094</v>
      </c>
    </row>
    <row r="501" spans="1:24" x14ac:dyDescent="0.25">
      <c r="A501" t="s">
        <v>42</v>
      </c>
      <c r="B501" t="s">
        <v>1825</v>
      </c>
      <c r="C501" t="s">
        <v>404</v>
      </c>
      <c r="D501" t="s">
        <v>403</v>
      </c>
      <c r="E501" t="s">
        <v>1023</v>
      </c>
      <c r="F501">
        <v>0</v>
      </c>
      <c r="G501" t="s">
        <v>1088</v>
      </c>
      <c r="H501" t="s">
        <v>446</v>
      </c>
      <c r="I501" t="s">
        <v>446</v>
      </c>
      <c r="J501" t="s">
        <v>1746</v>
      </c>
      <c r="K501" t="s">
        <v>446</v>
      </c>
      <c r="L501" t="s">
        <v>446</v>
      </c>
      <c r="M501" t="s">
        <v>446</v>
      </c>
      <c r="N501" t="s">
        <v>446</v>
      </c>
      <c r="O501" t="s">
        <v>446</v>
      </c>
      <c r="P501" t="s">
        <v>446</v>
      </c>
      <c r="Q501" t="b">
        <v>1</v>
      </c>
      <c r="R501" t="b">
        <v>0</v>
      </c>
      <c r="S501" t="s">
        <v>1090</v>
      </c>
      <c r="T501" t="s">
        <v>1159</v>
      </c>
      <c r="U501" t="s">
        <v>1092</v>
      </c>
      <c r="V501" t="s">
        <v>1093</v>
      </c>
      <c r="W501" t="s">
        <v>1088</v>
      </c>
      <c r="X501" t="s">
        <v>1094</v>
      </c>
    </row>
    <row r="502" spans="1:24" x14ac:dyDescent="0.25">
      <c r="A502" t="s">
        <v>42</v>
      </c>
      <c r="B502" t="s">
        <v>1826</v>
      </c>
      <c r="C502" t="s">
        <v>404</v>
      </c>
      <c r="D502" t="s">
        <v>403</v>
      </c>
      <c r="E502" t="s">
        <v>1029</v>
      </c>
      <c r="F502">
        <v>0</v>
      </c>
      <c r="G502" t="s">
        <v>1088</v>
      </c>
      <c r="H502" t="s">
        <v>446</v>
      </c>
      <c r="I502" t="s">
        <v>446</v>
      </c>
      <c r="J502" t="s">
        <v>1746</v>
      </c>
      <c r="K502" t="s">
        <v>446</v>
      </c>
      <c r="L502" t="s">
        <v>446</v>
      </c>
      <c r="M502" t="s">
        <v>446</v>
      </c>
      <c r="N502" t="s">
        <v>446</v>
      </c>
      <c r="O502" t="s">
        <v>446</v>
      </c>
      <c r="P502" t="s">
        <v>446</v>
      </c>
      <c r="Q502" t="b">
        <v>1</v>
      </c>
      <c r="R502" t="b">
        <v>0</v>
      </c>
      <c r="S502" t="s">
        <v>1090</v>
      </c>
      <c r="T502" t="s">
        <v>1159</v>
      </c>
      <c r="U502" t="s">
        <v>1092</v>
      </c>
      <c r="V502" t="s">
        <v>1093</v>
      </c>
      <c r="W502" t="s">
        <v>1088</v>
      </c>
      <c r="X502" t="s">
        <v>1094</v>
      </c>
    </row>
    <row r="503" spans="1:24" x14ac:dyDescent="0.25">
      <c r="A503" t="s">
        <v>42</v>
      </c>
      <c r="B503" t="s">
        <v>1827</v>
      </c>
      <c r="C503" t="s">
        <v>404</v>
      </c>
      <c r="D503" t="s">
        <v>403</v>
      </c>
      <c r="E503" t="s">
        <v>1035</v>
      </c>
      <c r="F503">
        <v>0</v>
      </c>
      <c r="G503" t="s">
        <v>1088</v>
      </c>
      <c r="H503" t="s">
        <v>446</v>
      </c>
      <c r="I503" t="s">
        <v>446</v>
      </c>
      <c r="J503" t="s">
        <v>1746</v>
      </c>
      <c r="K503" t="s">
        <v>446</v>
      </c>
      <c r="L503" t="s">
        <v>446</v>
      </c>
      <c r="M503" t="s">
        <v>446</v>
      </c>
      <c r="N503" t="s">
        <v>446</v>
      </c>
      <c r="O503" t="s">
        <v>446</v>
      </c>
      <c r="P503" t="s">
        <v>446</v>
      </c>
      <c r="Q503" t="b">
        <v>1</v>
      </c>
      <c r="R503" t="b">
        <v>0</v>
      </c>
      <c r="S503" t="s">
        <v>1090</v>
      </c>
      <c r="T503" t="s">
        <v>1159</v>
      </c>
      <c r="U503" t="s">
        <v>1092</v>
      </c>
      <c r="V503" t="s">
        <v>1093</v>
      </c>
      <c r="W503" t="s">
        <v>1088</v>
      </c>
      <c r="X503" t="s">
        <v>1094</v>
      </c>
    </row>
    <row r="504" spans="1:24" x14ac:dyDescent="0.25">
      <c r="A504" t="s">
        <v>42</v>
      </c>
      <c r="B504" t="s">
        <v>1828</v>
      </c>
      <c r="C504" t="s">
        <v>404</v>
      </c>
      <c r="D504" t="s">
        <v>403</v>
      </c>
      <c r="E504" t="s">
        <v>1040</v>
      </c>
      <c r="F504">
        <v>0</v>
      </c>
      <c r="G504" t="s">
        <v>1088</v>
      </c>
      <c r="H504" t="s">
        <v>446</v>
      </c>
      <c r="I504" t="s">
        <v>446</v>
      </c>
      <c r="J504" t="s">
        <v>1746</v>
      </c>
      <c r="K504" t="s">
        <v>446</v>
      </c>
      <c r="L504" t="s">
        <v>446</v>
      </c>
      <c r="M504" t="s">
        <v>446</v>
      </c>
      <c r="N504" t="s">
        <v>446</v>
      </c>
      <c r="O504" t="s">
        <v>446</v>
      </c>
      <c r="P504" t="s">
        <v>446</v>
      </c>
      <c r="Q504" t="b">
        <v>1</v>
      </c>
      <c r="R504" t="b">
        <v>0</v>
      </c>
      <c r="S504" t="s">
        <v>1090</v>
      </c>
      <c r="T504" t="s">
        <v>1159</v>
      </c>
      <c r="U504" t="s">
        <v>1092</v>
      </c>
      <c r="V504" t="s">
        <v>1093</v>
      </c>
      <c r="W504" t="s">
        <v>1088</v>
      </c>
      <c r="X504" t="s">
        <v>1094</v>
      </c>
    </row>
    <row r="505" spans="1:24" x14ac:dyDescent="0.25">
      <c r="A505" t="s">
        <v>42</v>
      </c>
      <c r="B505" t="s">
        <v>1829</v>
      </c>
      <c r="C505" t="s">
        <v>404</v>
      </c>
      <c r="D505" t="s">
        <v>403</v>
      </c>
      <c r="E505" t="s">
        <v>1045</v>
      </c>
      <c r="F505">
        <v>0</v>
      </c>
      <c r="G505" t="s">
        <v>1088</v>
      </c>
      <c r="H505" t="s">
        <v>446</v>
      </c>
      <c r="I505" t="s">
        <v>446</v>
      </c>
      <c r="J505" t="s">
        <v>1746</v>
      </c>
      <c r="K505" t="s">
        <v>446</v>
      </c>
      <c r="L505" t="s">
        <v>446</v>
      </c>
      <c r="M505" t="s">
        <v>446</v>
      </c>
      <c r="N505" t="s">
        <v>446</v>
      </c>
      <c r="O505" t="s">
        <v>446</v>
      </c>
      <c r="P505" t="s">
        <v>446</v>
      </c>
      <c r="Q505" t="b">
        <v>1</v>
      </c>
      <c r="R505" t="b">
        <v>0</v>
      </c>
      <c r="S505" t="s">
        <v>1090</v>
      </c>
      <c r="T505" t="s">
        <v>1159</v>
      </c>
      <c r="U505" t="s">
        <v>1092</v>
      </c>
      <c r="V505" t="s">
        <v>1093</v>
      </c>
      <c r="W505" t="s">
        <v>1088</v>
      </c>
      <c r="X505" t="s">
        <v>1094</v>
      </c>
    </row>
    <row r="506" spans="1:24" x14ac:dyDescent="0.25">
      <c r="A506" t="s">
        <v>42</v>
      </c>
      <c r="B506" t="s">
        <v>1830</v>
      </c>
      <c r="C506" t="s">
        <v>404</v>
      </c>
      <c r="D506" t="s">
        <v>403</v>
      </c>
      <c r="E506" t="s">
        <v>1051</v>
      </c>
      <c r="F506">
        <v>0</v>
      </c>
      <c r="G506" t="s">
        <v>1088</v>
      </c>
      <c r="H506" t="s">
        <v>446</v>
      </c>
      <c r="I506" t="s">
        <v>446</v>
      </c>
      <c r="J506" t="s">
        <v>1746</v>
      </c>
      <c r="K506" t="s">
        <v>446</v>
      </c>
      <c r="L506" t="s">
        <v>446</v>
      </c>
      <c r="M506" t="s">
        <v>446</v>
      </c>
      <c r="N506" t="s">
        <v>446</v>
      </c>
      <c r="O506" t="s">
        <v>446</v>
      </c>
      <c r="P506" t="s">
        <v>446</v>
      </c>
      <c r="Q506" t="b">
        <v>1</v>
      </c>
      <c r="R506" t="b">
        <v>0</v>
      </c>
      <c r="S506" t="s">
        <v>1090</v>
      </c>
      <c r="T506" t="s">
        <v>1159</v>
      </c>
      <c r="U506" t="s">
        <v>1092</v>
      </c>
      <c r="V506" t="s">
        <v>1093</v>
      </c>
      <c r="W506" t="s">
        <v>1088</v>
      </c>
      <c r="X506" t="s">
        <v>1094</v>
      </c>
    </row>
    <row r="507" spans="1:24" x14ac:dyDescent="0.25">
      <c r="A507" t="s">
        <v>42</v>
      </c>
      <c r="B507" t="s">
        <v>1831</v>
      </c>
      <c r="C507" t="s">
        <v>405</v>
      </c>
      <c r="D507" t="s">
        <v>403</v>
      </c>
      <c r="E507" t="s">
        <v>978</v>
      </c>
      <c r="F507">
        <v>0</v>
      </c>
      <c r="G507" t="s">
        <v>1088</v>
      </c>
      <c r="H507" t="s">
        <v>446</v>
      </c>
      <c r="I507" t="s">
        <v>446</v>
      </c>
      <c r="J507" t="s">
        <v>1746</v>
      </c>
      <c r="K507" t="s">
        <v>446</v>
      </c>
      <c r="L507" t="s">
        <v>446</v>
      </c>
      <c r="M507" t="s">
        <v>446</v>
      </c>
      <c r="N507" t="s">
        <v>446</v>
      </c>
      <c r="O507" t="s">
        <v>446</v>
      </c>
      <c r="P507" t="s">
        <v>446</v>
      </c>
      <c r="Q507" t="b">
        <v>1</v>
      </c>
      <c r="R507" t="b">
        <v>0</v>
      </c>
      <c r="S507" t="s">
        <v>1090</v>
      </c>
      <c r="T507" t="s">
        <v>1832</v>
      </c>
      <c r="U507" t="s">
        <v>1092</v>
      </c>
      <c r="V507" t="s">
        <v>1093</v>
      </c>
      <c r="W507" t="s">
        <v>1088</v>
      </c>
      <c r="X507" t="s">
        <v>1094</v>
      </c>
    </row>
    <row r="508" spans="1:24" x14ac:dyDescent="0.25">
      <c r="A508" t="s">
        <v>42</v>
      </c>
      <c r="B508" t="s">
        <v>1833</v>
      </c>
      <c r="C508" t="s">
        <v>405</v>
      </c>
      <c r="D508" t="s">
        <v>403</v>
      </c>
      <c r="E508" t="s">
        <v>998</v>
      </c>
      <c r="F508">
        <v>0</v>
      </c>
      <c r="G508" t="s">
        <v>1088</v>
      </c>
      <c r="H508" t="s">
        <v>446</v>
      </c>
      <c r="I508" t="s">
        <v>446</v>
      </c>
      <c r="J508" t="s">
        <v>1746</v>
      </c>
      <c r="K508" t="s">
        <v>446</v>
      </c>
      <c r="L508" t="s">
        <v>446</v>
      </c>
      <c r="M508" t="s">
        <v>446</v>
      </c>
      <c r="N508" t="s">
        <v>446</v>
      </c>
      <c r="O508" t="s">
        <v>446</v>
      </c>
      <c r="P508" t="s">
        <v>446</v>
      </c>
      <c r="Q508" t="b">
        <v>1</v>
      </c>
      <c r="R508" t="b">
        <v>0</v>
      </c>
      <c r="S508" t="s">
        <v>1090</v>
      </c>
      <c r="T508" t="s">
        <v>1834</v>
      </c>
      <c r="U508" t="s">
        <v>1092</v>
      </c>
      <c r="V508" t="s">
        <v>1093</v>
      </c>
      <c r="W508" t="s">
        <v>1088</v>
      </c>
      <c r="X508" t="s">
        <v>1094</v>
      </c>
    </row>
    <row r="509" spans="1:24" x14ac:dyDescent="0.25">
      <c r="A509" t="s">
        <v>42</v>
      </c>
      <c r="B509" t="s">
        <v>1835</v>
      </c>
      <c r="C509" t="s">
        <v>405</v>
      </c>
      <c r="D509" t="s">
        <v>403</v>
      </c>
      <c r="E509" t="s">
        <v>1006</v>
      </c>
      <c r="F509">
        <v>0</v>
      </c>
      <c r="G509" t="s">
        <v>1088</v>
      </c>
      <c r="H509" t="s">
        <v>446</v>
      </c>
      <c r="I509" t="s">
        <v>446</v>
      </c>
      <c r="J509" t="s">
        <v>1746</v>
      </c>
      <c r="K509" t="s">
        <v>446</v>
      </c>
      <c r="L509" t="s">
        <v>446</v>
      </c>
      <c r="M509" t="s">
        <v>446</v>
      </c>
      <c r="N509" t="s">
        <v>446</v>
      </c>
      <c r="O509" t="s">
        <v>446</v>
      </c>
      <c r="P509" t="s">
        <v>446</v>
      </c>
      <c r="Q509" t="b">
        <v>1</v>
      </c>
      <c r="R509" t="b">
        <v>0</v>
      </c>
      <c r="S509" t="s">
        <v>1090</v>
      </c>
      <c r="T509" t="s">
        <v>1836</v>
      </c>
      <c r="U509" t="s">
        <v>1092</v>
      </c>
      <c r="V509" t="s">
        <v>1093</v>
      </c>
      <c r="W509" t="s">
        <v>1088</v>
      </c>
      <c r="X509" t="s">
        <v>1094</v>
      </c>
    </row>
    <row r="510" spans="1:24" x14ac:dyDescent="0.25">
      <c r="A510" t="s">
        <v>42</v>
      </c>
      <c r="B510" t="s">
        <v>1837</v>
      </c>
      <c r="C510" t="s">
        <v>405</v>
      </c>
      <c r="D510" t="s">
        <v>403</v>
      </c>
      <c r="E510" t="s">
        <v>1018</v>
      </c>
      <c r="F510">
        <v>0</v>
      </c>
      <c r="G510" t="s">
        <v>1088</v>
      </c>
      <c r="H510" t="s">
        <v>446</v>
      </c>
      <c r="I510" t="s">
        <v>446</v>
      </c>
      <c r="J510" t="s">
        <v>1746</v>
      </c>
      <c r="K510" t="s">
        <v>446</v>
      </c>
      <c r="L510" t="s">
        <v>446</v>
      </c>
      <c r="M510" t="s">
        <v>446</v>
      </c>
      <c r="N510" t="s">
        <v>446</v>
      </c>
      <c r="O510" t="s">
        <v>446</v>
      </c>
      <c r="P510" t="s">
        <v>446</v>
      </c>
      <c r="Q510" t="b">
        <v>1</v>
      </c>
      <c r="R510" t="b">
        <v>0</v>
      </c>
      <c r="S510" t="s">
        <v>1090</v>
      </c>
      <c r="T510" t="s">
        <v>1832</v>
      </c>
      <c r="U510" t="s">
        <v>1092</v>
      </c>
      <c r="V510" t="s">
        <v>1093</v>
      </c>
      <c r="W510" t="s">
        <v>1088</v>
      </c>
      <c r="X510" t="s">
        <v>1094</v>
      </c>
    </row>
    <row r="511" spans="1:24" x14ac:dyDescent="0.25">
      <c r="A511" t="s">
        <v>42</v>
      </c>
      <c r="B511" t="s">
        <v>1838</v>
      </c>
      <c r="C511" t="s">
        <v>405</v>
      </c>
      <c r="D511" t="s">
        <v>403</v>
      </c>
      <c r="E511" t="s">
        <v>1029</v>
      </c>
      <c r="F511">
        <v>0</v>
      </c>
      <c r="G511" t="s">
        <v>1088</v>
      </c>
      <c r="H511" t="s">
        <v>446</v>
      </c>
      <c r="I511" t="s">
        <v>446</v>
      </c>
      <c r="J511" t="s">
        <v>1746</v>
      </c>
      <c r="K511" t="s">
        <v>446</v>
      </c>
      <c r="L511" t="s">
        <v>446</v>
      </c>
      <c r="M511" t="s">
        <v>446</v>
      </c>
      <c r="N511" t="s">
        <v>446</v>
      </c>
      <c r="O511" t="s">
        <v>446</v>
      </c>
      <c r="P511" t="s">
        <v>446</v>
      </c>
      <c r="Q511" t="b">
        <v>1</v>
      </c>
      <c r="R511" t="b">
        <v>0</v>
      </c>
      <c r="S511" t="s">
        <v>1090</v>
      </c>
      <c r="T511" t="s">
        <v>1839</v>
      </c>
      <c r="U511" t="s">
        <v>1092</v>
      </c>
      <c r="V511" t="s">
        <v>1093</v>
      </c>
      <c r="W511" t="s">
        <v>1088</v>
      </c>
      <c r="X511" t="s">
        <v>1094</v>
      </c>
    </row>
    <row r="512" spans="1:24" x14ac:dyDescent="0.25">
      <c r="A512" t="s">
        <v>42</v>
      </c>
      <c r="B512" t="s">
        <v>1840</v>
      </c>
      <c r="C512" t="s">
        <v>405</v>
      </c>
      <c r="D512" t="s">
        <v>403</v>
      </c>
      <c r="E512" t="s">
        <v>1035</v>
      </c>
      <c r="F512">
        <v>0</v>
      </c>
      <c r="G512" t="s">
        <v>1088</v>
      </c>
      <c r="H512" t="s">
        <v>446</v>
      </c>
      <c r="I512" t="s">
        <v>446</v>
      </c>
      <c r="J512" t="s">
        <v>1746</v>
      </c>
      <c r="K512" t="s">
        <v>446</v>
      </c>
      <c r="L512" t="s">
        <v>446</v>
      </c>
      <c r="M512" t="s">
        <v>446</v>
      </c>
      <c r="N512" t="s">
        <v>446</v>
      </c>
      <c r="O512" t="s">
        <v>446</v>
      </c>
      <c r="P512" t="s">
        <v>446</v>
      </c>
      <c r="Q512" t="b">
        <v>1</v>
      </c>
      <c r="R512" t="b">
        <v>0</v>
      </c>
      <c r="S512" t="s">
        <v>1090</v>
      </c>
      <c r="T512" t="s">
        <v>1841</v>
      </c>
      <c r="U512" t="s">
        <v>1092</v>
      </c>
      <c r="V512" t="s">
        <v>1093</v>
      </c>
      <c r="W512" t="s">
        <v>1088</v>
      </c>
      <c r="X512" t="s">
        <v>1094</v>
      </c>
    </row>
    <row r="513" spans="1:24" x14ac:dyDescent="0.25">
      <c r="A513" t="s">
        <v>42</v>
      </c>
      <c r="B513" t="s">
        <v>1842</v>
      </c>
      <c r="C513" t="s">
        <v>405</v>
      </c>
      <c r="D513" t="s">
        <v>403</v>
      </c>
      <c r="E513" t="s">
        <v>1040</v>
      </c>
      <c r="F513">
        <v>0</v>
      </c>
      <c r="G513" t="s">
        <v>1088</v>
      </c>
      <c r="H513" t="s">
        <v>446</v>
      </c>
      <c r="I513" t="s">
        <v>446</v>
      </c>
      <c r="J513" t="s">
        <v>1746</v>
      </c>
      <c r="K513" t="s">
        <v>446</v>
      </c>
      <c r="L513" t="s">
        <v>446</v>
      </c>
      <c r="M513" t="s">
        <v>446</v>
      </c>
      <c r="N513" t="s">
        <v>446</v>
      </c>
      <c r="O513" t="s">
        <v>446</v>
      </c>
      <c r="P513" t="s">
        <v>446</v>
      </c>
      <c r="Q513" t="b">
        <v>1</v>
      </c>
      <c r="R513" t="b">
        <v>0</v>
      </c>
      <c r="S513" t="s">
        <v>1090</v>
      </c>
      <c r="T513" t="s">
        <v>1843</v>
      </c>
      <c r="U513" t="s">
        <v>1092</v>
      </c>
      <c r="V513" t="s">
        <v>1093</v>
      </c>
      <c r="W513" t="s">
        <v>1088</v>
      </c>
      <c r="X513" t="s">
        <v>1094</v>
      </c>
    </row>
    <row r="514" spans="1:24" x14ac:dyDescent="0.25">
      <c r="A514" t="s">
        <v>42</v>
      </c>
      <c r="B514" t="s">
        <v>1844</v>
      </c>
      <c r="C514" t="s">
        <v>405</v>
      </c>
      <c r="D514" t="s">
        <v>403</v>
      </c>
      <c r="E514" t="s">
        <v>1051</v>
      </c>
      <c r="F514">
        <v>0</v>
      </c>
      <c r="G514" t="s">
        <v>1088</v>
      </c>
      <c r="H514" t="s">
        <v>446</v>
      </c>
      <c r="I514" t="s">
        <v>446</v>
      </c>
      <c r="J514" t="s">
        <v>1746</v>
      </c>
      <c r="K514" t="s">
        <v>446</v>
      </c>
      <c r="L514" t="s">
        <v>446</v>
      </c>
      <c r="M514" t="s">
        <v>446</v>
      </c>
      <c r="N514" t="s">
        <v>446</v>
      </c>
      <c r="O514" t="s">
        <v>446</v>
      </c>
      <c r="P514" t="s">
        <v>446</v>
      </c>
      <c r="Q514" t="b">
        <v>1</v>
      </c>
      <c r="R514" t="b">
        <v>0</v>
      </c>
      <c r="S514" t="s">
        <v>1090</v>
      </c>
      <c r="T514" t="s">
        <v>1845</v>
      </c>
      <c r="U514" t="s">
        <v>1092</v>
      </c>
      <c r="V514" t="s">
        <v>1093</v>
      </c>
      <c r="W514" t="s">
        <v>1088</v>
      </c>
      <c r="X514" t="s">
        <v>1094</v>
      </c>
    </row>
    <row r="515" spans="1:24" x14ac:dyDescent="0.25">
      <c r="A515" t="s">
        <v>42</v>
      </c>
      <c r="B515" t="s">
        <v>1846</v>
      </c>
      <c r="C515" t="s">
        <v>408</v>
      </c>
      <c r="D515" t="s">
        <v>352</v>
      </c>
      <c r="E515" t="s">
        <v>978</v>
      </c>
      <c r="F515">
        <v>0</v>
      </c>
      <c r="G515" t="s">
        <v>1088</v>
      </c>
      <c r="H515" t="s">
        <v>446</v>
      </c>
      <c r="I515" t="s">
        <v>446</v>
      </c>
      <c r="J515" t="s">
        <v>1746</v>
      </c>
      <c r="K515" t="s">
        <v>446</v>
      </c>
      <c r="L515" t="s">
        <v>446</v>
      </c>
      <c r="M515" t="s">
        <v>446</v>
      </c>
      <c r="N515" t="s">
        <v>446</v>
      </c>
      <c r="O515" t="s">
        <v>446</v>
      </c>
      <c r="P515" t="s">
        <v>446</v>
      </c>
      <c r="Q515" t="b">
        <v>1</v>
      </c>
      <c r="R515" t="b">
        <v>0</v>
      </c>
      <c r="S515" t="s">
        <v>1090</v>
      </c>
      <c r="T515" t="s">
        <v>1847</v>
      </c>
      <c r="U515" t="s">
        <v>1092</v>
      </c>
      <c r="V515" t="s">
        <v>1093</v>
      </c>
      <c r="W515" t="s">
        <v>1088</v>
      </c>
      <c r="X515" t="s">
        <v>1094</v>
      </c>
    </row>
    <row r="516" spans="1:24" x14ac:dyDescent="0.25">
      <c r="A516" t="s">
        <v>42</v>
      </c>
      <c r="B516" t="s">
        <v>1848</v>
      </c>
      <c r="C516" t="s">
        <v>408</v>
      </c>
      <c r="D516" t="s">
        <v>352</v>
      </c>
      <c r="E516" t="s">
        <v>986</v>
      </c>
      <c r="F516">
        <v>0</v>
      </c>
      <c r="G516" t="s">
        <v>1088</v>
      </c>
      <c r="H516" t="s">
        <v>446</v>
      </c>
      <c r="I516" t="s">
        <v>446</v>
      </c>
      <c r="J516" t="s">
        <v>1746</v>
      </c>
      <c r="K516" t="s">
        <v>446</v>
      </c>
      <c r="L516" t="s">
        <v>446</v>
      </c>
      <c r="M516" t="s">
        <v>446</v>
      </c>
      <c r="N516" t="s">
        <v>446</v>
      </c>
      <c r="O516" t="s">
        <v>446</v>
      </c>
      <c r="P516" t="s">
        <v>446</v>
      </c>
      <c r="Q516" t="b">
        <v>1</v>
      </c>
      <c r="R516" t="b">
        <v>0</v>
      </c>
      <c r="S516" t="s">
        <v>1090</v>
      </c>
      <c r="T516" t="s">
        <v>1849</v>
      </c>
      <c r="U516" t="s">
        <v>1092</v>
      </c>
      <c r="V516" t="s">
        <v>1093</v>
      </c>
      <c r="W516" t="s">
        <v>1088</v>
      </c>
      <c r="X516" t="s">
        <v>1094</v>
      </c>
    </row>
    <row r="517" spans="1:24" x14ac:dyDescent="0.25">
      <c r="A517" t="s">
        <v>42</v>
      </c>
      <c r="B517" t="s">
        <v>1850</v>
      </c>
      <c r="C517" t="s">
        <v>408</v>
      </c>
      <c r="D517" t="s">
        <v>352</v>
      </c>
      <c r="E517" t="s">
        <v>992</v>
      </c>
      <c r="F517">
        <v>0</v>
      </c>
      <c r="G517" t="s">
        <v>1088</v>
      </c>
      <c r="H517" t="s">
        <v>446</v>
      </c>
      <c r="I517" t="s">
        <v>446</v>
      </c>
      <c r="J517" t="s">
        <v>1746</v>
      </c>
      <c r="K517" t="s">
        <v>446</v>
      </c>
      <c r="L517" t="s">
        <v>446</v>
      </c>
      <c r="M517" t="s">
        <v>446</v>
      </c>
      <c r="N517" t="s">
        <v>446</v>
      </c>
      <c r="O517" t="s">
        <v>446</v>
      </c>
      <c r="P517" t="s">
        <v>446</v>
      </c>
      <c r="Q517" t="b">
        <v>1</v>
      </c>
      <c r="R517" t="b">
        <v>0</v>
      </c>
      <c r="S517" t="s">
        <v>1090</v>
      </c>
      <c r="T517" t="s">
        <v>1193</v>
      </c>
      <c r="U517" t="s">
        <v>1092</v>
      </c>
      <c r="V517" t="s">
        <v>1093</v>
      </c>
      <c r="W517" t="s">
        <v>1088</v>
      </c>
      <c r="X517" t="s">
        <v>1094</v>
      </c>
    </row>
    <row r="518" spans="1:24" x14ac:dyDescent="0.25">
      <c r="A518" t="s">
        <v>42</v>
      </c>
      <c r="B518" t="s">
        <v>1851</v>
      </c>
      <c r="C518" t="s">
        <v>408</v>
      </c>
      <c r="D518" t="s">
        <v>352</v>
      </c>
      <c r="E518" t="s">
        <v>998</v>
      </c>
      <c r="F518">
        <v>0</v>
      </c>
      <c r="G518" t="s">
        <v>1088</v>
      </c>
      <c r="H518" t="s">
        <v>446</v>
      </c>
      <c r="I518" t="s">
        <v>446</v>
      </c>
      <c r="J518" t="s">
        <v>1746</v>
      </c>
      <c r="K518" t="s">
        <v>446</v>
      </c>
      <c r="L518" t="s">
        <v>446</v>
      </c>
      <c r="M518" t="s">
        <v>446</v>
      </c>
      <c r="N518" t="s">
        <v>446</v>
      </c>
      <c r="O518" t="s">
        <v>446</v>
      </c>
      <c r="P518" t="s">
        <v>446</v>
      </c>
      <c r="Q518" t="b">
        <v>1</v>
      </c>
      <c r="R518" t="b">
        <v>0</v>
      </c>
      <c r="S518" t="s">
        <v>1090</v>
      </c>
      <c r="T518" t="s">
        <v>1852</v>
      </c>
      <c r="U518" t="s">
        <v>1092</v>
      </c>
      <c r="V518" t="s">
        <v>1093</v>
      </c>
      <c r="W518" t="s">
        <v>1088</v>
      </c>
      <c r="X518" t="s">
        <v>1094</v>
      </c>
    </row>
    <row r="519" spans="1:24" x14ac:dyDescent="0.25">
      <c r="A519" t="s">
        <v>42</v>
      </c>
      <c r="B519" t="s">
        <v>1853</v>
      </c>
      <c r="C519" t="s">
        <v>408</v>
      </c>
      <c r="D519" t="s">
        <v>352</v>
      </c>
      <c r="E519" t="s">
        <v>1006</v>
      </c>
      <c r="F519">
        <v>0</v>
      </c>
      <c r="G519" t="s">
        <v>1088</v>
      </c>
      <c r="H519" t="s">
        <v>446</v>
      </c>
      <c r="I519" t="s">
        <v>446</v>
      </c>
      <c r="J519" t="s">
        <v>1746</v>
      </c>
      <c r="K519" t="s">
        <v>446</v>
      </c>
      <c r="L519" t="s">
        <v>446</v>
      </c>
      <c r="M519" t="s">
        <v>446</v>
      </c>
      <c r="N519" t="s">
        <v>446</v>
      </c>
      <c r="O519" t="s">
        <v>446</v>
      </c>
      <c r="P519" t="s">
        <v>446</v>
      </c>
      <c r="Q519" t="b">
        <v>1</v>
      </c>
      <c r="R519" t="b">
        <v>0</v>
      </c>
      <c r="S519" t="s">
        <v>1090</v>
      </c>
      <c r="T519" t="s">
        <v>1854</v>
      </c>
      <c r="U519" t="s">
        <v>1092</v>
      </c>
      <c r="V519" t="s">
        <v>1093</v>
      </c>
      <c r="W519" t="s">
        <v>1088</v>
      </c>
      <c r="X519" t="s">
        <v>1094</v>
      </c>
    </row>
    <row r="520" spans="1:24" x14ac:dyDescent="0.25">
      <c r="A520" t="s">
        <v>42</v>
      </c>
      <c r="B520" t="s">
        <v>1855</v>
      </c>
      <c r="C520" t="s">
        <v>408</v>
      </c>
      <c r="D520" t="s">
        <v>352</v>
      </c>
      <c r="E520" t="s">
        <v>1013</v>
      </c>
      <c r="F520">
        <v>0</v>
      </c>
      <c r="G520" t="s">
        <v>1088</v>
      </c>
      <c r="H520" t="s">
        <v>446</v>
      </c>
      <c r="I520" t="s">
        <v>446</v>
      </c>
      <c r="J520" t="s">
        <v>1746</v>
      </c>
      <c r="K520" t="s">
        <v>446</v>
      </c>
      <c r="L520" t="s">
        <v>446</v>
      </c>
      <c r="M520" t="s">
        <v>446</v>
      </c>
      <c r="N520" t="s">
        <v>446</v>
      </c>
      <c r="O520" t="s">
        <v>446</v>
      </c>
      <c r="P520" t="s">
        <v>446</v>
      </c>
      <c r="Q520" t="b">
        <v>1</v>
      </c>
      <c r="R520" t="b">
        <v>0</v>
      </c>
      <c r="S520" t="s">
        <v>1090</v>
      </c>
      <c r="T520" t="s">
        <v>1856</v>
      </c>
      <c r="U520" t="s">
        <v>1092</v>
      </c>
      <c r="V520" t="s">
        <v>1093</v>
      </c>
      <c r="W520" t="s">
        <v>1088</v>
      </c>
      <c r="X520" t="s">
        <v>1094</v>
      </c>
    </row>
    <row r="521" spans="1:24" x14ac:dyDescent="0.25">
      <c r="A521" t="s">
        <v>42</v>
      </c>
      <c r="B521" t="s">
        <v>1857</v>
      </c>
      <c r="C521" t="s">
        <v>408</v>
      </c>
      <c r="D521" t="s">
        <v>352</v>
      </c>
      <c r="E521" t="s">
        <v>1018</v>
      </c>
      <c r="F521">
        <v>0</v>
      </c>
      <c r="G521" t="s">
        <v>1088</v>
      </c>
      <c r="H521" t="s">
        <v>446</v>
      </c>
      <c r="I521" t="s">
        <v>446</v>
      </c>
      <c r="J521" t="s">
        <v>1746</v>
      </c>
      <c r="K521" t="s">
        <v>446</v>
      </c>
      <c r="L521" t="s">
        <v>446</v>
      </c>
      <c r="M521" t="s">
        <v>446</v>
      </c>
      <c r="N521" t="s">
        <v>446</v>
      </c>
      <c r="O521" t="s">
        <v>446</v>
      </c>
      <c r="P521" t="s">
        <v>446</v>
      </c>
      <c r="Q521" t="b">
        <v>1</v>
      </c>
      <c r="R521" t="b">
        <v>0</v>
      </c>
      <c r="S521" t="s">
        <v>1090</v>
      </c>
      <c r="T521" t="s">
        <v>1858</v>
      </c>
      <c r="U521" t="s">
        <v>1092</v>
      </c>
      <c r="V521" t="s">
        <v>1093</v>
      </c>
      <c r="W521" t="s">
        <v>1088</v>
      </c>
      <c r="X521" t="s">
        <v>1094</v>
      </c>
    </row>
    <row r="522" spans="1:24" x14ac:dyDescent="0.25">
      <c r="A522" t="s">
        <v>42</v>
      </c>
      <c r="B522" t="s">
        <v>1859</v>
      </c>
      <c r="C522" t="s">
        <v>408</v>
      </c>
      <c r="D522" t="s">
        <v>352</v>
      </c>
      <c r="E522" t="s">
        <v>1023</v>
      </c>
      <c r="F522">
        <v>0</v>
      </c>
      <c r="G522" t="s">
        <v>1088</v>
      </c>
      <c r="H522" t="s">
        <v>446</v>
      </c>
      <c r="I522" t="s">
        <v>446</v>
      </c>
      <c r="J522" t="s">
        <v>1746</v>
      </c>
      <c r="K522" t="s">
        <v>446</v>
      </c>
      <c r="L522" t="s">
        <v>446</v>
      </c>
      <c r="M522" t="s">
        <v>446</v>
      </c>
      <c r="N522" t="s">
        <v>446</v>
      </c>
      <c r="O522" t="s">
        <v>446</v>
      </c>
      <c r="P522" t="s">
        <v>446</v>
      </c>
      <c r="Q522" t="b">
        <v>1</v>
      </c>
      <c r="R522" t="b">
        <v>0</v>
      </c>
      <c r="S522" t="s">
        <v>1090</v>
      </c>
      <c r="T522" t="s">
        <v>1860</v>
      </c>
      <c r="U522" t="s">
        <v>1092</v>
      </c>
      <c r="V522" t="s">
        <v>1093</v>
      </c>
      <c r="W522" t="s">
        <v>1088</v>
      </c>
      <c r="X522" t="s">
        <v>1094</v>
      </c>
    </row>
    <row r="523" spans="1:24" x14ac:dyDescent="0.25">
      <c r="A523" t="s">
        <v>42</v>
      </c>
      <c r="B523" t="s">
        <v>1861</v>
      </c>
      <c r="C523" t="s">
        <v>408</v>
      </c>
      <c r="D523" t="s">
        <v>352</v>
      </c>
      <c r="E523" t="s">
        <v>1029</v>
      </c>
      <c r="F523">
        <v>0</v>
      </c>
      <c r="G523" t="s">
        <v>1088</v>
      </c>
      <c r="H523" t="s">
        <v>446</v>
      </c>
      <c r="I523" t="s">
        <v>446</v>
      </c>
      <c r="J523" t="s">
        <v>1746</v>
      </c>
      <c r="K523" t="s">
        <v>446</v>
      </c>
      <c r="L523" t="s">
        <v>446</v>
      </c>
      <c r="M523" t="s">
        <v>446</v>
      </c>
      <c r="N523" t="s">
        <v>446</v>
      </c>
      <c r="O523" t="s">
        <v>446</v>
      </c>
      <c r="P523" t="s">
        <v>446</v>
      </c>
      <c r="Q523" t="b">
        <v>1</v>
      </c>
      <c r="R523" t="b">
        <v>0</v>
      </c>
      <c r="S523" t="s">
        <v>1090</v>
      </c>
      <c r="T523" t="s">
        <v>1862</v>
      </c>
      <c r="U523" t="s">
        <v>1092</v>
      </c>
      <c r="V523" t="s">
        <v>1093</v>
      </c>
      <c r="W523" t="s">
        <v>1088</v>
      </c>
      <c r="X523" t="s">
        <v>1094</v>
      </c>
    </row>
    <row r="524" spans="1:24" x14ac:dyDescent="0.25">
      <c r="A524" t="s">
        <v>42</v>
      </c>
      <c r="B524" t="s">
        <v>1863</v>
      </c>
      <c r="C524" t="s">
        <v>408</v>
      </c>
      <c r="D524" t="s">
        <v>352</v>
      </c>
      <c r="E524" t="s">
        <v>1035</v>
      </c>
      <c r="F524">
        <v>0</v>
      </c>
      <c r="G524" t="s">
        <v>1088</v>
      </c>
      <c r="H524" t="s">
        <v>446</v>
      </c>
      <c r="I524" t="s">
        <v>446</v>
      </c>
      <c r="J524" t="s">
        <v>1746</v>
      </c>
      <c r="K524" t="s">
        <v>446</v>
      </c>
      <c r="L524" t="s">
        <v>446</v>
      </c>
      <c r="M524" t="s">
        <v>446</v>
      </c>
      <c r="N524" t="s">
        <v>446</v>
      </c>
      <c r="O524" t="s">
        <v>446</v>
      </c>
      <c r="P524" t="s">
        <v>446</v>
      </c>
      <c r="Q524" t="b">
        <v>1</v>
      </c>
      <c r="R524" t="b">
        <v>0</v>
      </c>
      <c r="S524" t="s">
        <v>1090</v>
      </c>
      <c r="T524" t="s">
        <v>1864</v>
      </c>
      <c r="U524" t="s">
        <v>1092</v>
      </c>
      <c r="V524" t="s">
        <v>1093</v>
      </c>
      <c r="W524" t="s">
        <v>1088</v>
      </c>
      <c r="X524" t="s">
        <v>1094</v>
      </c>
    </row>
    <row r="525" spans="1:24" x14ac:dyDescent="0.25">
      <c r="A525" t="s">
        <v>42</v>
      </c>
      <c r="B525" t="s">
        <v>1865</v>
      </c>
      <c r="C525" t="s">
        <v>408</v>
      </c>
      <c r="D525" t="s">
        <v>352</v>
      </c>
      <c r="E525" t="s">
        <v>1040</v>
      </c>
      <c r="F525">
        <v>0</v>
      </c>
      <c r="G525" t="s">
        <v>1088</v>
      </c>
      <c r="H525" t="s">
        <v>446</v>
      </c>
      <c r="I525" t="s">
        <v>446</v>
      </c>
      <c r="J525" t="s">
        <v>1746</v>
      </c>
      <c r="K525" t="s">
        <v>446</v>
      </c>
      <c r="L525" t="s">
        <v>446</v>
      </c>
      <c r="M525" t="s">
        <v>446</v>
      </c>
      <c r="N525" t="s">
        <v>446</v>
      </c>
      <c r="O525" t="s">
        <v>446</v>
      </c>
      <c r="P525" t="s">
        <v>446</v>
      </c>
      <c r="Q525" t="b">
        <v>1</v>
      </c>
      <c r="R525" t="b">
        <v>0</v>
      </c>
      <c r="S525" t="s">
        <v>1090</v>
      </c>
      <c r="T525" t="s">
        <v>1864</v>
      </c>
      <c r="U525" t="s">
        <v>1092</v>
      </c>
      <c r="V525" t="s">
        <v>1093</v>
      </c>
      <c r="W525" t="s">
        <v>1088</v>
      </c>
      <c r="X525" t="s">
        <v>1094</v>
      </c>
    </row>
    <row r="526" spans="1:24" x14ac:dyDescent="0.25">
      <c r="A526" t="s">
        <v>42</v>
      </c>
      <c r="B526" t="s">
        <v>1866</v>
      </c>
      <c r="C526" t="s">
        <v>408</v>
      </c>
      <c r="D526" t="s">
        <v>352</v>
      </c>
      <c r="E526" t="s">
        <v>1045</v>
      </c>
      <c r="F526">
        <v>0</v>
      </c>
      <c r="G526" t="s">
        <v>1088</v>
      </c>
      <c r="H526" t="s">
        <v>446</v>
      </c>
      <c r="I526" t="s">
        <v>446</v>
      </c>
      <c r="J526" t="s">
        <v>1746</v>
      </c>
      <c r="K526" t="s">
        <v>446</v>
      </c>
      <c r="L526" t="s">
        <v>446</v>
      </c>
      <c r="M526" t="s">
        <v>446</v>
      </c>
      <c r="N526" t="s">
        <v>446</v>
      </c>
      <c r="O526" t="s">
        <v>446</v>
      </c>
      <c r="P526" t="s">
        <v>446</v>
      </c>
      <c r="Q526" t="b">
        <v>1</v>
      </c>
      <c r="R526" t="b">
        <v>0</v>
      </c>
      <c r="S526" t="s">
        <v>1090</v>
      </c>
      <c r="T526" t="s">
        <v>1867</v>
      </c>
      <c r="U526" t="s">
        <v>1092</v>
      </c>
      <c r="V526" t="s">
        <v>1093</v>
      </c>
      <c r="W526" t="s">
        <v>1088</v>
      </c>
      <c r="X526" t="s">
        <v>1094</v>
      </c>
    </row>
    <row r="527" spans="1:24" x14ac:dyDescent="0.25">
      <c r="A527" t="s">
        <v>42</v>
      </c>
      <c r="B527" t="s">
        <v>1868</v>
      </c>
      <c r="C527" t="s">
        <v>408</v>
      </c>
      <c r="D527" t="s">
        <v>352</v>
      </c>
      <c r="E527" t="s">
        <v>1051</v>
      </c>
      <c r="F527">
        <v>0</v>
      </c>
      <c r="G527" t="s">
        <v>1088</v>
      </c>
      <c r="H527" t="s">
        <v>446</v>
      </c>
      <c r="I527" t="s">
        <v>446</v>
      </c>
      <c r="J527" t="s">
        <v>1746</v>
      </c>
      <c r="K527" t="s">
        <v>446</v>
      </c>
      <c r="L527" t="s">
        <v>446</v>
      </c>
      <c r="M527" t="s">
        <v>446</v>
      </c>
      <c r="N527" t="s">
        <v>446</v>
      </c>
      <c r="O527" t="s">
        <v>446</v>
      </c>
      <c r="P527" t="s">
        <v>446</v>
      </c>
      <c r="Q527" t="b">
        <v>1</v>
      </c>
      <c r="R527" t="b">
        <v>0</v>
      </c>
      <c r="S527" t="s">
        <v>1090</v>
      </c>
      <c r="T527" t="s">
        <v>1869</v>
      </c>
      <c r="U527" t="s">
        <v>1092</v>
      </c>
      <c r="V527" t="s">
        <v>1093</v>
      </c>
      <c r="W527" t="s">
        <v>1088</v>
      </c>
      <c r="X527" t="s">
        <v>1094</v>
      </c>
    </row>
    <row r="528" spans="1:24" x14ac:dyDescent="0.25">
      <c r="A528" t="s">
        <v>42</v>
      </c>
      <c r="B528" t="s">
        <v>1870</v>
      </c>
      <c r="C528" t="s">
        <v>416</v>
      </c>
      <c r="D528" t="s">
        <v>46</v>
      </c>
      <c r="E528" t="s">
        <v>978</v>
      </c>
      <c r="F528">
        <v>0</v>
      </c>
      <c r="G528" t="s">
        <v>1088</v>
      </c>
      <c r="H528" t="s">
        <v>446</v>
      </c>
      <c r="I528" t="s">
        <v>446</v>
      </c>
      <c r="J528" t="s">
        <v>1746</v>
      </c>
      <c r="K528" t="s">
        <v>446</v>
      </c>
      <c r="L528" t="s">
        <v>446</v>
      </c>
      <c r="M528" t="s">
        <v>446</v>
      </c>
      <c r="N528" t="s">
        <v>446</v>
      </c>
      <c r="O528" t="s">
        <v>446</v>
      </c>
      <c r="P528" t="s">
        <v>446</v>
      </c>
      <c r="Q528" t="b">
        <v>1</v>
      </c>
      <c r="R528" t="b">
        <v>0</v>
      </c>
      <c r="S528" t="s">
        <v>1090</v>
      </c>
      <c r="T528" t="s">
        <v>1159</v>
      </c>
      <c r="U528" t="s">
        <v>1092</v>
      </c>
      <c r="V528" t="s">
        <v>1093</v>
      </c>
      <c r="W528" t="s">
        <v>1088</v>
      </c>
      <c r="X528" t="s">
        <v>1094</v>
      </c>
    </row>
    <row r="529" spans="1:24" x14ac:dyDescent="0.25">
      <c r="A529" t="s">
        <v>42</v>
      </c>
      <c r="B529" t="s">
        <v>1871</v>
      </c>
      <c r="C529" t="s">
        <v>416</v>
      </c>
      <c r="D529" t="s">
        <v>46</v>
      </c>
      <c r="E529" t="s">
        <v>986</v>
      </c>
      <c r="F529">
        <v>0</v>
      </c>
      <c r="G529" t="s">
        <v>1088</v>
      </c>
      <c r="H529" t="s">
        <v>446</v>
      </c>
      <c r="I529" t="s">
        <v>446</v>
      </c>
      <c r="J529" t="s">
        <v>1746</v>
      </c>
      <c r="K529" t="s">
        <v>446</v>
      </c>
      <c r="L529" t="s">
        <v>446</v>
      </c>
      <c r="M529" t="s">
        <v>446</v>
      </c>
      <c r="N529" t="s">
        <v>446</v>
      </c>
      <c r="O529" t="s">
        <v>446</v>
      </c>
      <c r="P529" t="s">
        <v>446</v>
      </c>
      <c r="Q529" t="b">
        <v>1</v>
      </c>
      <c r="R529" t="b">
        <v>0</v>
      </c>
      <c r="S529" t="s">
        <v>1090</v>
      </c>
      <c r="T529" t="s">
        <v>1159</v>
      </c>
      <c r="U529" t="s">
        <v>1092</v>
      </c>
      <c r="V529" t="s">
        <v>1093</v>
      </c>
      <c r="W529" t="s">
        <v>1088</v>
      </c>
      <c r="X529" t="s">
        <v>1094</v>
      </c>
    </row>
    <row r="530" spans="1:24" x14ac:dyDescent="0.25">
      <c r="A530" t="s">
        <v>42</v>
      </c>
      <c r="B530" t="s">
        <v>1872</v>
      </c>
      <c r="C530" t="s">
        <v>416</v>
      </c>
      <c r="D530" t="s">
        <v>46</v>
      </c>
      <c r="E530" t="s">
        <v>992</v>
      </c>
      <c r="F530">
        <v>0</v>
      </c>
      <c r="G530" t="s">
        <v>1088</v>
      </c>
      <c r="H530" t="s">
        <v>446</v>
      </c>
      <c r="I530" t="s">
        <v>446</v>
      </c>
      <c r="J530" t="s">
        <v>1746</v>
      </c>
      <c r="K530" t="s">
        <v>446</v>
      </c>
      <c r="L530" t="s">
        <v>446</v>
      </c>
      <c r="M530" t="s">
        <v>446</v>
      </c>
      <c r="N530" t="s">
        <v>446</v>
      </c>
      <c r="O530" t="s">
        <v>446</v>
      </c>
      <c r="P530" t="s">
        <v>446</v>
      </c>
      <c r="Q530" t="b">
        <v>1</v>
      </c>
      <c r="R530" t="b">
        <v>0</v>
      </c>
      <c r="S530" t="s">
        <v>1090</v>
      </c>
      <c r="T530" t="s">
        <v>1159</v>
      </c>
      <c r="U530" t="s">
        <v>1092</v>
      </c>
      <c r="V530" t="s">
        <v>1093</v>
      </c>
      <c r="W530" t="s">
        <v>1088</v>
      </c>
      <c r="X530" t="s">
        <v>1094</v>
      </c>
    </row>
    <row r="531" spans="1:24" x14ac:dyDescent="0.25">
      <c r="A531" t="s">
        <v>42</v>
      </c>
      <c r="B531" t="s">
        <v>1873</v>
      </c>
      <c r="C531" t="s">
        <v>416</v>
      </c>
      <c r="D531" t="s">
        <v>46</v>
      </c>
      <c r="E531" t="s">
        <v>998</v>
      </c>
      <c r="F531">
        <v>0</v>
      </c>
      <c r="G531" t="s">
        <v>1088</v>
      </c>
      <c r="H531" t="s">
        <v>446</v>
      </c>
      <c r="I531" t="s">
        <v>446</v>
      </c>
      <c r="J531" t="s">
        <v>1746</v>
      </c>
      <c r="K531" t="s">
        <v>446</v>
      </c>
      <c r="L531" t="s">
        <v>446</v>
      </c>
      <c r="M531" t="s">
        <v>446</v>
      </c>
      <c r="N531" t="s">
        <v>446</v>
      </c>
      <c r="O531" t="s">
        <v>446</v>
      </c>
      <c r="P531" t="s">
        <v>446</v>
      </c>
      <c r="Q531" t="b">
        <v>1</v>
      </c>
      <c r="R531" t="b">
        <v>0</v>
      </c>
      <c r="S531" t="s">
        <v>1090</v>
      </c>
      <c r="T531" t="s">
        <v>1159</v>
      </c>
      <c r="U531" t="s">
        <v>1092</v>
      </c>
      <c r="V531" t="s">
        <v>1093</v>
      </c>
      <c r="W531" t="s">
        <v>1088</v>
      </c>
      <c r="X531" t="s">
        <v>1094</v>
      </c>
    </row>
    <row r="532" spans="1:24" x14ac:dyDescent="0.25">
      <c r="A532" t="s">
        <v>42</v>
      </c>
      <c r="B532" t="s">
        <v>1874</v>
      </c>
      <c r="C532" t="s">
        <v>416</v>
      </c>
      <c r="D532" t="s">
        <v>46</v>
      </c>
      <c r="E532" t="s">
        <v>1006</v>
      </c>
      <c r="F532">
        <v>0</v>
      </c>
      <c r="G532" t="s">
        <v>1088</v>
      </c>
      <c r="H532" t="s">
        <v>446</v>
      </c>
      <c r="I532" t="s">
        <v>446</v>
      </c>
      <c r="J532" t="s">
        <v>1746</v>
      </c>
      <c r="K532" t="s">
        <v>446</v>
      </c>
      <c r="L532" t="s">
        <v>446</v>
      </c>
      <c r="M532" t="s">
        <v>446</v>
      </c>
      <c r="N532" t="s">
        <v>446</v>
      </c>
      <c r="O532" t="s">
        <v>446</v>
      </c>
      <c r="P532" t="s">
        <v>446</v>
      </c>
      <c r="Q532" t="b">
        <v>1</v>
      </c>
      <c r="R532" t="b">
        <v>0</v>
      </c>
      <c r="S532" t="s">
        <v>1090</v>
      </c>
      <c r="T532" t="s">
        <v>1159</v>
      </c>
      <c r="U532" t="s">
        <v>1092</v>
      </c>
      <c r="V532" t="s">
        <v>1093</v>
      </c>
      <c r="W532" t="s">
        <v>1088</v>
      </c>
      <c r="X532" t="s">
        <v>1094</v>
      </c>
    </row>
    <row r="533" spans="1:24" x14ac:dyDescent="0.25">
      <c r="A533" t="s">
        <v>42</v>
      </c>
      <c r="B533" t="s">
        <v>1875</v>
      </c>
      <c r="C533" t="s">
        <v>416</v>
      </c>
      <c r="D533" t="s">
        <v>46</v>
      </c>
      <c r="E533" t="s">
        <v>1013</v>
      </c>
      <c r="F533">
        <v>0</v>
      </c>
      <c r="G533" t="s">
        <v>1088</v>
      </c>
      <c r="H533" t="s">
        <v>446</v>
      </c>
      <c r="I533" t="s">
        <v>446</v>
      </c>
      <c r="J533" t="s">
        <v>1746</v>
      </c>
      <c r="K533" t="s">
        <v>446</v>
      </c>
      <c r="L533" t="s">
        <v>446</v>
      </c>
      <c r="M533" t="s">
        <v>446</v>
      </c>
      <c r="N533" t="s">
        <v>446</v>
      </c>
      <c r="O533" t="s">
        <v>446</v>
      </c>
      <c r="P533" t="s">
        <v>446</v>
      </c>
      <c r="Q533" t="b">
        <v>1</v>
      </c>
      <c r="R533" t="b">
        <v>0</v>
      </c>
      <c r="S533" t="s">
        <v>1090</v>
      </c>
      <c r="T533" t="s">
        <v>1159</v>
      </c>
      <c r="U533" t="s">
        <v>1092</v>
      </c>
      <c r="V533" t="s">
        <v>1093</v>
      </c>
      <c r="W533" t="s">
        <v>1088</v>
      </c>
      <c r="X533" t="s">
        <v>1094</v>
      </c>
    </row>
    <row r="534" spans="1:24" x14ac:dyDescent="0.25">
      <c r="A534" t="s">
        <v>42</v>
      </c>
      <c r="B534" t="s">
        <v>1876</v>
      </c>
      <c r="C534" t="s">
        <v>416</v>
      </c>
      <c r="D534" t="s">
        <v>46</v>
      </c>
      <c r="E534" t="s">
        <v>1018</v>
      </c>
      <c r="F534">
        <v>0</v>
      </c>
      <c r="G534" t="s">
        <v>1088</v>
      </c>
      <c r="H534" t="s">
        <v>446</v>
      </c>
      <c r="I534" t="s">
        <v>446</v>
      </c>
      <c r="J534" t="s">
        <v>1746</v>
      </c>
      <c r="K534" t="s">
        <v>446</v>
      </c>
      <c r="L534" t="s">
        <v>446</v>
      </c>
      <c r="M534" t="s">
        <v>446</v>
      </c>
      <c r="N534" t="s">
        <v>446</v>
      </c>
      <c r="O534" t="s">
        <v>446</v>
      </c>
      <c r="P534" t="s">
        <v>446</v>
      </c>
      <c r="Q534" t="b">
        <v>1</v>
      </c>
      <c r="R534" t="b">
        <v>0</v>
      </c>
      <c r="S534" t="s">
        <v>1090</v>
      </c>
      <c r="T534" t="s">
        <v>1159</v>
      </c>
      <c r="U534" t="s">
        <v>1092</v>
      </c>
      <c r="V534" t="s">
        <v>1093</v>
      </c>
      <c r="W534" t="s">
        <v>1088</v>
      </c>
      <c r="X534" t="s">
        <v>1094</v>
      </c>
    </row>
    <row r="535" spans="1:24" x14ac:dyDescent="0.25">
      <c r="A535" t="s">
        <v>42</v>
      </c>
      <c r="B535" t="s">
        <v>1877</v>
      </c>
      <c r="C535" t="s">
        <v>416</v>
      </c>
      <c r="D535" t="s">
        <v>46</v>
      </c>
      <c r="E535" t="s">
        <v>1023</v>
      </c>
      <c r="F535">
        <v>0</v>
      </c>
      <c r="G535" t="s">
        <v>1088</v>
      </c>
      <c r="H535" t="s">
        <v>446</v>
      </c>
      <c r="I535" t="s">
        <v>446</v>
      </c>
      <c r="J535" t="s">
        <v>1746</v>
      </c>
      <c r="K535" t="s">
        <v>446</v>
      </c>
      <c r="L535" t="s">
        <v>446</v>
      </c>
      <c r="M535" t="s">
        <v>446</v>
      </c>
      <c r="N535" t="s">
        <v>446</v>
      </c>
      <c r="O535" t="s">
        <v>446</v>
      </c>
      <c r="P535" t="s">
        <v>446</v>
      </c>
      <c r="Q535" t="b">
        <v>1</v>
      </c>
      <c r="R535" t="b">
        <v>0</v>
      </c>
      <c r="S535" t="s">
        <v>1090</v>
      </c>
      <c r="T535" t="s">
        <v>1159</v>
      </c>
      <c r="U535" t="s">
        <v>1092</v>
      </c>
      <c r="V535" t="s">
        <v>1093</v>
      </c>
      <c r="W535" t="s">
        <v>1088</v>
      </c>
      <c r="X535" t="s">
        <v>1094</v>
      </c>
    </row>
    <row r="536" spans="1:24" x14ac:dyDescent="0.25">
      <c r="A536" t="s">
        <v>42</v>
      </c>
      <c r="B536" t="s">
        <v>1878</v>
      </c>
      <c r="C536" t="s">
        <v>416</v>
      </c>
      <c r="D536" t="s">
        <v>46</v>
      </c>
      <c r="E536" t="s">
        <v>1029</v>
      </c>
      <c r="F536">
        <v>0</v>
      </c>
      <c r="G536" t="s">
        <v>1088</v>
      </c>
      <c r="H536" t="s">
        <v>446</v>
      </c>
      <c r="I536" t="s">
        <v>446</v>
      </c>
      <c r="J536" t="s">
        <v>1746</v>
      </c>
      <c r="K536" t="s">
        <v>446</v>
      </c>
      <c r="L536" t="s">
        <v>446</v>
      </c>
      <c r="M536" t="s">
        <v>446</v>
      </c>
      <c r="N536" t="s">
        <v>446</v>
      </c>
      <c r="O536" t="s">
        <v>446</v>
      </c>
      <c r="P536" t="s">
        <v>446</v>
      </c>
      <c r="Q536" t="b">
        <v>1</v>
      </c>
      <c r="R536" t="b">
        <v>0</v>
      </c>
      <c r="S536" t="s">
        <v>1090</v>
      </c>
      <c r="T536" t="s">
        <v>1159</v>
      </c>
      <c r="U536" t="s">
        <v>1092</v>
      </c>
      <c r="V536" t="s">
        <v>1093</v>
      </c>
      <c r="W536" t="s">
        <v>1088</v>
      </c>
      <c r="X536" t="s">
        <v>1094</v>
      </c>
    </row>
    <row r="537" spans="1:24" x14ac:dyDescent="0.25">
      <c r="A537" t="s">
        <v>42</v>
      </c>
      <c r="B537" t="s">
        <v>1879</v>
      </c>
      <c r="C537" t="s">
        <v>416</v>
      </c>
      <c r="D537" t="s">
        <v>46</v>
      </c>
      <c r="E537" t="s">
        <v>1035</v>
      </c>
      <c r="F537">
        <v>0</v>
      </c>
      <c r="G537" t="s">
        <v>1088</v>
      </c>
      <c r="H537" t="s">
        <v>446</v>
      </c>
      <c r="I537" t="s">
        <v>446</v>
      </c>
      <c r="J537" t="s">
        <v>1746</v>
      </c>
      <c r="K537" t="s">
        <v>446</v>
      </c>
      <c r="L537" t="s">
        <v>446</v>
      </c>
      <c r="M537" t="s">
        <v>446</v>
      </c>
      <c r="N537" t="s">
        <v>446</v>
      </c>
      <c r="O537" t="s">
        <v>446</v>
      </c>
      <c r="P537" t="s">
        <v>446</v>
      </c>
      <c r="Q537" t="b">
        <v>1</v>
      </c>
      <c r="R537" t="b">
        <v>0</v>
      </c>
      <c r="S537" t="s">
        <v>1090</v>
      </c>
      <c r="T537" t="s">
        <v>1159</v>
      </c>
      <c r="U537" t="s">
        <v>1092</v>
      </c>
      <c r="V537" t="s">
        <v>1093</v>
      </c>
      <c r="W537" t="s">
        <v>1088</v>
      </c>
      <c r="X537" t="s">
        <v>1094</v>
      </c>
    </row>
    <row r="538" spans="1:24" x14ac:dyDescent="0.25">
      <c r="A538" t="s">
        <v>42</v>
      </c>
      <c r="B538" t="s">
        <v>1880</v>
      </c>
      <c r="C538" t="s">
        <v>416</v>
      </c>
      <c r="D538" t="s">
        <v>46</v>
      </c>
      <c r="E538" t="s">
        <v>1040</v>
      </c>
      <c r="F538">
        <v>0</v>
      </c>
      <c r="G538" t="s">
        <v>1088</v>
      </c>
      <c r="H538" t="s">
        <v>446</v>
      </c>
      <c r="I538" t="s">
        <v>446</v>
      </c>
      <c r="J538" t="s">
        <v>1746</v>
      </c>
      <c r="K538" t="s">
        <v>446</v>
      </c>
      <c r="L538" t="s">
        <v>446</v>
      </c>
      <c r="M538" t="s">
        <v>446</v>
      </c>
      <c r="N538" t="s">
        <v>446</v>
      </c>
      <c r="O538" t="s">
        <v>446</v>
      </c>
      <c r="P538" t="s">
        <v>446</v>
      </c>
      <c r="Q538" t="b">
        <v>1</v>
      </c>
      <c r="R538" t="b">
        <v>0</v>
      </c>
      <c r="S538" t="s">
        <v>1090</v>
      </c>
      <c r="T538" t="s">
        <v>1159</v>
      </c>
      <c r="U538" t="s">
        <v>1092</v>
      </c>
      <c r="V538" t="s">
        <v>1093</v>
      </c>
      <c r="W538" t="s">
        <v>1088</v>
      </c>
      <c r="X538" t="s">
        <v>1094</v>
      </c>
    </row>
    <row r="539" spans="1:24" x14ac:dyDescent="0.25">
      <c r="A539" t="s">
        <v>42</v>
      </c>
      <c r="B539" t="s">
        <v>1881</v>
      </c>
      <c r="C539" t="s">
        <v>416</v>
      </c>
      <c r="D539" t="s">
        <v>46</v>
      </c>
      <c r="E539" t="s">
        <v>1045</v>
      </c>
      <c r="F539">
        <v>0</v>
      </c>
      <c r="G539" t="s">
        <v>1088</v>
      </c>
      <c r="H539" t="s">
        <v>446</v>
      </c>
      <c r="I539" t="s">
        <v>446</v>
      </c>
      <c r="J539" t="s">
        <v>1746</v>
      </c>
      <c r="K539" t="s">
        <v>446</v>
      </c>
      <c r="L539" t="s">
        <v>446</v>
      </c>
      <c r="M539" t="s">
        <v>446</v>
      </c>
      <c r="N539" t="s">
        <v>446</v>
      </c>
      <c r="O539" t="s">
        <v>446</v>
      </c>
      <c r="P539" t="s">
        <v>446</v>
      </c>
      <c r="Q539" t="b">
        <v>1</v>
      </c>
      <c r="R539" t="b">
        <v>0</v>
      </c>
      <c r="S539" t="s">
        <v>1090</v>
      </c>
      <c r="T539" t="s">
        <v>1159</v>
      </c>
      <c r="U539" t="s">
        <v>1092</v>
      </c>
      <c r="V539" t="s">
        <v>1093</v>
      </c>
      <c r="W539" t="s">
        <v>1088</v>
      </c>
      <c r="X539" t="s">
        <v>1094</v>
      </c>
    </row>
    <row r="540" spans="1:24" x14ac:dyDescent="0.25">
      <c r="A540" t="s">
        <v>42</v>
      </c>
      <c r="B540" t="s">
        <v>1882</v>
      </c>
      <c r="C540" t="s">
        <v>416</v>
      </c>
      <c r="D540" t="s">
        <v>46</v>
      </c>
      <c r="E540" t="s">
        <v>1051</v>
      </c>
      <c r="F540">
        <v>0</v>
      </c>
      <c r="G540" t="s">
        <v>1088</v>
      </c>
      <c r="H540" t="s">
        <v>446</v>
      </c>
      <c r="I540" t="s">
        <v>446</v>
      </c>
      <c r="J540" t="s">
        <v>1746</v>
      </c>
      <c r="K540" t="s">
        <v>446</v>
      </c>
      <c r="L540" t="s">
        <v>446</v>
      </c>
      <c r="M540" t="s">
        <v>446</v>
      </c>
      <c r="N540" t="s">
        <v>446</v>
      </c>
      <c r="O540" t="s">
        <v>446</v>
      </c>
      <c r="P540" t="s">
        <v>446</v>
      </c>
      <c r="Q540" t="b">
        <v>1</v>
      </c>
      <c r="R540" t="b">
        <v>0</v>
      </c>
      <c r="S540" t="s">
        <v>1090</v>
      </c>
      <c r="T540" t="s">
        <v>1159</v>
      </c>
      <c r="U540" t="s">
        <v>1092</v>
      </c>
      <c r="V540" t="s">
        <v>1093</v>
      </c>
      <c r="W540" t="s">
        <v>1088</v>
      </c>
      <c r="X540" t="s">
        <v>1094</v>
      </c>
    </row>
    <row r="541" spans="1:24" x14ac:dyDescent="0.25">
      <c r="A541" t="s">
        <v>42</v>
      </c>
      <c r="B541" t="s">
        <v>1883</v>
      </c>
      <c r="C541" t="s">
        <v>423</v>
      </c>
      <c r="D541" t="s">
        <v>422</v>
      </c>
      <c r="E541" t="s">
        <v>978</v>
      </c>
      <c r="F541">
        <v>0</v>
      </c>
      <c r="G541" t="s">
        <v>1088</v>
      </c>
      <c r="H541" t="s">
        <v>446</v>
      </c>
      <c r="I541" t="s">
        <v>446</v>
      </c>
      <c r="J541" t="s">
        <v>1746</v>
      </c>
      <c r="K541" t="s">
        <v>446</v>
      </c>
      <c r="L541" t="s">
        <v>446</v>
      </c>
      <c r="M541" t="s">
        <v>446</v>
      </c>
      <c r="N541" t="s">
        <v>446</v>
      </c>
      <c r="O541" t="s">
        <v>446</v>
      </c>
      <c r="P541" t="s">
        <v>446</v>
      </c>
      <c r="Q541" t="b">
        <v>1</v>
      </c>
      <c r="R541" t="b">
        <v>0</v>
      </c>
      <c r="S541" t="s">
        <v>1090</v>
      </c>
      <c r="T541" t="s">
        <v>1884</v>
      </c>
      <c r="U541" t="s">
        <v>1092</v>
      </c>
      <c r="V541" t="s">
        <v>1093</v>
      </c>
      <c r="W541" t="s">
        <v>1088</v>
      </c>
      <c r="X541" t="s">
        <v>1094</v>
      </c>
    </row>
    <row r="542" spans="1:24" x14ac:dyDescent="0.25">
      <c r="A542" t="s">
        <v>42</v>
      </c>
      <c r="B542" t="s">
        <v>1885</v>
      </c>
      <c r="C542" t="s">
        <v>423</v>
      </c>
      <c r="D542" t="s">
        <v>422</v>
      </c>
      <c r="E542" t="s">
        <v>986</v>
      </c>
      <c r="F542">
        <v>0</v>
      </c>
      <c r="G542" t="s">
        <v>1088</v>
      </c>
      <c r="H542" t="s">
        <v>446</v>
      </c>
      <c r="I542" t="s">
        <v>446</v>
      </c>
      <c r="J542" t="s">
        <v>1746</v>
      </c>
      <c r="K542" t="s">
        <v>446</v>
      </c>
      <c r="L542" t="s">
        <v>446</v>
      </c>
      <c r="M542" t="s">
        <v>446</v>
      </c>
      <c r="N542" t="s">
        <v>446</v>
      </c>
      <c r="O542" t="s">
        <v>446</v>
      </c>
      <c r="P542" t="s">
        <v>446</v>
      </c>
      <c r="Q542" t="b">
        <v>1</v>
      </c>
      <c r="R542" t="b">
        <v>0</v>
      </c>
      <c r="S542" t="s">
        <v>1090</v>
      </c>
      <c r="T542" t="s">
        <v>1886</v>
      </c>
      <c r="U542" t="s">
        <v>1092</v>
      </c>
      <c r="V542" t="s">
        <v>1093</v>
      </c>
      <c r="W542" t="s">
        <v>1088</v>
      </c>
      <c r="X542" t="s">
        <v>1094</v>
      </c>
    </row>
    <row r="543" spans="1:24" x14ac:dyDescent="0.25">
      <c r="A543" t="s">
        <v>42</v>
      </c>
      <c r="B543" t="s">
        <v>1887</v>
      </c>
      <c r="C543" t="s">
        <v>423</v>
      </c>
      <c r="D543" t="s">
        <v>422</v>
      </c>
      <c r="E543" t="s">
        <v>992</v>
      </c>
      <c r="F543">
        <v>0</v>
      </c>
      <c r="G543" t="s">
        <v>1088</v>
      </c>
      <c r="H543" t="s">
        <v>446</v>
      </c>
      <c r="I543" t="s">
        <v>446</v>
      </c>
      <c r="J543" t="s">
        <v>1746</v>
      </c>
      <c r="K543" t="s">
        <v>446</v>
      </c>
      <c r="L543" t="s">
        <v>446</v>
      </c>
      <c r="M543" t="s">
        <v>446</v>
      </c>
      <c r="N543" t="s">
        <v>446</v>
      </c>
      <c r="O543" t="s">
        <v>446</v>
      </c>
      <c r="P543" t="s">
        <v>446</v>
      </c>
      <c r="Q543" t="b">
        <v>1</v>
      </c>
      <c r="R543" t="b">
        <v>0</v>
      </c>
      <c r="S543" t="s">
        <v>1090</v>
      </c>
      <c r="T543" t="s">
        <v>1888</v>
      </c>
      <c r="U543" t="s">
        <v>1092</v>
      </c>
      <c r="V543" t="s">
        <v>1093</v>
      </c>
      <c r="W543" t="s">
        <v>1088</v>
      </c>
      <c r="X543" t="s">
        <v>1094</v>
      </c>
    </row>
    <row r="544" spans="1:24" x14ac:dyDescent="0.25">
      <c r="A544" t="s">
        <v>42</v>
      </c>
      <c r="B544" t="s">
        <v>1889</v>
      </c>
      <c r="C544" t="s">
        <v>423</v>
      </c>
      <c r="D544" t="s">
        <v>422</v>
      </c>
      <c r="E544" t="s">
        <v>982</v>
      </c>
      <c r="F544">
        <v>0</v>
      </c>
      <c r="G544" t="s">
        <v>1088</v>
      </c>
      <c r="H544" t="s">
        <v>446</v>
      </c>
      <c r="I544" t="s">
        <v>446</v>
      </c>
      <c r="J544" t="s">
        <v>1746</v>
      </c>
      <c r="K544" t="s">
        <v>446</v>
      </c>
      <c r="L544" t="s">
        <v>446</v>
      </c>
      <c r="M544" t="s">
        <v>446</v>
      </c>
      <c r="N544" t="s">
        <v>446</v>
      </c>
      <c r="O544" t="s">
        <v>446</v>
      </c>
      <c r="P544" t="s">
        <v>446</v>
      </c>
      <c r="Q544" t="b">
        <v>1</v>
      </c>
      <c r="R544" t="b">
        <v>0</v>
      </c>
      <c r="S544" t="s">
        <v>1090</v>
      </c>
      <c r="T544" t="s">
        <v>1890</v>
      </c>
      <c r="U544" t="s">
        <v>1092</v>
      </c>
      <c r="V544" t="s">
        <v>1093</v>
      </c>
      <c r="W544" t="s">
        <v>1088</v>
      </c>
      <c r="X544" t="s">
        <v>1094</v>
      </c>
    </row>
    <row r="545" spans="1:24" x14ac:dyDescent="0.25">
      <c r="A545" t="s">
        <v>42</v>
      </c>
      <c r="B545" t="s">
        <v>1891</v>
      </c>
      <c r="C545" t="s">
        <v>423</v>
      </c>
      <c r="D545" t="s">
        <v>422</v>
      </c>
      <c r="E545" t="s">
        <v>1006</v>
      </c>
      <c r="F545">
        <v>0</v>
      </c>
      <c r="G545" t="s">
        <v>1088</v>
      </c>
      <c r="H545" t="s">
        <v>446</v>
      </c>
      <c r="I545" t="s">
        <v>446</v>
      </c>
      <c r="J545" t="s">
        <v>1746</v>
      </c>
      <c r="K545" t="s">
        <v>446</v>
      </c>
      <c r="L545" t="s">
        <v>446</v>
      </c>
      <c r="M545" t="s">
        <v>446</v>
      </c>
      <c r="N545" t="s">
        <v>446</v>
      </c>
      <c r="O545" t="s">
        <v>446</v>
      </c>
      <c r="P545" t="s">
        <v>446</v>
      </c>
      <c r="Q545" t="b">
        <v>1</v>
      </c>
      <c r="R545" t="b">
        <v>0</v>
      </c>
      <c r="S545" t="s">
        <v>1090</v>
      </c>
      <c r="T545" t="s">
        <v>1884</v>
      </c>
      <c r="U545" t="s">
        <v>1092</v>
      </c>
      <c r="V545" t="s">
        <v>1093</v>
      </c>
      <c r="W545" t="s">
        <v>1088</v>
      </c>
      <c r="X545" t="s">
        <v>1094</v>
      </c>
    </row>
    <row r="546" spans="1:24" x14ac:dyDescent="0.25">
      <c r="A546" t="s">
        <v>42</v>
      </c>
      <c r="B546" t="s">
        <v>1892</v>
      </c>
      <c r="C546" t="s">
        <v>423</v>
      </c>
      <c r="D546" t="s">
        <v>422</v>
      </c>
      <c r="E546" t="s">
        <v>1013</v>
      </c>
      <c r="F546">
        <v>0</v>
      </c>
      <c r="G546" t="s">
        <v>1088</v>
      </c>
      <c r="H546" t="s">
        <v>446</v>
      </c>
      <c r="I546" t="s">
        <v>446</v>
      </c>
      <c r="J546" t="s">
        <v>1746</v>
      </c>
      <c r="K546" t="s">
        <v>446</v>
      </c>
      <c r="L546" t="s">
        <v>446</v>
      </c>
      <c r="M546" t="s">
        <v>446</v>
      </c>
      <c r="N546" t="s">
        <v>446</v>
      </c>
      <c r="O546" t="s">
        <v>446</v>
      </c>
      <c r="P546" t="s">
        <v>446</v>
      </c>
      <c r="Q546" t="b">
        <v>1</v>
      </c>
      <c r="R546" t="b">
        <v>0</v>
      </c>
      <c r="S546" t="s">
        <v>1090</v>
      </c>
      <c r="T546" t="s">
        <v>1886</v>
      </c>
      <c r="U546" t="s">
        <v>1092</v>
      </c>
      <c r="V546" t="s">
        <v>1093</v>
      </c>
      <c r="W546" t="s">
        <v>1088</v>
      </c>
      <c r="X546" t="s">
        <v>1094</v>
      </c>
    </row>
    <row r="547" spans="1:24" x14ac:dyDescent="0.25">
      <c r="A547" t="s">
        <v>42</v>
      </c>
      <c r="B547" t="s">
        <v>1893</v>
      </c>
      <c r="C547" t="s">
        <v>423</v>
      </c>
      <c r="D547" t="s">
        <v>422</v>
      </c>
      <c r="E547" t="s">
        <v>1018</v>
      </c>
      <c r="F547">
        <v>0</v>
      </c>
      <c r="G547" t="s">
        <v>1088</v>
      </c>
      <c r="H547" t="s">
        <v>446</v>
      </c>
      <c r="I547" t="s">
        <v>446</v>
      </c>
      <c r="J547" t="s">
        <v>1746</v>
      </c>
      <c r="K547" t="s">
        <v>446</v>
      </c>
      <c r="L547" t="s">
        <v>446</v>
      </c>
      <c r="M547" t="s">
        <v>446</v>
      </c>
      <c r="N547" t="s">
        <v>446</v>
      </c>
      <c r="O547" t="s">
        <v>446</v>
      </c>
      <c r="P547" t="s">
        <v>446</v>
      </c>
      <c r="Q547" t="b">
        <v>1</v>
      </c>
      <c r="R547" t="b">
        <v>0</v>
      </c>
      <c r="S547" t="s">
        <v>1090</v>
      </c>
      <c r="T547" t="s">
        <v>1888</v>
      </c>
      <c r="U547" t="s">
        <v>1092</v>
      </c>
      <c r="V547" t="s">
        <v>1093</v>
      </c>
      <c r="W547" t="s">
        <v>1088</v>
      </c>
      <c r="X547" t="s">
        <v>1094</v>
      </c>
    </row>
    <row r="548" spans="1:24" x14ac:dyDescent="0.25">
      <c r="A548" t="s">
        <v>42</v>
      </c>
      <c r="B548" t="s">
        <v>1894</v>
      </c>
      <c r="C548" t="s">
        <v>423</v>
      </c>
      <c r="D548" t="s">
        <v>422</v>
      </c>
      <c r="E548" t="s">
        <v>1010</v>
      </c>
      <c r="F548">
        <v>0</v>
      </c>
      <c r="G548" t="s">
        <v>1088</v>
      </c>
      <c r="H548" t="s">
        <v>446</v>
      </c>
      <c r="I548" t="s">
        <v>446</v>
      </c>
      <c r="J548" t="s">
        <v>1746</v>
      </c>
      <c r="K548" t="s">
        <v>446</v>
      </c>
      <c r="L548" t="s">
        <v>446</v>
      </c>
      <c r="M548" t="s">
        <v>446</v>
      </c>
      <c r="N548" t="s">
        <v>446</v>
      </c>
      <c r="O548" t="s">
        <v>446</v>
      </c>
      <c r="P548" t="s">
        <v>446</v>
      </c>
      <c r="Q548" t="b">
        <v>1</v>
      </c>
      <c r="R548" t="b">
        <v>0</v>
      </c>
      <c r="S548" t="s">
        <v>1090</v>
      </c>
      <c r="T548" t="s">
        <v>1895</v>
      </c>
      <c r="U548" t="s">
        <v>1092</v>
      </c>
      <c r="V548" t="s">
        <v>1093</v>
      </c>
      <c r="W548" t="s">
        <v>1088</v>
      </c>
      <c r="X548" t="s">
        <v>1094</v>
      </c>
    </row>
    <row r="549" spans="1:24" x14ac:dyDescent="0.25">
      <c r="A549" t="s">
        <v>42</v>
      </c>
      <c r="B549" t="s">
        <v>1896</v>
      </c>
      <c r="C549" t="s">
        <v>423</v>
      </c>
      <c r="D549" t="s">
        <v>422</v>
      </c>
      <c r="E549" t="s">
        <v>1029</v>
      </c>
      <c r="F549">
        <v>0</v>
      </c>
      <c r="G549" t="s">
        <v>1088</v>
      </c>
      <c r="H549" t="s">
        <v>446</v>
      </c>
      <c r="I549" t="s">
        <v>446</v>
      </c>
      <c r="J549" t="s">
        <v>1746</v>
      </c>
      <c r="K549" t="s">
        <v>446</v>
      </c>
      <c r="L549" t="s">
        <v>446</v>
      </c>
      <c r="M549" t="s">
        <v>446</v>
      </c>
      <c r="N549" t="s">
        <v>446</v>
      </c>
      <c r="O549" t="s">
        <v>446</v>
      </c>
      <c r="P549" t="s">
        <v>446</v>
      </c>
      <c r="Q549" t="b">
        <v>1</v>
      </c>
      <c r="R549" t="b">
        <v>0</v>
      </c>
      <c r="S549" t="s">
        <v>1090</v>
      </c>
      <c r="T549" t="s">
        <v>1897</v>
      </c>
      <c r="U549" t="s">
        <v>1092</v>
      </c>
      <c r="V549" t="s">
        <v>1093</v>
      </c>
      <c r="W549" t="s">
        <v>1088</v>
      </c>
      <c r="X549" t="s">
        <v>1094</v>
      </c>
    </row>
    <row r="550" spans="1:24" x14ac:dyDescent="0.25">
      <c r="A550" t="s">
        <v>42</v>
      </c>
      <c r="B550" t="s">
        <v>1898</v>
      </c>
      <c r="C550" t="s">
        <v>423</v>
      </c>
      <c r="D550" t="s">
        <v>422</v>
      </c>
      <c r="E550" t="s">
        <v>1035</v>
      </c>
      <c r="F550">
        <v>0</v>
      </c>
      <c r="G550" t="s">
        <v>1088</v>
      </c>
      <c r="H550" t="s">
        <v>446</v>
      </c>
      <c r="I550" t="s">
        <v>446</v>
      </c>
      <c r="J550" t="s">
        <v>1746</v>
      </c>
      <c r="K550" t="s">
        <v>446</v>
      </c>
      <c r="L550" t="s">
        <v>446</v>
      </c>
      <c r="M550" t="s">
        <v>446</v>
      </c>
      <c r="N550" t="s">
        <v>446</v>
      </c>
      <c r="O550" t="s">
        <v>446</v>
      </c>
      <c r="P550" t="s">
        <v>446</v>
      </c>
      <c r="Q550" t="b">
        <v>1</v>
      </c>
      <c r="R550" t="b">
        <v>0</v>
      </c>
      <c r="S550" t="s">
        <v>1090</v>
      </c>
      <c r="T550" t="s">
        <v>1899</v>
      </c>
      <c r="U550" t="s">
        <v>1092</v>
      </c>
      <c r="V550" t="s">
        <v>1093</v>
      </c>
      <c r="W550" t="s">
        <v>1088</v>
      </c>
      <c r="X550" t="s">
        <v>1094</v>
      </c>
    </row>
    <row r="551" spans="1:24" x14ac:dyDescent="0.25">
      <c r="A551" t="s">
        <v>42</v>
      </c>
      <c r="B551" t="s">
        <v>1900</v>
      </c>
      <c r="C551" t="s">
        <v>423</v>
      </c>
      <c r="D551" t="s">
        <v>422</v>
      </c>
      <c r="E551" t="s">
        <v>1040</v>
      </c>
      <c r="F551">
        <v>0</v>
      </c>
      <c r="G551" t="s">
        <v>1088</v>
      </c>
      <c r="H551" t="s">
        <v>446</v>
      </c>
      <c r="I551" t="s">
        <v>446</v>
      </c>
      <c r="J551" t="s">
        <v>1746</v>
      </c>
      <c r="K551" t="s">
        <v>446</v>
      </c>
      <c r="L551" t="s">
        <v>446</v>
      </c>
      <c r="M551" t="s">
        <v>446</v>
      </c>
      <c r="N551" t="s">
        <v>446</v>
      </c>
      <c r="O551" t="s">
        <v>446</v>
      </c>
      <c r="P551" t="s">
        <v>446</v>
      </c>
      <c r="Q551" t="b">
        <v>1</v>
      </c>
      <c r="R551" t="b">
        <v>0</v>
      </c>
      <c r="S551" t="s">
        <v>1090</v>
      </c>
      <c r="T551" t="s">
        <v>1901</v>
      </c>
      <c r="U551" t="s">
        <v>1092</v>
      </c>
      <c r="V551" t="s">
        <v>1093</v>
      </c>
      <c r="W551" t="s">
        <v>1088</v>
      </c>
      <c r="X551" t="s">
        <v>1094</v>
      </c>
    </row>
    <row r="552" spans="1:24" x14ac:dyDescent="0.25">
      <c r="A552" t="s">
        <v>42</v>
      </c>
      <c r="B552" t="s">
        <v>1902</v>
      </c>
      <c r="C552" t="s">
        <v>423</v>
      </c>
      <c r="D552" t="s">
        <v>422</v>
      </c>
      <c r="E552" t="s">
        <v>1045</v>
      </c>
      <c r="F552">
        <v>0</v>
      </c>
      <c r="G552" t="s">
        <v>1088</v>
      </c>
      <c r="H552" t="s">
        <v>446</v>
      </c>
      <c r="I552" t="s">
        <v>446</v>
      </c>
      <c r="J552" t="s">
        <v>1746</v>
      </c>
      <c r="K552" t="s">
        <v>446</v>
      </c>
      <c r="L552" t="s">
        <v>446</v>
      </c>
      <c r="M552" t="s">
        <v>446</v>
      </c>
      <c r="N552" t="s">
        <v>446</v>
      </c>
      <c r="O552" t="s">
        <v>446</v>
      </c>
      <c r="P552" t="s">
        <v>446</v>
      </c>
      <c r="Q552" t="b">
        <v>1</v>
      </c>
      <c r="R552" t="b">
        <v>0</v>
      </c>
      <c r="S552" t="s">
        <v>1090</v>
      </c>
      <c r="T552" t="s">
        <v>1903</v>
      </c>
      <c r="U552" t="s">
        <v>1092</v>
      </c>
      <c r="V552" t="s">
        <v>1093</v>
      </c>
      <c r="W552" t="s">
        <v>1088</v>
      </c>
      <c r="X552" t="s">
        <v>1094</v>
      </c>
    </row>
    <row r="553" spans="1:24" x14ac:dyDescent="0.25">
      <c r="A553" t="s">
        <v>42</v>
      </c>
      <c r="B553" t="s">
        <v>1904</v>
      </c>
      <c r="C553" t="s">
        <v>423</v>
      </c>
      <c r="D553" t="s">
        <v>422</v>
      </c>
      <c r="E553" t="s">
        <v>1051</v>
      </c>
      <c r="F553">
        <v>0</v>
      </c>
      <c r="G553" t="s">
        <v>1088</v>
      </c>
      <c r="H553" t="s">
        <v>446</v>
      </c>
      <c r="I553" t="s">
        <v>446</v>
      </c>
      <c r="J553" t="s">
        <v>1746</v>
      </c>
      <c r="K553" t="s">
        <v>446</v>
      </c>
      <c r="L553" t="s">
        <v>446</v>
      </c>
      <c r="M553" t="s">
        <v>446</v>
      </c>
      <c r="N553" t="s">
        <v>446</v>
      </c>
      <c r="O553" t="s">
        <v>446</v>
      </c>
      <c r="P553" t="s">
        <v>446</v>
      </c>
      <c r="Q553" t="b">
        <v>1</v>
      </c>
      <c r="R553" t="b">
        <v>0</v>
      </c>
      <c r="S553" t="s">
        <v>1090</v>
      </c>
      <c r="T553" t="s">
        <v>1905</v>
      </c>
      <c r="U553" t="s">
        <v>1092</v>
      </c>
      <c r="V553" t="s">
        <v>1093</v>
      </c>
      <c r="W553" t="s">
        <v>1088</v>
      </c>
      <c r="X553" t="s">
        <v>1094</v>
      </c>
    </row>
    <row r="554" spans="1:24" x14ac:dyDescent="0.25">
      <c r="A554" t="s">
        <v>42</v>
      </c>
      <c r="B554" t="s">
        <v>1906</v>
      </c>
      <c r="C554" t="s">
        <v>424</v>
      </c>
      <c r="D554" t="s">
        <v>422</v>
      </c>
      <c r="E554" t="s">
        <v>978</v>
      </c>
      <c r="F554">
        <v>0</v>
      </c>
      <c r="G554" t="s">
        <v>1088</v>
      </c>
      <c r="H554" t="s">
        <v>446</v>
      </c>
      <c r="I554" t="s">
        <v>446</v>
      </c>
      <c r="J554" t="s">
        <v>1746</v>
      </c>
      <c r="K554" t="s">
        <v>446</v>
      </c>
      <c r="L554" t="s">
        <v>446</v>
      </c>
      <c r="M554" t="s">
        <v>446</v>
      </c>
      <c r="N554" t="s">
        <v>446</v>
      </c>
      <c r="O554" t="s">
        <v>446</v>
      </c>
      <c r="P554" t="s">
        <v>446</v>
      </c>
      <c r="Q554" t="b">
        <v>1</v>
      </c>
      <c r="R554" t="b">
        <v>0</v>
      </c>
      <c r="S554" t="s">
        <v>1090</v>
      </c>
      <c r="T554" t="s">
        <v>1907</v>
      </c>
      <c r="U554" t="s">
        <v>1092</v>
      </c>
      <c r="V554" t="s">
        <v>1093</v>
      </c>
      <c r="W554" t="s">
        <v>1088</v>
      </c>
      <c r="X554" t="s">
        <v>1094</v>
      </c>
    </row>
    <row r="555" spans="1:24" x14ac:dyDescent="0.25">
      <c r="A555" t="s">
        <v>42</v>
      </c>
      <c r="B555" t="s">
        <v>1908</v>
      </c>
      <c r="C555" t="s">
        <v>424</v>
      </c>
      <c r="D555" t="s">
        <v>422</v>
      </c>
      <c r="E555" t="s">
        <v>986</v>
      </c>
      <c r="F555">
        <v>0</v>
      </c>
      <c r="G555" t="s">
        <v>1088</v>
      </c>
      <c r="H555" t="s">
        <v>446</v>
      </c>
      <c r="I555" t="s">
        <v>446</v>
      </c>
      <c r="J555" t="s">
        <v>1746</v>
      </c>
      <c r="K555" t="s">
        <v>446</v>
      </c>
      <c r="L555" t="s">
        <v>446</v>
      </c>
      <c r="M555" t="s">
        <v>446</v>
      </c>
      <c r="N555" t="s">
        <v>446</v>
      </c>
      <c r="O555" t="s">
        <v>446</v>
      </c>
      <c r="P555" t="s">
        <v>446</v>
      </c>
      <c r="Q555" t="b">
        <v>1</v>
      </c>
      <c r="R555" t="b">
        <v>0</v>
      </c>
      <c r="S555" t="s">
        <v>1090</v>
      </c>
      <c r="T555" t="s">
        <v>1909</v>
      </c>
      <c r="U555" t="s">
        <v>1092</v>
      </c>
      <c r="V555" t="s">
        <v>1093</v>
      </c>
      <c r="W555" t="s">
        <v>1088</v>
      </c>
      <c r="X555" t="s">
        <v>1094</v>
      </c>
    </row>
    <row r="556" spans="1:24" x14ac:dyDescent="0.25">
      <c r="A556" t="s">
        <v>42</v>
      </c>
      <c r="B556" t="s">
        <v>1910</v>
      </c>
      <c r="C556" t="s">
        <v>424</v>
      </c>
      <c r="D556" t="s">
        <v>422</v>
      </c>
      <c r="E556" t="s">
        <v>992</v>
      </c>
      <c r="F556">
        <v>0</v>
      </c>
      <c r="G556" t="s">
        <v>1088</v>
      </c>
      <c r="H556" t="s">
        <v>446</v>
      </c>
      <c r="I556" t="s">
        <v>446</v>
      </c>
      <c r="J556" t="s">
        <v>1746</v>
      </c>
      <c r="K556" t="s">
        <v>446</v>
      </c>
      <c r="L556" t="s">
        <v>446</v>
      </c>
      <c r="M556" t="s">
        <v>446</v>
      </c>
      <c r="N556" t="s">
        <v>446</v>
      </c>
      <c r="O556" t="s">
        <v>446</v>
      </c>
      <c r="P556" t="s">
        <v>446</v>
      </c>
      <c r="Q556" t="b">
        <v>1</v>
      </c>
      <c r="R556" t="b">
        <v>0</v>
      </c>
      <c r="S556" t="s">
        <v>1090</v>
      </c>
      <c r="T556" t="s">
        <v>1524</v>
      </c>
      <c r="U556" t="s">
        <v>1092</v>
      </c>
      <c r="V556" t="s">
        <v>1093</v>
      </c>
      <c r="W556" t="s">
        <v>1088</v>
      </c>
      <c r="X556" t="s">
        <v>1094</v>
      </c>
    </row>
    <row r="557" spans="1:24" x14ac:dyDescent="0.25">
      <c r="A557" t="s">
        <v>42</v>
      </c>
      <c r="B557" t="s">
        <v>1911</v>
      </c>
      <c r="C557" t="s">
        <v>424</v>
      </c>
      <c r="D557" t="s">
        <v>422</v>
      </c>
      <c r="E557" t="s">
        <v>998</v>
      </c>
      <c r="F557">
        <v>0</v>
      </c>
      <c r="G557" t="s">
        <v>1088</v>
      </c>
      <c r="H557" t="s">
        <v>446</v>
      </c>
      <c r="I557" t="s">
        <v>446</v>
      </c>
      <c r="J557" t="s">
        <v>1746</v>
      </c>
      <c r="K557" t="s">
        <v>446</v>
      </c>
      <c r="L557" t="s">
        <v>446</v>
      </c>
      <c r="M557" t="s">
        <v>446</v>
      </c>
      <c r="N557" t="s">
        <v>446</v>
      </c>
      <c r="O557" t="s">
        <v>446</v>
      </c>
      <c r="P557" t="s">
        <v>446</v>
      </c>
      <c r="Q557" t="b">
        <v>1</v>
      </c>
      <c r="R557" t="b">
        <v>0</v>
      </c>
      <c r="S557" t="s">
        <v>1090</v>
      </c>
      <c r="T557" t="s">
        <v>1912</v>
      </c>
      <c r="U557" t="s">
        <v>1092</v>
      </c>
      <c r="V557" t="s">
        <v>1093</v>
      </c>
      <c r="W557" t="s">
        <v>1088</v>
      </c>
      <c r="X557" t="s">
        <v>1094</v>
      </c>
    </row>
    <row r="558" spans="1:24" x14ac:dyDescent="0.25">
      <c r="A558" t="s">
        <v>42</v>
      </c>
      <c r="B558" t="s">
        <v>1913</v>
      </c>
      <c r="C558" t="s">
        <v>424</v>
      </c>
      <c r="D558" t="s">
        <v>422</v>
      </c>
      <c r="E558" t="s">
        <v>1006</v>
      </c>
      <c r="F558">
        <v>0</v>
      </c>
      <c r="G558" t="s">
        <v>1088</v>
      </c>
      <c r="H558" t="s">
        <v>446</v>
      </c>
      <c r="I558" t="s">
        <v>446</v>
      </c>
      <c r="J558" t="s">
        <v>1746</v>
      </c>
      <c r="K558" t="s">
        <v>446</v>
      </c>
      <c r="L558" t="s">
        <v>446</v>
      </c>
      <c r="M558" t="s">
        <v>446</v>
      </c>
      <c r="N558" t="s">
        <v>446</v>
      </c>
      <c r="O558" t="s">
        <v>446</v>
      </c>
      <c r="P558" t="s">
        <v>446</v>
      </c>
      <c r="Q558" t="b">
        <v>1</v>
      </c>
      <c r="R558" t="b">
        <v>0</v>
      </c>
      <c r="S558" t="s">
        <v>1090</v>
      </c>
      <c r="T558" t="s">
        <v>1907</v>
      </c>
      <c r="U558" t="s">
        <v>1092</v>
      </c>
      <c r="V558" t="s">
        <v>1093</v>
      </c>
      <c r="W558" t="s">
        <v>1088</v>
      </c>
      <c r="X558" t="s">
        <v>1094</v>
      </c>
    </row>
    <row r="559" spans="1:24" x14ac:dyDescent="0.25">
      <c r="A559" t="s">
        <v>42</v>
      </c>
      <c r="B559" t="s">
        <v>1914</v>
      </c>
      <c r="C559" t="s">
        <v>424</v>
      </c>
      <c r="D559" t="s">
        <v>422</v>
      </c>
      <c r="E559" t="s">
        <v>1013</v>
      </c>
      <c r="F559">
        <v>0</v>
      </c>
      <c r="G559" t="s">
        <v>1088</v>
      </c>
      <c r="H559" t="s">
        <v>446</v>
      </c>
      <c r="I559" t="s">
        <v>446</v>
      </c>
      <c r="J559" t="s">
        <v>1746</v>
      </c>
      <c r="K559" t="s">
        <v>446</v>
      </c>
      <c r="L559" t="s">
        <v>446</v>
      </c>
      <c r="M559" t="s">
        <v>446</v>
      </c>
      <c r="N559" t="s">
        <v>446</v>
      </c>
      <c r="O559" t="s">
        <v>446</v>
      </c>
      <c r="P559" t="s">
        <v>446</v>
      </c>
      <c r="Q559" t="b">
        <v>1</v>
      </c>
      <c r="R559" t="b">
        <v>0</v>
      </c>
      <c r="S559" t="s">
        <v>1090</v>
      </c>
      <c r="T559" t="s">
        <v>1909</v>
      </c>
      <c r="U559" t="s">
        <v>1092</v>
      </c>
      <c r="V559" t="s">
        <v>1093</v>
      </c>
      <c r="W559" t="s">
        <v>1088</v>
      </c>
      <c r="X559" t="s">
        <v>1094</v>
      </c>
    </row>
    <row r="560" spans="1:24" x14ac:dyDescent="0.25">
      <c r="A560" t="s">
        <v>42</v>
      </c>
      <c r="B560" t="s">
        <v>1915</v>
      </c>
      <c r="C560" t="s">
        <v>424</v>
      </c>
      <c r="D560" t="s">
        <v>422</v>
      </c>
      <c r="E560" t="s">
        <v>1018</v>
      </c>
      <c r="F560">
        <v>0</v>
      </c>
      <c r="G560" t="s">
        <v>1088</v>
      </c>
      <c r="H560" t="s">
        <v>446</v>
      </c>
      <c r="I560" t="s">
        <v>446</v>
      </c>
      <c r="J560" t="s">
        <v>1746</v>
      </c>
      <c r="K560" t="s">
        <v>446</v>
      </c>
      <c r="L560" t="s">
        <v>446</v>
      </c>
      <c r="M560" t="s">
        <v>446</v>
      </c>
      <c r="N560" t="s">
        <v>446</v>
      </c>
      <c r="O560" t="s">
        <v>446</v>
      </c>
      <c r="P560" t="s">
        <v>446</v>
      </c>
      <c r="Q560" t="b">
        <v>1</v>
      </c>
      <c r="R560" t="b">
        <v>0</v>
      </c>
      <c r="S560" t="s">
        <v>1090</v>
      </c>
      <c r="T560" t="s">
        <v>1524</v>
      </c>
      <c r="U560" t="s">
        <v>1092</v>
      </c>
      <c r="V560" t="s">
        <v>1093</v>
      </c>
      <c r="W560" t="s">
        <v>1088</v>
      </c>
      <c r="X560" t="s">
        <v>1094</v>
      </c>
    </row>
    <row r="561" spans="1:24" x14ac:dyDescent="0.25">
      <c r="A561" t="s">
        <v>42</v>
      </c>
      <c r="B561" t="s">
        <v>1916</v>
      </c>
      <c r="C561" t="s">
        <v>424</v>
      </c>
      <c r="D561" t="s">
        <v>422</v>
      </c>
      <c r="E561" t="s">
        <v>1023</v>
      </c>
      <c r="F561">
        <v>0</v>
      </c>
      <c r="G561" t="s">
        <v>1088</v>
      </c>
      <c r="H561" t="s">
        <v>446</v>
      </c>
      <c r="I561" t="s">
        <v>446</v>
      </c>
      <c r="J561" t="s">
        <v>1746</v>
      </c>
      <c r="K561" t="s">
        <v>446</v>
      </c>
      <c r="L561" t="s">
        <v>446</v>
      </c>
      <c r="M561" t="s">
        <v>446</v>
      </c>
      <c r="N561" t="s">
        <v>446</v>
      </c>
      <c r="O561" t="s">
        <v>446</v>
      </c>
      <c r="P561" t="s">
        <v>446</v>
      </c>
      <c r="Q561" t="b">
        <v>1</v>
      </c>
      <c r="R561" t="b">
        <v>0</v>
      </c>
      <c r="S561" t="s">
        <v>1090</v>
      </c>
      <c r="T561" t="s">
        <v>1912</v>
      </c>
      <c r="U561" t="s">
        <v>1092</v>
      </c>
      <c r="V561" t="s">
        <v>1093</v>
      </c>
      <c r="W561" t="s">
        <v>1088</v>
      </c>
      <c r="X561" t="s">
        <v>1094</v>
      </c>
    </row>
    <row r="562" spans="1:24" x14ac:dyDescent="0.25">
      <c r="A562" t="s">
        <v>42</v>
      </c>
      <c r="B562" t="s">
        <v>1917</v>
      </c>
      <c r="C562" t="s">
        <v>424</v>
      </c>
      <c r="D562" t="s">
        <v>422</v>
      </c>
      <c r="E562" t="s">
        <v>1029</v>
      </c>
      <c r="F562">
        <v>0</v>
      </c>
      <c r="G562" t="s">
        <v>1088</v>
      </c>
      <c r="H562" t="s">
        <v>446</v>
      </c>
      <c r="I562" t="s">
        <v>446</v>
      </c>
      <c r="J562" t="s">
        <v>1746</v>
      </c>
      <c r="K562" t="s">
        <v>446</v>
      </c>
      <c r="L562" t="s">
        <v>446</v>
      </c>
      <c r="M562" t="s">
        <v>446</v>
      </c>
      <c r="N562" t="s">
        <v>446</v>
      </c>
      <c r="O562" t="s">
        <v>446</v>
      </c>
      <c r="P562" t="s">
        <v>446</v>
      </c>
      <c r="Q562" t="b">
        <v>1</v>
      </c>
      <c r="R562" t="b">
        <v>0</v>
      </c>
      <c r="S562" t="s">
        <v>1090</v>
      </c>
      <c r="T562" t="s">
        <v>1897</v>
      </c>
      <c r="U562" t="s">
        <v>1092</v>
      </c>
      <c r="V562" t="s">
        <v>1093</v>
      </c>
      <c r="W562" t="s">
        <v>1088</v>
      </c>
      <c r="X562" t="s">
        <v>1094</v>
      </c>
    </row>
    <row r="563" spans="1:24" x14ac:dyDescent="0.25">
      <c r="A563" t="s">
        <v>42</v>
      </c>
      <c r="B563" t="s">
        <v>1918</v>
      </c>
      <c r="C563" t="s">
        <v>424</v>
      </c>
      <c r="D563" t="s">
        <v>422</v>
      </c>
      <c r="E563" t="s">
        <v>1035</v>
      </c>
      <c r="F563">
        <v>0</v>
      </c>
      <c r="G563" t="s">
        <v>1088</v>
      </c>
      <c r="H563" t="s">
        <v>446</v>
      </c>
      <c r="I563" t="s">
        <v>446</v>
      </c>
      <c r="J563" t="s">
        <v>1746</v>
      </c>
      <c r="K563" t="s">
        <v>446</v>
      </c>
      <c r="L563" t="s">
        <v>446</v>
      </c>
      <c r="M563" t="s">
        <v>446</v>
      </c>
      <c r="N563" t="s">
        <v>446</v>
      </c>
      <c r="O563" t="s">
        <v>446</v>
      </c>
      <c r="P563" t="s">
        <v>446</v>
      </c>
      <c r="Q563" t="b">
        <v>1</v>
      </c>
      <c r="R563" t="b">
        <v>0</v>
      </c>
      <c r="S563" t="s">
        <v>1090</v>
      </c>
      <c r="T563" t="s">
        <v>1919</v>
      </c>
      <c r="U563" t="s">
        <v>1092</v>
      </c>
      <c r="V563" t="s">
        <v>1093</v>
      </c>
      <c r="W563" t="s">
        <v>1088</v>
      </c>
      <c r="X563" t="s">
        <v>1094</v>
      </c>
    </row>
    <row r="564" spans="1:24" x14ac:dyDescent="0.25">
      <c r="A564" t="s">
        <v>42</v>
      </c>
      <c r="B564" t="s">
        <v>1920</v>
      </c>
      <c r="C564" t="s">
        <v>424</v>
      </c>
      <c r="D564" t="s">
        <v>422</v>
      </c>
      <c r="E564" t="s">
        <v>1040</v>
      </c>
      <c r="F564">
        <v>0</v>
      </c>
      <c r="G564" t="s">
        <v>1088</v>
      </c>
      <c r="H564" t="s">
        <v>446</v>
      </c>
      <c r="I564" t="s">
        <v>446</v>
      </c>
      <c r="J564" t="s">
        <v>1746</v>
      </c>
      <c r="K564" t="s">
        <v>446</v>
      </c>
      <c r="L564" t="s">
        <v>446</v>
      </c>
      <c r="M564" t="s">
        <v>446</v>
      </c>
      <c r="N564" t="s">
        <v>446</v>
      </c>
      <c r="O564" t="s">
        <v>446</v>
      </c>
      <c r="P564" t="s">
        <v>446</v>
      </c>
      <c r="Q564" t="b">
        <v>1</v>
      </c>
      <c r="R564" t="b">
        <v>0</v>
      </c>
      <c r="S564" t="s">
        <v>1090</v>
      </c>
      <c r="T564" t="s">
        <v>1919</v>
      </c>
      <c r="U564" t="s">
        <v>1092</v>
      </c>
      <c r="V564" t="s">
        <v>1093</v>
      </c>
      <c r="W564" t="s">
        <v>1088</v>
      </c>
      <c r="X564" t="s">
        <v>1094</v>
      </c>
    </row>
    <row r="565" spans="1:24" x14ac:dyDescent="0.25">
      <c r="A565" t="s">
        <v>42</v>
      </c>
      <c r="B565" t="s">
        <v>1921</v>
      </c>
      <c r="C565" t="s">
        <v>424</v>
      </c>
      <c r="D565" t="s">
        <v>422</v>
      </c>
      <c r="E565" t="s">
        <v>1045</v>
      </c>
      <c r="F565">
        <v>0</v>
      </c>
      <c r="G565" t="s">
        <v>1088</v>
      </c>
      <c r="H565" t="s">
        <v>446</v>
      </c>
      <c r="I565" t="s">
        <v>446</v>
      </c>
      <c r="J565" t="s">
        <v>1746</v>
      </c>
      <c r="K565" t="s">
        <v>446</v>
      </c>
      <c r="L565" t="s">
        <v>446</v>
      </c>
      <c r="M565" t="s">
        <v>446</v>
      </c>
      <c r="N565" t="s">
        <v>446</v>
      </c>
      <c r="O565" t="s">
        <v>446</v>
      </c>
      <c r="P565" t="s">
        <v>446</v>
      </c>
      <c r="Q565" t="b">
        <v>1</v>
      </c>
      <c r="R565" t="b">
        <v>0</v>
      </c>
      <c r="S565" t="s">
        <v>1090</v>
      </c>
      <c r="T565" t="s">
        <v>1922</v>
      </c>
      <c r="U565" t="s">
        <v>1092</v>
      </c>
      <c r="V565" t="s">
        <v>1093</v>
      </c>
      <c r="W565" t="s">
        <v>1088</v>
      </c>
      <c r="X565" t="s">
        <v>1094</v>
      </c>
    </row>
    <row r="566" spans="1:24" x14ac:dyDescent="0.25">
      <c r="A566" t="s">
        <v>42</v>
      </c>
      <c r="B566" t="s">
        <v>1923</v>
      </c>
      <c r="C566" t="s">
        <v>424</v>
      </c>
      <c r="D566" t="s">
        <v>422</v>
      </c>
      <c r="E566" t="s">
        <v>1051</v>
      </c>
      <c r="F566">
        <v>0</v>
      </c>
      <c r="G566" t="s">
        <v>1088</v>
      </c>
      <c r="H566" t="s">
        <v>446</v>
      </c>
      <c r="I566" t="s">
        <v>446</v>
      </c>
      <c r="J566" t="s">
        <v>1746</v>
      </c>
      <c r="K566" t="s">
        <v>446</v>
      </c>
      <c r="L566" t="s">
        <v>446</v>
      </c>
      <c r="M566" t="s">
        <v>446</v>
      </c>
      <c r="N566" t="s">
        <v>446</v>
      </c>
      <c r="O566" t="s">
        <v>446</v>
      </c>
      <c r="P566" t="s">
        <v>446</v>
      </c>
      <c r="Q566" t="b">
        <v>1</v>
      </c>
      <c r="R566" t="b">
        <v>0</v>
      </c>
      <c r="S566" t="s">
        <v>1090</v>
      </c>
      <c r="T566" t="s">
        <v>1924</v>
      </c>
      <c r="U566" t="s">
        <v>1092</v>
      </c>
      <c r="V566" t="s">
        <v>1093</v>
      </c>
      <c r="W566" t="s">
        <v>1088</v>
      </c>
      <c r="X566" t="s">
        <v>1094</v>
      </c>
    </row>
    <row r="567" spans="1:24" x14ac:dyDescent="0.25">
      <c r="A567" t="s">
        <v>42</v>
      </c>
      <c r="B567" t="s">
        <v>1925</v>
      </c>
      <c r="C567" t="s">
        <v>426</v>
      </c>
      <c r="D567" t="s">
        <v>422</v>
      </c>
      <c r="E567" t="s">
        <v>978</v>
      </c>
      <c r="F567">
        <v>0</v>
      </c>
      <c r="G567" t="s">
        <v>1088</v>
      </c>
      <c r="H567" t="s">
        <v>446</v>
      </c>
      <c r="I567" t="s">
        <v>446</v>
      </c>
      <c r="J567" t="s">
        <v>1089</v>
      </c>
      <c r="K567" t="s">
        <v>446</v>
      </c>
      <c r="L567" t="s">
        <v>446</v>
      </c>
      <c r="M567" t="s">
        <v>446</v>
      </c>
      <c r="N567" t="s">
        <v>446</v>
      </c>
      <c r="O567" t="s">
        <v>446</v>
      </c>
      <c r="P567" t="s">
        <v>446</v>
      </c>
      <c r="Q567" t="b">
        <v>1</v>
      </c>
      <c r="R567" t="b">
        <v>0</v>
      </c>
      <c r="S567" t="s">
        <v>1090</v>
      </c>
      <c r="T567" t="s">
        <v>1804</v>
      </c>
      <c r="U567" t="s">
        <v>1092</v>
      </c>
      <c r="V567" t="s">
        <v>1093</v>
      </c>
      <c r="W567" t="s">
        <v>1088</v>
      </c>
      <c r="X567" t="s">
        <v>1094</v>
      </c>
    </row>
    <row r="568" spans="1:24" x14ac:dyDescent="0.25">
      <c r="A568" t="s">
        <v>42</v>
      </c>
      <c r="B568" t="s">
        <v>1926</v>
      </c>
      <c r="C568" t="s">
        <v>426</v>
      </c>
      <c r="D568" t="s">
        <v>422</v>
      </c>
      <c r="E568" t="s">
        <v>986</v>
      </c>
      <c r="F568">
        <v>0</v>
      </c>
      <c r="G568" t="s">
        <v>1088</v>
      </c>
      <c r="H568" t="s">
        <v>446</v>
      </c>
      <c r="I568" t="s">
        <v>446</v>
      </c>
      <c r="J568" t="s">
        <v>1089</v>
      </c>
      <c r="K568" t="s">
        <v>446</v>
      </c>
      <c r="L568" t="s">
        <v>446</v>
      </c>
      <c r="M568" t="s">
        <v>446</v>
      </c>
      <c r="N568" t="s">
        <v>446</v>
      </c>
      <c r="O568" t="s">
        <v>446</v>
      </c>
      <c r="P568" t="s">
        <v>446</v>
      </c>
      <c r="Q568" t="b">
        <v>1</v>
      </c>
      <c r="R568" t="b">
        <v>0</v>
      </c>
      <c r="S568" t="s">
        <v>1090</v>
      </c>
      <c r="T568" t="s">
        <v>1927</v>
      </c>
      <c r="U568" t="s">
        <v>1092</v>
      </c>
      <c r="V568" t="s">
        <v>1093</v>
      </c>
      <c r="W568" t="s">
        <v>1088</v>
      </c>
      <c r="X568" t="s">
        <v>1094</v>
      </c>
    </row>
    <row r="569" spans="1:24" x14ac:dyDescent="0.25">
      <c r="A569" t="s">
        <v>42</v>
      </c>
      <c r="B569" t="s">
        <v>1928</v>
      </c>
      <c r="C569" t="s">
        <v>426</v>
      </c>
      <c r="D569" t="s">
        <v>422</v>
      </c>
      <c r="E569" t="s">
        <v>992</v>
      </c>
      <c r="F569">
        <v>0</v>
      </c>
      <c r="G569" t="s">
        <v>1088</v>
      </c>
      <c r="H569" t="s">
        <v>446</v>
      </c>
      <c r="I569" t="s">
        <v>446</v>
      </c>
      <c r="J569" t="s">
        <v>1089</v>
      </c>
      <c r="K569" t="s">
        <v>446</v>
      </c>
      <c r="L569" t="s">
        <v>446</v>
      </c>
      <c r="M569" t="s">
        <v>446</v>
      </c>
      <c r="N569" t="s">
        <v>446</v>
      </c>
      <c r="O569" t="s">
        <v>446</v>
      </c>
      <c r="P569" t="s">
        <v>446</v>
      </c>
      <c r="Q569" t="b">
        <v>1</v>
      </c>
      <c r="R569" t="b">
        <v>0</v>
      </c>
      <c r="S569" t="s">
        <v>1090</v>
      </c>
      <c r="T569" t="s">
        <v>1929</v>
      </c>
      <c r="U569" t="s">
        <v>1092</v>
      </c>
      <c r="V569" t="s">
        <v>1093</v>
      </c>
      <c r="W569" t="s">
        <v>1088</v>
      </c>
      <c r="X569" t="s">
        <v>1094</v>
      </c>
    </row>
    <row r="570" spans="1:24" x14ac:dyDescent="0.25">
      <c r="A570" t="s">
        <v>42</v>
      </c>
      <c r="B570" t="s">
        <v>1930</v>
      </c>
      <c r="C570" t="s">
        <v>426</v>
      </c>
      <c r="D570" t="s">
        <v>422</v>
      </c>
      <c r="E570" t="s">
        <v>998</v>
      </c>
      <c r="F570">
        <v>0</v>
      </c>
      <c r="G570" t="s">
        <v>1088</v>
      </c>
      <c r="H570" t="s">
        <v>446</v>
      </c>
      <c r="I570" t="s">
        <v>446</v>
      </c>
      <c r="J570" t="s">
        <v>1089</v>
      </c>
      <c r="K570" t="s">
        <v>446</v>
      </c>
      <c r="L570" t="s">
        <v>446</v>
      </c>
      <c r="M570" t="s">
        <v>446</v>
      </c>
      <c r="N570" t="s">
        <v>446</v>
      </c>
      <c r="O570" t="s">
        <v>446</v>
      </c>
      <c r="P570" t="s">
        <v>446</v>
      </c>
      <c r="Q570" t="b">
        <v>1</v>
      </c>
      <c r="R570" t="b">
        <v>0</v>
      </c>
      <c r="S570" t="s">
        <v>1090</v>
      </c>
      <c r="T570" t="s">
        <v>1912</v>
      </c>
      <c r="U570" t="s">
        <v>1092</v>
      </c>
      <c r="V570" t="s">
        <v>1093</v>
      </c>
      <c r="W570" t="s">
        <v>1088</v>
      </c>
      <c r="X570" t="s">
        <v>1094</v>
      </c>
    </row>
    <row r="571" spans="1:24" x14ac:dyDescent="0.25">
      <c r="A571" t="s">
        <v>42</v>
      </c>
      <c r="B571" t="s">
        <v>1931</v>
      </c>
      <c r="C571" t="s">
        <v>426</v>
      </c>
      <c r="D571" t="s">
        <v>422</v>
      </c>
      <c r="E571" t="s">
        <v>1006</v>
      </c>
      <c r="F571">
        <v>0</v>
      </c>
      <c r="G571" t="s">
        <v>1088</v>
      </c>
      <c r="H571" t="s">
        <v>446</v>
      </c>
      <c r="I571" t="s">
        <v>446</v>
      </c>
      <c r="J571" t="s">
        <v>1089</v>
      </c>
      <c r="K571" t="s">
        <v>446</v>
      </c>
      <c r="L571" t="s">
        <v>446</v>
      </c>
      <c r="M571" t="s">
        <v>446</v>
      </c>
      <c r="N571" t="s">
        <v>446</v>
      </c>
      <c r="O571" t="s">
        <v>446</v>
      </c>
      <c r="P571" t="s">
        <v>446</v>
      </c>
      <c r="Q571" t="b">
        <v>1</v>
      </c>
      <c r="R571" t="b">
        <v>0</v>
      </c>
      <c r="S571" t="s">
        <v>1090</v>
      </c>
      <c r="T571" t="s">
        <v>1804</v>
      </c>
      <c r="U571" t="s">
        <v>1092</v>
      </c>
      <c r="V571" t="s">
        <v>1093</v>
      </c>
      <c r="W571" t="s">
        <v>1088</v>
      </c>
      <c r="X571" t="s">
        <v>1094</v>
      </c>
    </row>
    <row r="572" spans="1:24" x14ac:dyDescent="0.25">
      <c r="A572" t="s">
        <v>42</v>
      </c>
      <c r="B572" t="s">
        <v>1932</v>
      </c>
      <c r="C572" t="s">
        <v>426</v>
      </c>
      <c r="D572" t="s">
        <v>422</v>
      </c>
      <c r="E572" t="s">
        <v>1013</v>
      </c>
      <c r="F572">
        <v>0</v>
      </c>
      <c r="G572" t="s">
        <v>1088</v>
      </c>
      <c r="H572" t="s">
        <v>446</v>
      </c>
      <c r="I572" t="s">
        <v>446</v>
      </c>
      <c r="J572" t="s">
        <v>1089</v>
      </c>
      <c r="K572" t="s">
        <v>446</v>
      </c>
      <c r="L572" t="s">
        <v>446</v>
      </c>
      <c r="M572" t="s">
        <v>446</v>
      </c>
      <c r="N572" t="s">
        <v>446</v>
      </c>
      <c r="O572" t="s">
        <v>446</v>
      </c>
      <c r="P572" t="s">
        <v>446</v>
      </c>
      <c r="Q572" t="b">
        <v>1</v>
      </c>
      <c r="R572" t="b">
        <v>0</v>
      </c>
      <c r="S572" t="s">
        <v>1090</v>
      </c>
      <c r="T572" t="s">
        <v>1927</v>
      </c>
      <c r="U572" t="s">
        <v>1092</v>
      </c>
      <c r="V572" t="s">
        <v>1093</v>
      </c>
      <c r="W572" t="s">
        <v>1088</v>
      </c>
      <c r="X572" t="s">
        <v>1094</v>
      </c>
    </row>
    <row r="573" spans="1:24" x14ac:dyDescent="0.25">
      <c r="A573" t="s">
        <v>42</v>
      </c>
      <c r="B573" t="s">
        <v>1933</v>
      </c>
      <c r="C573" t="s">
        <v>426</v>
      </c>
      <c r="D573" t="s">
        <v>422</v>
      </c>
      <c r="E573" t="s">
        <v>1018</v>
      </c>
      <c r="F573">
        <v>0</v>
      </c>
      <c r="G573" t="s">
        <v>1088</v>
      </c>
      <c r="H573" t="s">
        <v>446</v>
      </c>
      <c r="I573" t="s">
        <v>446</v>
      </c>
      <c r="J573" t="s">
        <v>1089</v>
      </c>
      <c r="K573" t="s">
        <v>446</v>
      </c>
      <c r="L573" t="s">
        <v>446</v>
      </c>
      <c r="M573" t="s">
        <v>446</v>
      </c>
      <c r="N573" t="s">
        <v>446</v>
      </c>
      <c r="O573" t="s">
        <v>446</v>
      </c>
      <c r="P573" t="s">
        <v>446</v>
      </c>
      <c r="Q573" t="b">
        <v>1</v>
      </c>
      <c r="R573" t="b">
        <v>0</v>
      </c>
      <c r="S573" t="s">
        <v>1090</v>
      </c>
      <c r="T573" t="s">
        <v>1929</v>
      </c>
      <c r="U573" t="s">
        <v>1092</v>
      </c>
      <c r="V573" t="s">
        <v>1093</v>
      </c>
      <c r="W573" t="s">
        <v>1088</v>
      </c>
      <c r="X573" t="s">
        <v>1094</v>
      </c>
    </row>
    <row r="574" spans="1:24" x14ac:dyDescent="0.25">
      <c r="A574" t="s">
        <v>42</v>
      </c>
      <c r="B574" t="s">
        <v>1934</v>
      </c>
      <c r="C574" t="s">
        <v>426</v>
      </c>
      <c r="D574" t="s">
        <v>422</v>
      </c>
      <c r="E574" t="s">
        <v>1023</v>
      </c>
      <c r="F574">
        <v>0</v>
      </c>
      <c r="G574" t="s">
        <v>1088</v>
      </c>
      <c r="H574" t="s">
        <v>446</v>
      </c>
      <c r="I574" t="s">
        <v>446</v>
      </c>
      <c r="J574" t="s">
        <v>1089</v>
      </c>
      <c r="K574" t="s">
        <v>446</v>
      </c>
      <c r="L574" t="s">
        <v>446</v>
      </c>
      <c r="M574" t="s">
        <v>446</v>
      </c>
      <c r="N574" t="s">
        <v>446</v>
      </c>
      <c r="O574" t="s">
        <v>446</v>
      </c>
      <c r="P574" t="s">
        <v>446</v>
      </c>
      <c r="Q574" t="b">
        <v>1</v>
      </c>
      <c r="R574" t="b">
        <v>0</v>
      </c>
      <c r="S574" t="s">
        <v>1090</v>
      </c>
      <c r="T574" t="s">
        <v>1912</v>
      </c>
      <c r="U574" t="s">
        <v>1092</v>
      </c>
      <c r="V574" t="s">
        <v>1093</v>
      </c>
      <c r="W574" t="s">
        <v>1088</v>
      </c>
      <c r="X574" t="s">
        <v>1094</v>
      </c>
    </row>
    <row r="575" spans="1:24" x14ac:dyDescent="0.25">
      <c r="A575" t="s">
        <v>42</v>
      </c>
      <c r="B575" t="s">
        <v>1935</v>
      </c>
      <c r="C575" t="s">
        <v>426</v>
      </c>
      <c r="D575" t="s">
        <v>422</v>
      </c>
      <c r="E575" t="s">
        <v>1029</v>
      </c>
      <c r="F575">
        <v>0</v>
      </c>
      <c r="G575" t="s">
        <v>1088</v>
      </c>
      <c r="H575" t="s">
        <v>446</v>
      </c>
      <c r="I575" t="s">
        <v>446</v>
      </c>
      <c r="J575" t="s">
        <v>1089</v>
      </c>
      <c r="K575" t="s">
        <v>446</v>
      </c>
      <c r="L575" t="s">
        <v>446</v>
      </c>
      <c r="M575" t="s">
        <v>446</v>
      </c>
      <c r="N575" t="s">
        <v>446</v>
      </c>
      <c r="O575" t="s">
        <v>446</v>
      </c>
      <c r="P575" t="s">
        <v>446</v>
      </c>
      <c r="Q575" t="b">
        <v>1</v>
      </c>
      <c r="R575" t="b">
        <v>0</v>
      </c>
      <c r="S575" t="s">
        <v>1090</v>
      </c>
      <c r="T575" t="s">
        <v>1936</v>
      </c>
      <c r="U575" t="s">
        <v>1092</v>
      </c>
      <c r="V575" t="s">
        <v>1093</v>
      </c>
      <c r="W575" t="s">
        <v>1088</v>
      </c>
      <c r="X575" t="s">
        <v>1094</v>
      </c>
    </row>
    <row r="576" spans="1:24" x14ac:dyDescent="0.25">
      <c r="A576" t="s">
        <v>42</v>
      </c>
      <c r="B576" t="s">
        <v>1937</v>
      </c>
      <c r="C576" t="s">
        <v>426</v>
      </c>
      <c r="D576" t="s">
        <v>422</v>
      </c>
      <c r="E576" t="s">
        <v>1035</v>
      </c>
      <c r="F576">
        <v>0</v>
      </c>
      <c r="G576" t="s">
        <v>1088</v>
      </c>
      <c r="H576" t="s">
        <v>446</v>
      </c>
      <c r="I576" t="s">
        <v>446</v>
      </c>
      <c r="J576" t="s">
        <v>1089</v>
      </c>
      <c r="K576" t="s">
        <v>446</v>
      </c>
      <c r="L576" t="s">
        <v>446</v>
      </c>
      <c r="M576" t="s">
        <v>446</v>
      </c>
      <c r="N576" t="s">
        <v>446</v>
      </c>
      <c r="O576" t="s">
        <v>446</v>
      </c>
      <c r="P576" t="s">
        <v>446</v>
      </c>
      <c r="Q576" t="b">
        <v>1</v>
      </c>
      <c r="R576" t="b">
        <v>0</v>
      </c>
      <c r="S576" t="s">
        <v>1090</v>
      </c>
      <c r="T576" t="s">
        <v>1938</v>
      </c>
      <c r="U576" t="s">
        <v>1092</v>
      </c>
      <c r="V576" t="s">
        <v>1093</v>
      </c>
      <c r="W576" t="s">
        <v>1088</v>
      </c>
      <c r="X576" t="s">
        <v>1094</v>
      </c>
    </row>
    <row r="577" spans="1:24" x14ac:dyDescent="0.25">
      <c r="A577" t="s">
        <v>42</v>
      </c>
      <c r="B577" t="s">
        <v>1939</v>
      </c>
      <c r="C577" t="s">
        <v>426</v>
      </c>
      <c r="D577" t="s">
        <v>422</v>
      </c>
      <c r="E577" t="s">
        <v>1040</v>
      </c>
      <c r="F577">
        <v>0</v>
      </c>
      <c r="G577" t="s">
        <v>1088</v>
      </c>
      <c r="H577" t="s">
        <v>446</v>
      </c>
      <c r="I577" t="s">
        <v>446</v>
      </c>
      <c r="J577" t="s">
        <v>1089</v>
      </c>
      <c r="K577" t="s">
        <v>446</v>
      </c>
      <c r="L577" t="s">
        <v>446</v>
      </c>
      <c r="M577" t="s">
        <v>446</v>
      </c>
      <c r="N577" t="s">
        <v>446</v>
      </c>
      <c r="O577" t="s">
        <v>446</v>
      </c>
      <c r="P577" t="s">
        <v>446</v>
      </c>
      <c r="Q577" t="b">
        <v>1</v>
      </c>
      <c r="R577" t="b">
        <v>0</v>
      </c>
      <c r="S577" t="s">
        <v>1090</v>
      </c>
      <c r="T577" t="s">
        <v>1940</v>
      </c>
      <c r="U577" t="s">
        <v>1092</v>
      </c>
      <c r="V577" t="s">
        <v>1093</v>
      </c>
      <c r="W577" t="s">
        <v>1088</v>
      </c>
      <c r="X577" t="s">
        <v>1094</v>
      </c>
    </row>
    <row r="578" spans="1:24" x14ac:dyDescent="0.25">
      <c r="A578" t="s">
        <v>42</v>
      </c>
      <c r="B578" t="s">
        <v>1941</v>
      </c>
      <c r="C578" t="s">
        <v>426</v>
      </c>
      <c r="D578" t="s">
        <v>422</v>
      </c>
      <c r="E578" t="s">
        <v>1045</v>
      </c>
      <c r="F578">
        <v>0</v>
      </c>
      <c r="G578" t="s">
        <v>1088</v>
      </c>
      <c r="H578" t="s">
        <v>446</v>
      </c>
      <c r="I578" t="s">
        <v>446</v>
      </c>
      <c r="J578" t="s">
        <v>1089</v>
      </c>
      <c r="K578" t="s">
        <v>446</v>
      </c>
      <c r="L578" t="s">
        <v>446</v>
      </c>
      <c r="M578" t="s">
        <v>446</v>
      </c>
      <c r="N578" t="s">
        <v>446</v>
      </c>
      <c r="O578" t="s">
        <v>446</v>
      </c>
      <c r="P578" t="s">
        <v>446</v>
      </c>
      <c r="Q578" t="b">
        <v>1</v>
      </c>
      <c r="R578" t="b">
        <v>0</v>
      </c>
      <c r="S578" t="s">
        <v>1090</v>
      </c>
      <c r="T578" t="s">
        <v>1942</v>
      </c>
      <c r="U578" t="s">
        <v>1092</v>
      </c>
      <c r="V578" t="s">
        <v>1093</v>
      </c>
      <c r="W578" t="s">
        <v>1088</v>
      </c>
      <c r="X578" t="s">
        <v>1094</v>
      </c>
    </row>
    <row r="579" spans="1:24" x14ac:dyDescent="0.25">
      <c r="A579" t="s">
        <v>42</v>
      </c>
      <c r="B579" t="s">
        <v>1943</v>
      </c>
      <c r="C579" t="s">
        <v>426</v>
      </c>
      <c r="D579" t="s">
        <v>422</v>
      </c>
      <c r="E579" t="s">
        <v>1051</v>
      </c>
      <c r="F579">
        <v>0</v>
      </c>
      <c r="G579" t="s">
        <v>1088</v>
      </c>
      <c r="H579" t="s">
        <v>446</v>
      </c>
      <c r="I579" t="s">
        <v>446</v>
      </c>
      <c r="J579" t="s">
        <v>1089</v>
      </c>
      <c r="K579" t="s">
        <v>446</v>
      </c>
      <c r="L579" t="s">
        <v>446</v>
      </c>
      <c r="M579" t="s">
        <v>446</v>
      </c>
      <c r="N579" t="s">
        <v>446</v>
      </c>
      <c r="O579" t="s">
        <v>446</v>
      </c>
      <c r="P579" t="s">
        <v>446</v>
      </c>
      <c r="Q579" t="b">
        <v>1</v>
      </c>
      <c r="R579" t="b">
        <v>0</v>
      </c>
      <c r="S579" t="s">
        <v>1090</v>
      </c>
      <c r="T579" t="s">
        <v>1944</v>
      </c>
      <c r="U579" t="s">
        <v>1092</v>
      </c>
      <c r="V579" t="s">
        <v>1093</v>
      </c>
      <c r="W579" t="s">
        <v>1088</v>
      </c>
      <c r="X579" t="s">
        <v>1094</v>
      </c>
    </row>
    <row r="580" spans="1:30" x14ac:dyDescent="0.25">
      <c r="A580" t="s">
        <v>42</v>
      </c>
      <c r="B580" t="s">
        <v>1109</v>
      </c>
      <c r="C580" t="s">
        <v>269</v>
      </c>
      <c r="D580" t="s">
        <v>427</v>
      </c>
      <c r="E580" t="s">
        <v>978</v>
      </c>
      <c r="F580">
        <v>-4317</v>
      </c>
      <c r="G580" t="s">
        <v>1945</v>
      </c>
      <c r="H580" t="s">
        <v>1946</v>
      </c>
      <c r="I580" t="s">
        <v>1947</v>
      </c>
      <c r="J580" t="s">
        <v>1110</v>
      </c>
      <c r="K580" t="s">
        <v>984</v>
      </c>
      <c r="L580" t="s">
        <v>1948</v>
      </c>
      <c r="M580" t="s">
        <v>980</v>
      </c>
      <c r="N580" t="s">
        <v>985</v>
      </c>
      <c r="O580" t="s">
        <v>1949</v>
      </c>
      <c r="P580" t="s">
        <v>981</v>
      </c>
      <c r="Q580" t="b">
        <v>1</v>
      </c>
      <c r="R580" t="b">
        <v>0</v>
      </c>
      <c r="S580" t="s">
        <v>1950</v>
      </c>
      <c r="T580" t="s">
        <v>446</v>
      </c>
      <c r="U580" t="s">
        <v>1951</v>
      </c>
      <c r="V580" t="s">
        <v>1093</v>
      </c>
      <c r="W580" t="s">
        <v>1952</v>
      </c>
      <c r="X580" t="s">
        <v>1953</v>
      </c>
      <c r="Y580" t="s">
        <v>1947</v>
      </c>
      <c r="Z580" t="s">
        <v>446</v>
      </c>
      <c r="AA580" t="s">
        <v>269</v>
      </c>
      <c r="AB580" t="s">
        <v>446</v>
      </c>
      <c r="AC580" t="b">
        <v>0</v>
      </c>
      <c r="AD580" t="b">
        <v>1</v>
      </c>
    </row>
    <row r="581" spans="1:30" x14ac:dyDescent="0.25">
      <c r="A581" t="s">
        <v>42</v>
      </c>
      <c r="B581" t="s">
        <v>1112</v>
      </c>
      <c r="C581" t="s">
        <v>269</v>
      </c>
      <c r="D581" t="s">
        <v>427</v>
      </c>
      <c r="E581" t="s">
        <v>986</v>
      </c>
      <c r="F581">
        <v>-4912</v>
      </c>
      <c r="G581" t="s">
        <v>1945</v>
      </c>
      <c r="H581" t="s">
        <v>1954</v>
      </c>
      <c r="I581" t="s">
        <v>1947</v>
      </c>
      <c r="J581" t="s">
        <v>1110</v>
      </c>
      <c r="K581" t="s">
        <v>990</v>
      </c>
      <c r="L581" t="s">
        <v>1955</v>
      </c>
      <c r="M581" t="s">
        <v>980</v>
      </c>
      <c r="N581" t="s">
        <v>991</v>
      </c>
      <c r="O581" t="s">
        <v>1956</v>
      </c>
      <c r="P581" t="s">
        <v>988</v>
      </c>
      <c r="Q581" t="b">
        <v>1</v>
      </c>
      <c r="R581" t="b">
        <v>0</v>
      </c>
      <c r="S581" t="s">
        <v>1950</v>
      </c>
      <c r="T581" t="s">
        <v>446</v>
      </c>
      <c r="U581" t="s">
        <v>1951</v>
      </c>
      <c r="V581" t="s">
        <v>1093</v>
      </c>
      <c r="W581" t="s">
        <v>1952</v>
      </c>
      <c r="X581" t="s">
        <v>1953</v>
      </c>
      <c r="Y581" t="s">
        <v>1947</v>
      </c>
      <c r="Z581" t="s">
        <v>446</v>
      </c>
      <c r="AA581" t="s">
        <v>269</v>
      </c>
      <c r="AB581" t="s">
        <v>446</v>
      </c>
      <c r="AC581" t="b">
        <v>0</v>
      </c>
      <c r="AD581" t="b">
        <v>1</v>
      </c>
    </row>
    <row r="582" spans="1:30" x14ac:dyDescent="0.25">
      <c r="A582" t="s">
        <v>42</v>
      </c>
      <c r="B582" t="s">
        <v>1114</v>
      </c>
      <c r="C582" t="s">
        <v>269</v>
      </c>
      <c r="D582" t="s">
        <v>427</v>
      </c>
      <c r="E582" t="s">
        <v>992</v>
      </c>
      <c r="F582">
        <v>-4657</v>
      </c>
      <c r="G582" t="s">
        <v>1945</v>
      </c>
      <c r="H582" t="s">
        <v>1957</v>
      </c>
      <c r="I582" t="s">
        <v>1947</v>
      </c>
      <c r="J582" t="s">
        <v>1110</v>
      </c>
      <c r="K582" t="s">
        <v>996</v>
      </c>
      <c r="L582" t="s">
        <v>1958</v>
      </c>
      <c r="M582" t="s">
        <v>980</v>
      </c>
      <c r="N582" t="s">
        <v>997</v>
      </c>
      <c r="O582" t="s">
        <v>1959</v>
      </c>
      <c r="P582" t="s">
        <v>994</v>
      </c>
      <c r="Q582" t="b">
        <v>1</v>
      </c>
      <c r="R582" t="b">
        <v>0</v>
      </c>
      <c r="S582" t="s">
        <v>1950</v>
      </c>
      <c r="T582" t="s">
        <v>446</v>
      </c>
      <c r="U582" t="s">
        <v>1951</v>
      </c>
      <c r="V582" t="s">
        <v>1093</v>
      </c>
      <c r="W582" t="s">
        <v>1952</v>
      </c>
      <c r="X582" t="s">
        <v>1953</v>
      </c>
      <c r="Y582" t="s">
        <v>1947</v>
      </c>
      <c r="Z582" t="s">
        <v>446</v>
      </c>
      <c r="AA582" t="s">
        <v>269</v>
      </c>
      <c r="AB582" t="s">
        <v>446</v>
      </c>
      <c r="AC582" t="b">
        <v>0</v>
      </c>
      <c r="AD582" t="b">
        <v>1</v>
      </c>
    </row>
    <row r="583" spans="1:24" x14ac:dyDescent="0.25">
      <c r="A583" t="s">
        <v>42</v>
      </c>
      <c r="B583" t="s">
        <v>1960</v>
      </c>
      <c r="C583" t="s">
        <v>269</v>
      </c>
      <c r="D583" t="s">
        <v>427</v>
      </c>
      <c r="E583" t="s">
        <v>998</v>
      </c>
      <c r="F583">
        <v>-11609</v>
      </c>
      <c r="G583" t="s">
        <v>1074</v>
      </c>
      <c r="H583" t="s">
        <v>446</v>
      </c>
      <c r="I583" t="s">
        <v>446</v>
      </c>
      <c r="J583" t="s">
        <v>1110</v>
      </c>
      <c r="K583" t="s">
        <v>446</v>
      </c>
      <c r="L583" t="s">
        <v>446</v>
      </c>
      <c r="M583" t="s">
        <v>446</v>
      </c>
      <c r="N583" t="s">
        <v>446</v>
      </c>
      <c r="O583" t="s">
        <v>446</v>
      </c>
      <c r="P583" t="s">
        <v>446</v>
      </c>
      <c r="Q583" t="b">
        <v>0</v>
      </c>
      <c r="R583" t="b">
        <v>1</v>
      </c>
      <c r="S583" t="s">
        <v>1961</v>
      </c>
      <c r="T583" t="s">
        <v>1962</v>
      </c>
      <c r="U583" t="s">
        <v>1963</v>
      </c>
      <c r="V583" t="s">
        <v>1964</v>
      </c>
      <c r="W583" t="s">
        <v>1965</v>
      </c>
      <c r="X583" t="s">
        <v>446</v>
      </c>
    </row>
    <row r="584" spans="1:30" x14ac:dyDescent="0.25">
      <c r="A584" t="s">
        <v>42</v>
      </c>
      <c r="B584" t="s">
        <v>1116</v>
      </c>
      <c r="C584" t="s">
        <v>269</v>
      </c>
      <c r="D584" t="s">
        <v>427</v>
      </c>
      <c r="E584" t="s">
        <v>1006</v>
      </c>
      <c r="F584">
        <v>-4235</v>
      </c>
      <c r="G584" t="s">
        <v>1945</v>
      </c>
      <c r="H584" t="s">
        <v>1966</v>
      </c>
      <c r="I584" t="s">
        <v>1947</v>
      </c>
      <c r="J584" t="s">
        <v>1110</v>
      </c>
      <c r="K584" t="s">
        <v>1967</v>
      </c>
      <c r="L584" t="s">
        <v>1968</v>
      </c>
      <c r="M584" t="s">
        <v>980</v>
      </c>
      <c r="N584" t="s">
        <v>1969</v>
      </c>
      <c r="O584" t="s">
        <v>1970</v>
      </c>
      <c r="P584" t="s">
        <v>1009</v>
      </c>
      <c r="Q584" t="b">
        <v>1</v>
      </c>
      <c r="R584" t="b">
        <v>0</v>
      </c>
      <c r="S584" t="s">
        <v>1950</v>
      </c>
      <c r="T584" t="s">
        <v>446</v>
      </c>
      <c r="U584" t="s">
        <v>1951</v>
      </c>
      <c r="V584" t="s">
        <v>1093</v>
      </c>
      <c r="W584" t="s">
        <v>1952</v>
      </c>
      <c r="X584" t="s">
        <v>1953</v>
      </c>
      <c r="Y584" t="s">
        <v>1947</v>
      </c>
      <c r="Z584" t="s">
        <v>446</v>
      </c>
      <c r="AA584" t="s">
        <v>269</v>
      </c>
      <c r="AB584" t="s">
        <v>446</v>
      </c>
      <c r="AC584" t="b">
        <v>0</v>
      </c>
      <c r="AD584" t="b">
        <v>1</v>
      </c>
    </row>
    <row r="585" spans="1:30" x14ac:dyDescent="0.25">
      <c r="A585" t="s">
        <v>42</v>
      </c>
      <c r="B585" t="s">
        <v>1118</v>
      </c>
      <c r="C585" t="s">
        <v>269</v>
      </c>
      <c r="D585" t="s">
        <v>427</v>
      </c>
      <c r="E585" t="s">
        <v>1013</v>
      </c>
      <c r="F585">
        <v>-4812</v>
      </c>
      <c r="G585" t="s">
        <v>1945</v>
      </c>
      <c r="H585" t="s">
        <v>1971</v>
      </c>
      <c r="I585" t="s">
        <v>1947</v>
      </c>
      <c r="J585" t="s">
        <v>1110</v>
      </c>
      <c r="K585" t="s">
        <v>1016</v>
      </c>
      <c r="L585" t="s">
        <v>1972</v>
      </c>
      <c r="M585" t="s">
        <v>980</v>
      </c>
      <c r="N585" t="s">
        <v>1017</v>
      </c>
      <c r="O585" t="s">
        <v>1973</v>
      </c>
      <c r="P585" t="s">
        <v>1015</v>
      </c>
      <c r="Q585" t="b">
        <v>1</v>
      </c>
      <c r="R585" t="b">
        <v>0</v>
      </c>
      <c r="S585" t="s">
        <v>1950</v>
      </c>
      <c r="T585" t="s">
        <v>446</v>
      </c>
      <c r="U585" t="s">
        <v>1951</v>
      </c>
      <c r="V585" t="s">
        <v>1093</v>
      </c>
      <c r="W585" t="s">
        <v>1952</v>
      </c>
      <c r="X585" t="s">
        <v>1953</v>
      </c>
      <c r="Y585" t="s">
        <v>1947</v>
      </c>
      <c r="Z585" t="s">
        <v>446</v>
      </c>
      <c r="AA585" t="s">
        <v>269</v>
      </c>
      <c r="AB585" t="s">
        <v>446</v>
      </c>
      <c r="AC585" t="b">
        <v>0</v>
      </c>
      <c r="AD585" t="b">
        <v>1</v>
      </c>
    </row>
    <row r="586" spans="1:30" x14ac:dyDescent="0.25">
      <c r="A586" t="s">
        <v>42</v>
      </c>
      <c r="B586" t="s">
        <v>1120</v>
      </c>
      <c r="C586" t="s">
        <v>269</v>
      </c>
      <c r="D586" t="s">
        <v>427</v>
      </c>
      <c r="E586" t="s">
        <v>1018</v>
      </c>
      <c r="F586">
        <v>-4664</v>
      </c>
      <c r="G586" t="s">
        <v>1945</v>
      </c>
      <c r="H586" t="s">
        <v>1974</v>
      </c>
      <c r="I586" t="s">
        <v>1947</v>
      </c>
      <c r="J586" t="s">
        <v>1110</v>
      </c>
      <c r="K586" t="s">
        <v>1021</v>
      </c>
      <c r="L586" t="s">
        <v>1975</v>
      </c>
      <c r="M586" t="s">
        <v>980</v>
      </c>
      <c r="N586" t="s">
        <v>1022</v>
      </c>
      <c r="O586" t="s">
        <v>1976</v>
      </c>
      <c r="P586" t="s">
        <v>1020</v>
      </c>
      <c r="Q586" t="b">
        <v>1</v>
      </c>
      <c r="R586" t="b">
        <v>0</v>
      </c>
      <c r="S586" t="s">
        <v>1950</v>
      </c>
      <c r="T586" t="s">
        <v>446</v>
      </c>
      <c r="U586" t="s">
        <v>1951</v>
      </c>
      <c r="V586" t="s">
        <v>1093</v>
      </c>
      <c r="W586" t="s">
        <v>1952</v>
      </c>
      <c r="X586" t="s">
        <v>1953</v>
      </c>
      <c r="Y586" t="s">
        <v>1947</v>
      </c>
      <c r="Z586" t="s">
        <v>446</v>
      </c>
      <c r="AA586" t="s">
        <v>269</v>
      </c>
      <c r="AB586" t="s">
        <v>446</v>
      </c>
      <c r="AC586" t="b">
        <v>0</v>
      </c>
      <c r="AD586" t="b">
        <v>1</v>
      </c>
    </row>
    <row r="587" spans="1:30" x14ac:dyDescent="0.25">
      <c r="A587" t="s">
        <v>42</v>
      </c>
      <c r="B587" t="s">
        <v>1122</v>
      </c>
      <c r="C587" t="s">
        <v>269</v>
      </c>
      <c r="D587" t="s">
        <v>427</v>
      </c>
      <c r="E587" t="s">
        <v>1023</v>
      </c>
      <c r="F587">
        <v>-4613</v>
      </c>
      <c r="G587" t="s">
        <v>1945</v>
      </c>
      <c r="H587" t="s">
        <v>1977</v>
      </c>
      <c r="I587" t="s">
        <v>1978</v>
      </c>
      <c r="J587" t="s">
        <v>1110</v>
      </c>
      <c r="K587" t="s">
        <v>1026</v>
      </c>
      <c r="L587" t="s">
        <v>1979</v>
      </c>
      <c r="M587" t="s">
        <v>1000</v>
      </c>
      <c r="N587" t="s">
        <v>1027</v>
      </c>
      <c r="O587" t="s">
        <v>1970</v>
      </c>
      <c r="P587" t="s">
        <v>1025</v>
      </c>
      <c r="Q587" t="b">
        <v>1</v>
      </c>
      <c r="R587" t="b">
        <v>0</v>
      </c>
      <c r="S587" t="s">
        <v>1950</v>
      </c>
      <c r="T587" t="s">
        <v>446</v>
      </c>
      <c r="U587" t="s">
        <v>1951</v>
      </c>
      <c r="V587" t="s">
        <v>1980</v>
      </c>
      <c r="W587" t="s">
        <v>1952</v>
      </c>
      <c r="X587" t="s">
        <v>446</v>
      </c>
      <c r="Y587" t="s">
        <v>446</v>
      </c>
      <c r="Z587" t="s">
        <v>446</v>
      </c>
      <c r="AA587" t="s">
        <v>269</v>
      </c>
      <c r="AB587" t="s">
        <v>446</v>
      </c>
      <c r="AC587" t="b">
        <v>0</v>
      </c>
      <c r="AD587" t="b">
        <v>1</v>
      </c>
    </row>
    <row r="588" spans="1:30" x14ac:dyDescent="0.25">
      <c r="A588" t="s">
        <v>42</v>
      </c>
      <c r="B588" t="s">
        <v>1124</v>
      </c>
      <c r="C588" t="s">
        <v>269</v>
      </c>
      <c r="D588" t="s">
        <v>427</v>
      </c>
      <c r="E588" t="s">
        <v>1029</v>
      </c>
      <c r="F588">
        <v>-4163</v>
      </c>
      <c r="G588" t="s">
        <v>1945</v>
      </c>
      <c r="H588" t="s">
        <v>1981</v>
      </c>
      <c r="I588" t="s">
        <v>1947</v>
      </c>
      <c r="J588" t="s">
        <v>1110</v>
      </c>
      <c r="K588" t="s">
        <v>1033</v>
      </c>
      <c r="L588" t="s">
        <v>1982</v>
      </c>
      <c r="M588" t="s">
        <v>980</v>
      </c>
      <c r="N588" t="s">
        <v>1034</v>
      </c>
      <c r="O588" t="s">
        <v>1983</v>
      </c>
      <c r="P588" t="s">
        <v>1031</v>
      </c>
      <c r="Q588" t="b">
        <v>1</v>
      </c>
      <c r="R588" t="b">
        <v>0</v>
      </c>
      <c r="S588" t="s">
        <v>1950</v>
      </c>
      <c r="T588" t="s">
        <v>446</v>
      </c>
      <c r="U588" t="s">
        <v>1951</v>
      </c>
      <c r="V588" t="s">
        <v>1093</v>
      </c>
      <c r="W588" t="s">
        <v>1952</v>
      </c>
      <c r="X588" t="s">
        <v>1953</v>
      </c>
      <c r="Y588" t="s">
        <v>1947</v>
      </c>
      <c r="Z588" t="s">
        <v>446</v>
      </c>
      <c r="AA588" t="s">
        <v>269</v>
      </c>
      <c r="AB588" t="s">
        <v>446</v>
      </c>
      <c r="AC588" t="b">
        <v>0</v>
      </c>
      <c r="AD588" t="b">
        <v>1</v>
      </c>
    </row>
    <row r="589" spans="1:30" x14ac:dyDescent="0.25">
      <c r="A589" t="s">
        <v>42</v>
      </c>
      <c r="B589" t="s">
        <v>1126</v>
      </c>
      <c r="C589" t="s">
        <v>269</v>
      </c>
      <c r="D589" t="s">
        <v>427</v>
      </c>
      <c r="E589" t="s">
        <v>1035</v>
      </c>
      <c r="F589">
        <v>-4714</v>
      </c>
      <c r="G589" t="s">
        <v>1945</v>
      </c>
      <c r="H589" t="s">
        <v>1984</v>
      </c>
      <c r="I589" t="s">
        <v>1947</v>
      </c>
      <c r="J589" t="s">
        <v>1110</v>
      </c>
      <c r="K589" t="s">
        <v>1038</v>
      </c>
      <c r="L589" t="s">
        <v>1985</v>
      </c>
      <c r="M589" t="s">
        <v>980</v>
      </c>
      <c r="N589" t="s">
        <v>1039</v>
      </c>
      <c r="O589" t="s">
        <v>1986</v>
      </c>
      <c r="P589" t="s">
        <v>1037</v>
      </c>
      <c r="Q589" t="b">
        <v>1</v>
      </c>
      <c r="R589" t="b">
        <v>0</v>
      </c>
      <c r="S589" t="s">
        <v>1950</v>
      </c>
      <c r="T589" t="s">
        <v>446</v>
      </c>
      <c r="U589" t="s">
        <v>1951</v>
      </c>
      <c r="V589" t="s">
        <v>1093</v>
      </c>
      <c r="W589" t="s">
        <v>1952</v>
      </c>
      <c r="X589" t="s">
        <v>1953</v>
      </c>
      <c r="Y589" t="s">
        <v>1947</v>
      </c>
      <c r="Z589" t="s">
        <v>446</v>
      </c>
      <c r="AA589" t="s">
        <v>269</v>
      </c>
      <c r="AB589" t="s">
        <v>446</v>
      </c>
      <c r="AC589" t="b">
        <v>0</v>
      </c>
      <c r="AD589" t="b">
        <v>1</v>
      </c>
    </row>
    <row r="590" spans="1:30" x14ac:dyDescent="0.25">
      <c r="A590" t="s">
        <v>42</v>
      </c>
      <c r="B590" t="s">
        <v>1128</v>
      </c>
      <c r="C590" t="s">
        <v>269</v>
      </c>
      <c r="D590" t="s">
        <v>427</v>
      </c>
      <c r="E590" t="s">
        <v>1040</v>
      </c>
      <c r="F590">
        <v>-4797</v>
      </c>
      <c r="G590" t="s">
        <v>1945</v>
      </c>
      <c r="H590" t="s">
        <v>1987</v>
      </c>
      <c r="I590" t="s">
        <v>1947</v>
      </c>
      <c r="J590" t="s">
        <v>1110</v>
      </c>
      <c r="K590" t="s">
        <v>1043</v>
      </c>
      <c r="L590" t="s">
        <v>1988</v>
      </c>
      <c r="M590" t="s">
        <v>980</v>
      </c>
      <c r="N590" t="s">
        <v>1044</v>
      </c>
      <c r="O590" t="s">
        <v>1989</v>
      </c>
      <c r="P590" t="s">
        <v>1042</v>
      </c>
      <c r="Q590" t="b">
        <v>1</v>
      </c>
      <c r="R590" t="b">
        <v>0</v>
      </c>
      <c r="S590" t="s">
        <v>1950</v>
      </c>
      <c r="T590" t="s">
        <v>446</v>
      </c>
      <c r="U590" t="s">
        <v>1951</v>
      </c>
      <c r="V590" t="s">
        <v>1093</v>
      </c>
      <c r="W590" t="s">
        <v>1952</v>
      </c>
      <c r="X590" t="s">
        <v>1953</v>
      </c>
      <c r="Y590" t="s">
        <v>1947</v>
      </c>
      <c r="Z590" t="s">
        <v>446</v>
      </c>
      <c r="AA590" t="s">
        <v>269</v>
      </c>
      <c r="AB590" t="s">
        <v>446</v>
      </c>
      <c r="AC590" t="b">
        <v>0</v>
      </c>
      <c r="AD590" t="b">
        <v>1</v>
      </c>
    </row>
    <row r="591" spans="1:30" x14ac:dyDescent="0.25">
      <c r="A591" t="s">
        <v>42</v>
      </c>
      <c r="B591" t="s">
        <v>1130</v>
      </c>
      <c r="C591" t="s">
        <v>269</v>
      </c>
      <c r="D591" t="s">
        <v>427</v>
      </c>
      <c r="E591" t="s">
        <v>1045</v>
      </c>
      <c r="F591">
        <v>-4723</v>
      </c>
      <c r="G591" t="s">
        <v>1945</v>
      </c>
      <c r="H591" t="s">
        <v>1990</v>
      </c>
      <c r="I591" t="s">
        <v>1978</v>
      </c>
      <c r="J591" t="s">
        <v>1110</v>
      </c>
      <c r="K591" t="s">
        <v>1048</v>
      </c>
      <c r="L591" t="s">
        <v>1991</v>
      </c>
      <c r="M591" t="s">
        <v>1000</v>
      </c>
      <c r="N591" t="s">
        <v>1049</v>
      </c>
      <c r="O591" t="s">
        <v>1983</v>
      </c>
      <c r="P591" t="s">
        <v>1047</v>
      </c>
      <c r="Q591" t="b">
        <v>1</v>
      </c>
      <c r="R591" t="b">
        <v>0</v>
      </c>
      <c r="S591" t="s">
        <v>1950</v>
      </c>
      <c r="T591" t="s">
        <v>446</v>
      </c>
      <c r="U591" t="s">
        <v>1951</v>
      </c>
      <c r="V591" t="s">
        <v>1980</v>
      </c>
      <c r="W591" t="s">
        <v>1952</v>
      </c>
      <c r="X591" t="s">
        <v>446</v>
      </c>
      <c r="Y591" t="s">
        <v>446</v>
      </c>
      <c r="Z591" t="s">
        <v>446</v>
      </c>
      <c r="AA591" t="s">
        <v>269</v>
      </c>
      <c r="AB591" t="s">
        <v>446</v>
      </c>
      <c r="AC591" t="b">
        <v>0</v>
      </c>
      <c r="AD591" t="b">
        <v>1</v>
      </c>
    </row>
    <row r="592" spans="1:30" x14ac:dyDescent="0.25">
      <c r="A592" t="s">
        <v>42</v>
      </c>
      <c r="B592" t="s">
        <v>1132</v>
      </c>
      <c r="C592" t="s">
        <v>269</v>
      </c>
      <c r="D592" t="s">
        <v>427</v>
      </c>
      <c r="E592" t="s">
        <v>1051</v>
      </c>
      <c r="F592">
        <v>-4620</v>
      </c>
      <c r="G592" t="s">
        <v>1945</v>
      </c>
      <c r="H592" t="s">
        <v>1992</v>
      </c>
      <c r="I592" t="s">
        <v>1947</v>
      </c>
      <c r="J592" t="s">
        <v>1110</v>
      </c>
      <c r="K592" t="s">
        <v>1055</v>
      </c>
      <c r="L592" t="s">
        <v>1993</v>
      </c>
      <c r="M592" t="s">
        <v>980</v>
      </c>
      <c r="N592" t="s">
        <v>1056</v>
      </c>
      <c r="O592" t="s">
        <v>1994</v>
      </c>
      <c r="P592" t="s">
        <v>1053</v>
      </c>
      <c r="Q592" t="b">
        <v>1</v>
      </c>
      <c r="R592" t="b">
        <v>0</v>
      </c>
      <c r="S592" t="s">
        <v>1950</v>
      </c>
      <c r="T592" t="s">
        <v>446</v>
      </c>
      <c r="U592" t="s">
        <v>1951</v>
      </c>
      <c r="V592" t="s">
        <v>1093</v>
      </c>
      <c r="W592" t="s">
        <v>1952</v>
      </c>
      <c r="X592" t="s">
        <v>1953</v>
      </c>
      <c r="Y592" t="s">
        <v>1947</v>
      </c>
      <c r="Z592" t="s">
        <v>446</v>
      </c>
      <c r="AA592" t="s">
        <v>269</v>
      </c>
      <c r="AB592" t="s">
        <v>446</v>
      </c>
      <c r="AC592" t="b">
        <v>0</v>
      </c>
      <c r="AD592" t="b">
        <v>1</v>
      </c>
    </row>
    <row r="593" spans="1:30" x14ac:dyDescent="0.25">
      <c r="A593" t="s">
        <v>42</v>
      </c>
      <c r="B593" t="s">
        <v>1134</v>
      </c>
      <c r="C593" t="s">
        <v>271</v>
      </c>
      <c r="D593" t="s">
        <v>427</v>
      </c>
      <c r="E593" t="s">
        <v>978</v>
      </c>
      <c r="F593">
        <v>-3185</v>
      </c>
      <c r="G593" t="s">
        <v>1945</v>
      </c>
      <c r="H593" t="s">
        <v>1995</v>
      </c>
      <c r="I593" t="s">
        <v>1996</v>
      </c>
      <c r="J593" t="s">
        <v>1110</v>
      </c>
      <c r="K593" t="s">
        <v>984</v>
      </c>
      <c r="L593" t="s">
        <v>1948</v>
      </c>
      <c r="M593" t="s">
        <v>980</v>
      </c>
      <c r="N593" t="s">
        <v>985</v>
      </c>
      <c r="O593" t="s">
        <v>1949</v>
      </c>
      <c r="P593" t="s">
        <v>981</v>
      </c>
      <c r="Q593" t="b">
        <v>1</v>
      </c>
      <c r="R593" t="b">
        <v>0</v>
      </c>
      <c r="S593" t="s">
        <v>1950</v>
      </c>
      <c r="T593" t="s">
        <v>446</v>
      </c>
      <c r="U593" t="s">
        <v>1951</v>
      </c>
      <c r="V593" t="s">
        <v>1093</v>
      </c>
      <c r="W593" t="s">
        <v>1952</v>
      </c>
      <c r="X593" t="s">
        <v>1997</v>
      </c>
      <c r="Y593" t="s">
        <v>1998</v>
      </c>
      <c r="Z593" t="s">
        <v>446</v>
      </c>
      <c r="AA593" t="s">
        <v>271</v>
      </c>
      <c r="AB593" t="s">
        <v>446</v>
      </c>
      <c r="AC593" t="b">
        <v>0</v>
      </c>
      <c r="AD593" t="b">
        <v>1</v>
      </c>
    </row>
    <row r="594" spans="1:30" x14ac:dyDescent="0.25">
      <c r="A594" t="s">
        <v>42</v>
      </c>
      <c r="B594" t="s">
        <v>1136</v>
      </c>
      <c r="C594" t="s">
        <v>271</v>
      </c>
      <c r="D594" t="s">
        <v>427</v>
      </c>
      <c r="E594" t="s">
        <v>986</v>
      </c>
      <c r="F594">
        <v>-3321</v>
      </c>
      <c r="G594" t="s">
        <v>1945</v>
      </c>
      <c r="H594" t="s">
        <v>1999</v>
      </c>
      <c r="I594" t="s">
        <v>1996</v>
      </c>
      <c r="J594" t="s">
        <v>1110</v>
      </c>
      <c r="K594" t="s">
        <v>990</v>
      </c>
      <c r="L594" t="s">
        <v>1955</v>
      </c>
      <c r="M594" t="s">
        <v>980</v>
      </c>
      <c r="N594" t="s">
        <v>991</v>
      </c>
      <c r="O594" t="s">
        <v>1956</v>
      </c>
      <c r="P594" t="s">
        <v>988</v>
      </c>
      <c r="Q594" t="b">
        <v>1</v>
      </c>
      <c r="R594" t="b">
        <v>0</v>
      </c>
      <c r="S594" t="s">
        <v>1950</v>
      </c>
      <c r="T594" t="s">
        <v>446</v>
      </c>
      <c r="U594" t="s">
        <v>1951</v>
      </c>
      <c r="V594" t="s">
        <v>1093</v>
      </c>
      <c r="W594" t="s">
        <v>1952</v>
      </c>
      <c r="X594" t="s">
        <v>1997</v>
      </c>
      <c r="Y594" t="s">
        <v>1998</v>
      </c>
      <c r="Z594" t="s">
        <v>446</v>
      </c>
      <c r="AA594" t="s">
        <v>271</v>
      </c>
      <c r="AB594" t="s">
        <v>446</v>
      </c>
      <c r="AC594" t="b">
        <v>0</v>
      </c>
      <c r="AD594" t="b">
        <v>1</v>
      </c>
    </row>
    <row r="595" spans="1:30" x14ac:dyDescent="0.25">
      <c r="A595" t="s">
        <v>42</v>
      </c>
      <c r="B595" t="s">
        <v>1138</v>
      </c>
      <c r="C595" t="s">
        <v>271</v>
      </c>
      <c r="D595" t="s">
        <v>427</v>
      </c>
      <c r="E595" t="s">
        <v>992</v>
      </c>
      <c r="F595">
        <v>-3667</v>
      </c>
      <c r="G595" t="s">
        <v>1945</v>
      </c>
      <c r="H595" t="s">
        <v>2000</v>
      </c>
      <c r="I595" t="s">
        <v>1996</v>
      </c>
      <c r="J595" t="s">
        <v>1110</v>
      </c>
      <c r="K595" t="s">
        <v>996</v>
      </c>
      <c r="L595" t="s">
        <v>1958</v>
      </c>
      <c r="M595" t="s">
        <v>980</v>
      </c>
      <c r="N595" t="s">
        <v>997</v>
      </c>
      <c r="O595" t="s">
        <v>1959</v>
      </c>
      <c r="P595" t="s">
        <v>994</v>
      </c>
      <c r="Q595" t="b">
        <v>1</v>
      </c>
      <c r="R595" t="b">
        <v>0</v>
      </c>
      <c r="S595" t="s">
        <v>1950</v>
      </c>
      <c r="T595" t="s">
        <v>446</v>
      </c>
      <c r="U595" t="s">
        <v>1951</v>
      </c>
      <c r="V595" t="s">
        <v>1093</v>
      </c>
      <c r="W595" t="s">
        <v>1952</v>
      </c>
      <c r="X595" t="s">
        <v>1997</v>
      </c>
      <c r="Y595" t="s">
        <v>1998</v>
      </c>
      <c r="Z595" t="s">
        <v>446</v>
      </c>
      <c r="AA595" t="s">
        <v>271</v>
      </c>
      <c r="AB595" t="s">
        <v>446</v>
      </c>
      <c r="AC595" t="b">
        <v>0</v>
      </c>
      <c r="AD595" t="b">
        <v>1</v>
      </c>
    </row>
    <row r="596" spans="1:24" x14ac:dyDescent="0.25">
      <c r="A596" t="s">
        <v>42</v>
      </c>
      <c r="B596" t="s">
        <v>2001</v>
      </c>
      <c r="C596" t="s">
        <v>271</v>
      </c>
      <c r="D596" t="s">
        <v>427</v>
      </c>
      <c r="E596" t="s">
        <v>998</v>
      </c>
      <c r="F596">
        <v>-4265</v>
      </c>
      <c r="G596" t="s">
        <v>1074</v>
      </c>
      <c r="H596" t="s">
        <v>446</v>
      </c>
      <c r="I596" t="s">
        <v>446</v>
      </c>
      <c r="J596" t="s">
        <v>1110</v>
      </c>
      <c r="K596" t="s">
        <v>446</v>
      </c>
      <c r="L596" t="s">
        <v>446</v>
      </c>
      <c r="M596" t="s">
        <v>446</v>
      </c>
      <c r="N596" t="s">
        <v>446</v>
      </c>
      <c r="O596" t="s">
        <v>446</v>
      </c>
      <c r="P596" t="s">
        <v>446</v>
      </c>
      <c r="Q596" t="b">
        <v>0</v>
      </c>
      <c r="R596" t="b">
        <v>1</v>
      </c>
      <c r="S596" t="s">
        <v>1961</v>
      </c>
      <c r="T596" t="s">
        <v>1962</v>
      </c>
      <c r="U596" t="s">
        <v>1963</v>
      </c>
      <c r="V596" t="s">
        <v>1964</v>
      </c>
      <c r="W596" t="s">
        <v>1965</v>
      </c>
      <c r="X596" t="s">
        <v>446</v>
      </c>
    </row>
    <row r="597" spans="1:30" x14ac:dyDescent="0.25">
      <c r="A597" t="s">
        <v>42</v>
      </c>
      <c r="B597" t="s">
        <v>1140</v>
      </c>
      <c r="C597" t="s">
        <v>271</v>
      </c>
      <c r="D597" t="s">
        <v>427</v>
      </c>
      <c r="E597" t="s">
        <v>1006</v>
      </c>
      <c r="F597">
        <v>-3351</v>
      </c>
      <c r="G597" t="s">
        <v>1945</v>
      </c>
      <c r="H597" t="s">
        <v>2002</v>
      </c>
      <c r="I597" t="s">
        <v>1996</v>
      </c>
      <c r="J597" t="s">
        <v>1110</v>
      </c>
      <c r="K597" t="s">
        <v>1967</v>
      </c>
      <c r="L597" t="s">
        <v>1968</v>
      </c>
      <c r="M597" t="s">
        <v>980</v>
      </c>
      <c r="N597" t="s">
        <v>1969</v>
      </c>
      <c r="O597" t="s">
        <v>1970</v>
      </c>
      <c r="P597" t="s">
        <v>1009</v>
      </c>
      <c r="Q597" t="b">
        <v>1</v>
      </c>
      <c r="R597" t="b">
        <v>0</v>
      </c>
      <c r="S597" t="s">
        <v>1950</v>
      </c>
      <c r="T597" t="s">
        <v>446</v>
      </c>
      <c r="U597" t="s">
        <v>1951</v>
      </c>
      <c r="V597" t="s">
        <v>1093</v>
      </c>
      <c r="W597" t="s">
        <v>1952</v>
      </c>
      <c r="X597" t="s">
        <v>1997</v>
      </c>
      <c r="Y597" t="s">
        <v>1998</v>
      </c>
      <c r="Z597" t="s">
        <v>446</v>
      </c>
      <c r="AA597" t="s">
        <v>271</v>
      </c>
      <c r="AB597" t="s">
        <v>446</v>
      </c>
      <c r="AC597" t="b">
        <v>0</v>
      </c>
      <c r="AD597" t="b">
        <v>1</v>
      </c>
    </row>
    <row r="598" spans="1:30" x14ac:dyDescent="0.25">
      <c r="A598" t="s">
        <v>42</v>
      </c>
      <c r="B598" t="s">
        <v>1142</v>
      </c>
      <c r="C598" t="s">
        <v>271</v>
      </c>
      <c r="D598" t="s">
        <v>427</v>
      </c>
      <c r="E598" t="s">
        <v>1013</v>
      </c>
      <c r="F598">
        <v>-3549</v>
      </c>
      <c r="G598" t="s">
        <v>1945</v>
      </c>
      <c r="H598" t="s">
        <v>2003</v>
      </c>
      <c r="I598" t="s">
        <v>1996</v>
      </c>
      <c r="J598" t="s">
        <v>1110</v>
      </c>
      <c r="K598" t="s">
        <v>1016</v>
      </c>
      <c r="L598" t="s">
        <v>1972</v>
      </c>
      <c r="M598" t="s">
        <v>980</v>
      </c>
      <c r="N598" t="s">
        <v>1017</v>
      </c>
      <c r="O598" t="s">
        <v>1973</v>
      </c>
      <c r="P598" t="s">
        <v>1015</v>
      </c>
      <c r="Q598" t="b">
        <v>1</v>
      </c>
      <c r="R598" t="b">
        <v>0</v>
      </c>
      <c r="S598" t="s">
        <v>1950</v>
      </c>
      <c r="T598" t="s">
        <v>446</v>
      </c>
      <c r="U598" t="s">
        <v>1951</v>
      </c>
      <c r="V598" t="s">
        <v>1093</v>
      </c>
      <c r="W598" t="s">
        <v>1952</v>
      </c>
      <c r="X598" t="s">
        <v>1997</v>
      </c>
      <c r="Y598" t="s">
        <v>1998</v>
      </c>
      <c r="Z598" t="s">
        <v>446</v>
      </c>
      <c r="AA598" t="s">
        <v>271</v>
      </c>
      <c r="AB598" t="s">
        <v>446</v>
      </c>
      <c r="AC598" t="b">
        <v>0</v>
      </c>
      <c r="AD598" t="b">
        <v>1</v>
      </c>
    </row>
    <row r="599" spans="1:30" x14ac:dyDescent="0.25">
      <c r="A599" t="s">
        <v>42</v>
      </c>
      <c r="B599" t="s">
        <v>1144</v>
      </c>
      <c r="C599" t="s">
        <v>271</v>
      </c>
      <c r="D599" t="s">
        <v>427</v>
      </c>
      <c r="E599" t="s">
        <v>1018</v>
      </c>
      <c r="F599">
        <v>-3636</v>
      </c>
      <c r="G599" t="s">
        <v>1945</v>
      </c>
      <c r="H599" t="s">
        <v>2004</v>
      </c>
      <c r="I599" t="s">
        <v>1996</v>
      </c>
      <c r="J599" t="s">
        <v>1110</v>
      </c>
      <c r="K599" t="s">
        <v>1021</v>
      </c>
      <c r="L599" t="s">
        <v>1975</v>
      </c>
      <c r="M599" t="s">
        <v>980</v>
      </c>
      <c r="N599" t="s">
        <v>1022</v>
      </c>
      <c r="O599" t="s">
        <v>1976</v>
      </c>
      <c r="P599" t="s">
        <v>1020</v>
      </c>
      <c r="Q599" t="b">
        <v>1</v>
      </c>
      <c r="R599" t="b">
        <v>0</v>
      </c>
      <c r="S599" t="s">
        <v>1950</v>
      </c>
      <c r="T599" t="s">
        <v>446</v>
      </c>
      <c r="U599" t="s">
        <v>1951</v>
      </c>
      <c r="V599" t="s">
        <v>1093</v>
      </c>
      <c r="W599" t="s">
        <v>1952</v>
      </c>
      <c r="X599" t="s">
        <v>1997</v>
      </c>
      <c r="Y599" t="s">
        <v>1998</v>
      </c>
      <c r="Z599" t="s">
        <v>446</v>
      </c>
      <c r="AA599" t="s">
        <v>271</v>
      </c>
      <c r="AB599" t="s">
        <v>446</v>
      </c>
      <c r="AC599" t="b">
        <v>0</v>
      </c>
      <c r="AD599" t="b">
        <v>1</v>
      </c>
    </row>
    <row r="600" spans="1:30" x14ac:dyDescent="0.25">
      <c r="A600" t="s">
        <v>42</v>
      </c>
      <c r="B600" t="s">
        <v>1146</v>
      </c>
      <c r="C600" t="s">
        <v>271</v>
      </c>
      <c r="D600" t="s">
        <v>427</v>
      </c>
      <c r="E600" t="s">
        <v>1023</v>
      </c>
      <c r="F600">
        <v>-4046</v>
      </c>
      <c r="G600" t="s">
        <v>1945</v>
      </c>
      <c r="H600" t="s">
        <v>2005</v>
      </c>
      <c r="I600" t="s">
        <v>2006</v>
      </c>
      <c r="J600" t="s">
        <v>1110</v>
      </c>
      <c r="K600" t="s">
        <v>1026</v>
      </c>
      <c r="L600" t="s">
        <v>1979</v>
      </c>
      <c r="M600" t="s">
        <v>1000</v>
      </c>
      <c r="N600" t="s">
        <v>1027</v>
      </c>
      <c r="O600" t="s">
        <v>1970</v>
      </c>
      <c r="P600" t="s">
        <v>1025</v>
      </c>
      <c r="Q600" t="b">
        <v>1</v>
      </c>
      <c r="R600" t="b">
        <v>0</v>
      </c>
      <c r="S600" t="s">
        <v>1950</v>
      </c>
      <c r="T600" t="s">
        <v>446</v>
      </c>
      <c r="U600" t="s">
        <v>1951</v>
      </c>
      <c r="V600" t="s">
        <v>1980</v>
      </c>
      <c r="W600" t="s">
        <v>1952</v>
      </c>
      <c r="X600" t="s">
        <v>446</v>
      </c>
      <c r="Y600" t="s">
        <v>446</v>
      </c>
      <c r="Z600" t="s">
        <v>446</v>
      </c>
      <c r="AA600" t="s">
        <v>271</v>
      </c>
      <c r="AB600" t="s">
        <v>446</v>
      </c>
      <c r="AC600" t="b">
        <v>0</v>
      </c>
      <c r="AD600" t="b">
        <v>1</v>
      </c>
    </row>
    <row r="601" spans="1:30" x14ac:dyDescent="0.25">
      <c r="A601" t="s">
        <v>42</v>
      </c>
      <c r="B601" t="s">
        <v>1148</v>
      </c>
      <c r="C601" t="s">
        <v>271</v>
      </c>
      <c r="D601" t="s">
        <v>427</v>
      </c>
      <c r="E601" t="s">
        <v>1029</v>
      </c>
      <c r="F601">
        <v>-3234</v>
      </c>
      <c r="G601" t="s">
        <v>1945</v>
      </c>
      <c r="H601" t="s">
        <v>2007</v>
      </c>
      <c r="I601" t="s">
        <v>1996</v>
      </c>
      <c r="J601" t="s">
        <v>1110</v>
      </c>
      <c r="K601" t="s">
        <v>1033</v>
      </c>
      <c r="L601" t="s">
        <v>1982</v>
      </c>
      <c r="M601" t="s">
        <v>980</v>
      </c>
      <c r="N601" t="s">
        <v>1034</v>
      </c>
      <c r="O601" t="s">
        <v>1983</v>
      </c>
      <c r="P601" t="s">
        <v>1031</v>
      </c>
      <c r="Q601" t="b">
        <v>1</v>
      </c>
      <c r="R601" t="b">
        <v>0</v>
      </c>
      <c r="S601" t="s">
        <v>1950</v>
      </c>
      <c r="T601" t="s">
        <v>446</v>
      </c>
      <c r="U601" t="s">
        <v>1951</v>
      </c>
      <c r="V601" t="s">
        <v>1093</v>
      </c>
      <c r="W601" t="s">
        <v>1952</v>
      </c>
      <c r="X601" t="s">
        <v>1997</v>
      </c>
      <c r="Y601" t="s">
        <v>1998</v>
      </c>
      <c r="Z601" t="s">
        <v>446</v>
      </c>
      <c r="AA601" t="s">
        <v>271</v>
      </c>
      <c r="AB601" t="s">
        <v>446</v>
      </c>
      <c r="AC601" t="b">
        <v>0</v>
      </c>
      <c r="AD601" t="b">
        <v>1</v>
      </c>
    </row>
    <row r="602" spans="1:30" x14ac:dyDescent="0.25">
      <c r="A602" t="s">
        <v>42</v>
      </c>
      <c r="B602" t="s">
        <v>1150</v>
      </c>
      <c r="C602" t="s">
        <v>271</v>
      </c>
      <c r="D602" t="s">
        <v>427</v>
      </c>
      <c r="E602" t="s">
        <v>1035</v>
      </c>
      <c r="F602">
        <v>-3470</v>
      </c>
      <c r="G602" t="s">
        <v>1945</v>
      </c>
      <c r="H602" t="s">
        <v>2008</v>
      </c>
      <c r="I602" t="s">
        <v>1996</v>
      </c>
      <c r="J602" t="s">
        <v>1110</v>
      </c>
      <c r="K602" t="s">
        <v>1038</v>
      </c>
      <c r="L602" t="s">
        <v>1985</v>
      </c>
      <c r="M602" t="s">
        <v>980</v>
      </c>
      <c r="N602" t="s">
        <v>1039</v>
      </c>
      <c r="O602" t="s">
        <v>1986</v>
      </c>
      <c r="P602" t="s">
        <v>1037</v>
      </c>
      <c r="Q602" t="b">
        <v>1</v>
      </c>
      <c r="R602" t="b">
        <v>0</v>
      </c>
      <c r="S602" t="s">
        <v>1950</v>
      </c>
      <c r="T602" t="s">
        <v>446</v>
      </c>
      <c r="U602" t="s">
        <v>1951</v>
      </c>
      <c r="V602" t="s">
        <v>1093</v>
      </c>
      <c r="W602" t="s">
        <v>1952</v>
      </c>
      <c r="X602" t="s">
        <v>1997</v>
      </c>
      <c r="Y602" t="s">
        <v>1998</v>
      </c>
      <c r="Z602" t="s">
        <v>446</v>
      </c>
      <c r="AA602" t="s">
        <v>271</v>
      </c>
      <c r="AB602" t="s">
        <v>446</v>
      </c>
      <c r="AC602" t="b">
        <v>0</v>
      </c>
      <c r="AD602" t="b">
        <v>1</v>
      </c>
    </row>
    <row r="603" spans="1:30" x14ac:dyDescent="0.25">
      <c r="A603" t="s">
        <v>42</v>
      </c>
      <c r="B603" t="s">
        <v>1152</v>
      </c>
      <c r="C603" t="s">
        <v>271</v>
      </c>
      <c r="D603" t="s">
        <v>427</v>
      </c>
      <c r="E603" t="s">
        <v>1040</v>
      </c>
      <c r="F603">
        <v>-3618</v>
      </c>
      <c r="G603" t="s">
        <v>1945</v>
      </c>
      <c r="H603" t="s">
        <v>2009</v>
      </c>
      <c r="I603" t="s">
        <v>1996</v>
      </c>
      <c r="J603" t="s">
        <v>1110</v>
      </c>
      <c r="K603" t="s">
        <v>1043</v>
      </c>
      <c r="L603" t="s">
        <v>1988</v>
      </c>
      <c r="M603" t="s">
        <v>980</v>
      </c>
      <c r="N603" t="s">
        <v>1044</v>
      </c>
      <c r="O603" t="s">
        <v>1989</v>
      </c>
      <c r="P603" t="s">
        <v>1042</v>
      </c>
      <c r="Q603" t="b">
        <v>1</v>
      </c>
      <c r="R603" t="b">
        <v>0</v>
      </c>
      <c r="S603" t="s">
        <v>1950</v>
      </c>
      <c r="T603" t="s">
        <v>446</v>
      </c>
      <c r="U603" t="s">
        <v>1951</v>
      </c>
      <c r="V603" t="s">
        <v>1093</v>
      </c>
      <c r="W603" t="s">
        <v>1952</v>
      </c>
      <c r="X603" t="s">
        <v>1997</v>
      </c>
      <c r="Y603" t="s">
        <v>1998</v>
      </c>
      <c r="Z603" t="s">
        <v>446</v>
      </c>
      <c r="AA603" t="s">
        <v>271</v>
      </c>
      <c r="AB603" t="s">
        <v>446</v>
      </c>
      <c r="AC603" t="b">
        <v>0</v>
      </c>
      <c r="AD603" t="b">
        <v>1</v>
      </c>
    </row>
    <row r="604" spans="1:30" x14ac:dyDescent="0.25">
      <c r="A604" t="s">
        <v>42</v>
      </c>
      <c r="B604" t="s">
        <v>1154</v>
      </c>
      <c r="C604" t="s">
        <v>271</v>
      </c>
      <c r="D604" t="s">
        <v>427</v>
      </c>
      <c r="E604" t="s">
        <v>1045</v>
      </c>
      <c r="F604">
        <v>-4199</v>
      </c>
      <c r="G604" t="s">
        <v>1945</v>
      </c>
      <c r="H604" t="s">
        <v>2010</v>
      </c>
      <c r="I604" t="s">
        <v>2006</v>
      </c>
      <c r="J604" t="s">
        <v>1110</v>
      </c>
      <c r="K604" t="s">
        <v>1048</v>
      </c>
      <c r="L604" t="s">
        <v>1991</v>
      </c>
      <c r="M604" t="s">
        <v>1000</v>
      </c>
      <c r="N604" t="s">
        <v>1049</v>
      </c>
      <c r="O604" t="s">
        <v>1983</v>
      </c>
      <c r="P604" t="s">
        <v>1047</v>
      </c>
      <c r="Q604" t="b">
        <v>1</v>
      </c>
      <c r="R604" t="b">
        <v>0</v>
      </c>
      <c r="S604" t="s">
        <v>1950</v>
      </c>
      <c r="T604" t="s">
        <v>446</v>
      </c>
      <c r="U604" t="s">
        <v>1951</v>
      </c>
      <c r="V604" t="s">
        <v>1980</v>
      </c>
      <c r="W604" t="s">
        <v>1952</v>
      </c>
      <c r="X604" t="s">
        <v>446</v>
      </c>
      <c r="Y604" t="s">
        <v>446</v>
      </c>
      <c r="Z604" t="s">
        <v>446</v>
      </c>
      <c r="AA604" t="s">
        <v>271</v>
      </c>
      <c r="AB604" t="s">
        <v>446</v>
      </c>
      <c r="AC604" t="b">
        <v>0</v>
      </c>
      <c r="AD604" t="b">
        <v>1</v>
      </c>
    </row>
    <row r="605" spans="1:30" x14ac:dyDescent="0.25">
      <c r="A605" t="s">
        <v>42</v>
      </c>
      <c r="B605" t="s">
        <v>1156</v>
      </c>
      <c r="C605" t="s">
        <v>271</v>
      </c>
      <c r="D605" t="s">
        <v>427</v>
      </c>
      <c r="E605" t="s">
        <v>1051</v>
      </c>
      <c r="F605">
        <v>-3472</v>
      </c>
      <c r="G605" t="s">
        <v>1945</v>
      </c>
      <c r="H605" t="s">
        <v>2011</v>
      </c>
      <c r="I605" t="s">
        <v>1996</v>
      </c>
      <c r="J605" t="s">
        <v>1110</v>
      </c>
      <c r="K605" t="s">
        <v>1055</v>
      </c>
      <c r="L605" t="s">
        <v>1993</v>
      </c>
      <c r="M605" t="s">
        <v>980</v>
      </c>
      <c r="N605" t="s">
        <v>1056</v>
      </c>
      <c r="O605" t="s">
        <v>1994</v>
      </c>
      <c r="P605" t="s">
        <v>1053</v>
      </c>
      <c r="Q605" t="b">
        <v>1</v>
      </c>
      <c r="R605" t="b">
        <v>0</v>
      </c>
      <c r="S605" t="s">
        <v>1950</v>
      </c>
      <c r="T605" t="s">
        <v>446</v>
      </c>
      <c r="U605" t="s">
        <v>1951</v>
      </c>
      <c r="V605" t="s">
        <v>1093</v>
      </c>
      <c r="W605" t="s">
        <v>1952</v>
      </c>
      <c r="X605" t="s">
        <v>1997</v>
      </c>
      <c r="Y605" t="s">
        <v>1998</v>
      </c>
      <c r="Z605" t="s">
        <v>446</v>
      </c>
      <c r="AA605" t="s">
        <v>271</v>
      </c>
      <c r="AB605" t="s">
        <v>446</v>
      </c>
      <c r="AC605" t="b">
        <v>0</v>
      </c>
      <c r="AD605" t="b">
        <v>1</v>
      </c>
    </row>
    <row r="606" spans="1:30" x14ac:dyDescent="0.25">
      <c r="A606" t="s">
        <v>42</v>
      </c>
      <c r="B606" t="s">
        <v>1158</v>
      </c>
      <c r="C606" t="s">
        <v>272</v>
      </c>
      <c r="D606" t="s">
        <v>427</v>
      </c>
      <c r="E606" t="s">
        <v>978</v>
      </c>
      <c r="F606">
        <v>0</v>
      </c>
      <c r="G606" t="s">
        <v>2012</v>
      </c>
      <c r="H606" t="s">
        <v>2013</v>
      </c>
      <c r="I606" t="s">
        <v>2014</v>
      </c>
      <c r="J606" t="s">
        <v>1110</v>
      </c>
      <c r="K606" t="s">
        <v>446</v>
      </c>
      <c r="L606" t="s">
        <v>446</v>
      </c>
      <c r="M606" t="s">
        <v>446</v>
      </c>
      <c r="N606" t="s">
        <v>446</v>
      </c>
      <c r="O606" t="s">
        <v>446</v>
      </c>
      <c r="P606" t="s">
        <v>446</v>
      </c>
      <c r="Q606" t="b">
        <v>1</v>
      </c>
      <c r="R606" t="b">
        <v>0</v>
      </c>
      <c r="S606" t="s">
        <v>1950</v>
      </c>
      <c r="T606" t="s">
        <v>446</v>
      </c>
      <c r="U606" t="s">
        <v>1951</v>
      </c>
      <c r="V606" t="s">
        <v>1980</v>
      </c>
      <c r="W606" t="s">
        <v>2015</v>
      </c>
      <c r="X606" t="s">
        <v>446</v>
      </c>
      <c r="Y606" t="s">
        <v>446</v>
      </c>
      <c r="Z606" t="s">
        <v>446</v>
      </c>
      <c r="AA606" t="s">
        <v>272</v>
      </c>
      <c r="AB606" t="s">
        <v>446</v>
      </c>
      <c r="AC606" t="b">
        <v>0</v>
      </c>
      <c r="AD606" t="b">
        <v>1</v>
      </c>
    </row>
    <row r="607" spans="1:30" x14ac:dyDescent="0.25">
      <c r="A607" t="s">
        <v>42</v>
      </c>
      <c r="B607" t="s">
        <v>1160</v>
      </c>
      <c r="C607" t="s">
        <v>272</v>
      </c>
      <c r="D607" t="s">
        <v>427</v>
      </c>
      <c r="E607" t="s">
        <v>986</v>
      </c>
      <c r="F607">
        <v>0</v>
      </c>
      <c r="G607" t="s">
        <v>2012</v>
      </c>
      <c r="H607" t="s">
        <v>2013</v>
      </c>
      <c r="I607" t="s">
        <v>2014</v>
      </c>
      <c r="J607" t="s">
        <v>1110</v>
      </c>
      <c r="K607" t="s">
        <v>446</v>
      </c>
      <c r="L607" t="s">
        <v>446</v>
      </c>
      <c r="M607" t="s">
        <v>446</v>
      </c>
      <c r="N607" t="s">
        <v>446</v>
      </c>
      <c r="O607" t="s">
        <v>446</v>
      </c>
      <c r="P607" t="s">
        <v>446</v>
      </c>
      <c r="Q607" t="b">
        <v>1</v>
      </c>
      <c r="R607" t="b">
        <v>0</v>
      </c>
      <c r="S607" t="s">
        <v>1950</v>
      </c>
      <c r="T607" t="s">
        <v>446</v>
      </c>
      <c r="U607" t="s">
        <v>1951</v>
      </c>
      <c r="V607" t="s">
        <v>1980</v>
      </c>
      <c r="W607" t="s">
        <v>2015</v>
      </c>
      <c r="X607" t="s">
        <v>446</v>
      </c>
      <c r="Y607" t="s">
        <v>446</v>
      </c>
      <c r="Z607" t="s">
        <v>446</v>
      </c>
      <c r="AA607" t="s">
        <v>272</v>
      </c>
      <c r="AB607" t="s">
        <v>446</v>
      </c>
      <c r="AC607" t="b">
        <v>0</v>
      </c>
      <c r="AD607" t="b">
        <v>1</v>
      </c>
    </row>
    <row r="608" spans="1:30" x14ac:dyDescent="0.25">
      <c r="A608" t="s">
        <v>42</v>
      </c>
      <c r="B608" t="s">
        <v>1161</v>
      </c>
      <c r="C608" t="s">
        <v>272</v>
      </c>
      <c r="D608" t="s">
        <v>427</v>
      </c>
      <c r="E608" t="s">
        <v>992</v>
      </c>
      <c r="F608">
        <v>0</v>
      </c>
      <c r="G608" t="s">
        <v>2012</v>
      </c>
      <c r="H608" t="s">
        <v>2013</v>
      </c>
      <c r="I608" t="s">
        <v>2014</v>
      </c>
      <c r="J608" t="s">
        <v>1110</v>
      </c>
      <c r="K608" t="s">
        <v>446</v>
      </c>
      <c r="L608" t="s">
        <v>446</v>
      </c>
      <c r="M608" t="s">
        <v>446</v>
      </c>
      <c r="N608" t="s">
        <v>446</v>
      </c>
      <c r="O608" t="s">
        <v>446</v>
      </c>
      <c r="P608" t="s">
        <v>446</v>
      </c>
      <c r="Q608" t="b">
        <v>1</v>
      </c>
      <c r="R608" t="b">
        <v>0</v>
      </c>
      <c r="S608" t="s">
        <v>1950</v>
      </c>
      <c r="T608" t="s">
        <v>446</v>
      </c>
      <c r="U608" t="s">
        <v>1951</v>
      </c>
      <c r="V608" t="s">
        <v>1980</v>
      </c>
      <c r="W608" t="s">
        <v>2015</v>
      </c>
      <c r="X608" t="s">
        <v>446</v>
      </c>
      <c r="Y608" t="s">
        <v>446</v>
      </c>
      <c r="Z608" t="s">
        <v>446</v>
      </c>
      <c r="AA608" t="s">
        <v>272</v>
      </c>
      <c r="AB608" t="s">
        <v>446</v>
      </c>
      <c r="AC608" t="b">
        <v>0</v>
      </c>
      <c r="AD608" t="b">
        <v>1</v>
      </c>
    </row>
    <row r="609" spans="1:30" x14ac:dyDescent="0.25">
      <c r="A609" t="s">
        <v>42</v>
      </c>
      <c r="B609" t="s">
        <v>1162</v>
      </c>
      <c r="C609" t="s">
        <v>272</v>
      </c>
      <c r="D609" t="s">
        <v>427</v>
      </c>
      <c r="E609" t="s">
        <v>998</v>
      </c>
      <c r="F609">
        <v>0</v>
      </c>
      <c r="G609" t="s">
        <v>2012</v>
      </c>
      <c r="H609" t="s">
        <v>2013</v>
      </c>
      <c r="I609" t="s">
        <v>2014</v>
      </c>
      <c r="J609" t="s">
        <v>1110</v>
      </c>
      <c r="K609" t="s">
        <v>446</v>
      </c>
      <c r="L609" t="s">
        <v>446</v>
      </c>
      <c r="M609" t="s">
        <v>446</v>
      </c>
      <c r="N609" t="s">
        <v>446</v>
      </c>
      <c r="O609" t="s">
        <v>446</v>
      </c>
      <c r="P609" t="s">
        <v>446</v>
      </c>
      <c r="Q609" t="b">
        <v>1</v>
      </c>
      <c r="R609" t="b">
        <v>0</v>
      </c>
      <c r="S609" t="s">
        <v>1950</v>
      </c>
      <c r="T609" t="s">
        <v>446</v>
      </c>
      <c r="U609" t="s">
        <v>1951</v>
      </c>
      <c r="V609" t="s">
        <v>1980</v>
      </c>
      <c r="W609" t="s">
        <v>2015</v>
      </c>
      <c r="X609" t="s">
        <v>446</v>
      </c>
      <c r="Y609" t="s">
        <v>446</v>
      </c>
      <c r="Z609" t="s">
        <v>446</v>
      </c>
      <c r="AA609" t="s">
        <v>272</v>
      </c>
      <c r="AB609" t="s">
        <v>446</v>
      </c>
      <c r="AC609" t="b">
        <v>0</v>
      </c>
      <c r="AD609" t="b">
        <v>1</v>
      </c>
    </row>
    <row r="610" spans="1:30" x14ac:dyDescent="0.25">
      <c r="A610" t="s">
        <v>42</v>
      </c>
      <c r="B610" t="s">
        <v>1163</v>
      </c>
      <c r="C610" t="s">
        <v>272</v>
      </c>
      <c r="D610" t="s">
        <v>427</v>
      </c>
      <c r="E610" t="s">
        <v>1006</v>
      </c>
      <c r="F610">
        <v>0</v>
      </c>
      <c r="G610" t="s">
        <v>2012</v>
      </c>
      <c r="H610" t="s">
        <v>2013</v>
      </c>
      <c r="I610" t="s">
        <v>2014</v>
      </c>
      <c r="J610" t="s">
        <v>1110</v>
      </c>
      <c r="K610" t="s">
        <v>446</v>
      </c>
      <c r="L610" t="s">
        <v>446</v>
      </c>
      <c r="M610" t="s">
        <v>446</v>
      </c>
      <c r="N610" t="s">
        <v>446</v>
      </c>
      <c r="O610" t="s">
        <v>446</v>
      </c>
      <c r="P610" t="s">
        <v>446</v>
      </c>
      <c r="Q610" t="b">
        <v>1</v>
      </c>
      <c r="R610" t="b">
        <v>0</v>
      </c>
      <c r="S610" t="s">
        <v>1950</v>
      </c>
      <c r="T610" t="s">
        <v>446</v>
      </c>
      <c r="U610" t="s">
        <v>1951</v>
      </c>
      <c r="V610" t="s">
        <v>1980</v>
      </c>
      <c r="W610" t="s">
        <v>2015</v>
      </c>
      <c r="X610" t="s">
        <v>446</v>
      </c>
      <c r="Y610" t="s">
        <v>446</v>
      </c>
      <c r="Z610" t="s">
        <v>446</v>
      </c>
      <c r="AA610" t="s">
        <v>272</v>
      </c>
      <c r="AB610" t="s">
        <v>446</v>
      </c>
      <c r="AC610" t="b">
        <v>0</v>
      </c>
      <c r="AD610" t="b">
        <v>1</v>
      </c>
    </row>
    <row r="611" spans="1:30" x14ac:dyDescent="0.25">
      <c r="A611" t="s">
        <v>42</v>
      </c>
      <c r="B611" t="s">
        <v>1164</v>
      </c>
      <c r="C611" t="s">
        <v>272</v>
      </c>
      <c r="D611" t="s">
        <v>427</v>
      </c>
      <c r="E611" t="s">
        <v>1013</v>
      </c>
      <c r="F611">
        <v>0</v>
      </c>
      <c r="G611" t="s">
        <v>2012</v>
      </c>
      <c r="H611" t="s">
        <v>2013</v>
      </c>
      <c r="I611" t="s">
        <v>2014</v>
      </c>
      <c r="J611" t="s">
        <v>1110</v>
      </c>
      <c r="K611" t="s">
        <v>446</v>
      </c>
      <c r="L611" t="s">
        <v>446</v>
      </c>
      <c r="M611" t="s">
        <v>446</v>
      </c>
      <c r="N611" t="s">
        <v>446</v>
      </c>
      <c r="O611" t="s">
        <v>446</v>
      </c>
      <c r="P611" t="s">
        <v>446</v>
      </c>
      <c r="Q611" t="b">
        <v>1</v>
      </c>
      <c r="R611" t="b">
        <v>0</v>
      </c>
      <c r="S611" t="s">
        <v>1950</v>
      </c>
      <c r="T611" t="s">
        <v>446</v>
      </c>
      <c r="U611" t="s">
        <v>1951</v>
      </c>
      <c r="V611" t="s">
        <v>1980</v>
      </c>
      <c r="W611" t="s">
        <v>2015</v>
      </c>
      <c r="X611" t="s">
        <v>446</v>
      </c>
      <c r="Y611" t="s">
        <v>446</v>
      </c>
      <c r="Z611" t="s">
        <v>446</v>
      </c>
      <c r="AA611" t="s">
        <v>272</v>
      </c>
      <c r="AB611" t="s">
        <v>446</v>
      </c>
      <c r="AC611" t="b">
        <v>0</v>
      </c>
      <c r="AD611" t="b">
        <v>1</v>
      </c>
    </row>
    <row r="612" spans="1:30" x14ac:dyDescent="0.25">
      <c r="A612" t="s">
        <v>42</v>
      </c>
      <c r="B612" t="s">
        <v>1165</v>
      </c>
      <c r="C612" t="s">
        <v>272</v>
      </c>
      <c r="D612" t="s">
        <v>427</v>
      </c>
      <c r="E612" t="s">
        <v>1018</v>
      </c>
      <c r="F612">
        <v>0</v>
      </c>
      <c r="G612" t="s">
        <v>2012</v>
      </c>
      <c r="H612" t="s">
        <v>2013</v>
      </c>
      <c r="I612" t="s">
        <v>2014</v>
      </c>
      <c r="J612" t="s">
        <v>1110</v>
      </c>
      <c r="K612" t="s">
        <v>446</v>
      </c>
      <c r="L612" t="s">
        <v>446</v>
      </c>
      <c r="M612" t="s">
        <v>446</v>
      </c>
      <c r="N612" t="s">
        <v>446</v>
      </c>
      <c r="O612" t="s">
        <v>446</v>
      </c>
      <c r="P612" t="s">
        <v>446</v>
      </c>
      <c r="Q612" t="b">
        <v>1</v>
      </c>
      <c r="R612" t="b">
        <v>0</v>
      </c>
      <c r="S612" t="s">
        <v>1950</v>
      </c>
      <c r="T612" t="s">
        <v>446</v>
      </c>
      <c r="U612" t="s">
        <v>1951</v>
      </c>
      <c r="V612" t="s">
        <v>1980</v>
      </c>
      <c r="W612" t="s">
        <v>2015</v>
      </c>
      <c r="X612" t="s">
        <v>446</v>
      </c>
      <c r="Y612" t="s">
        <v>446</v>
      </c>
      <c r="Z612" t="s">
        <v>446</v>
      </c>
      <c r="AA612" t="s">
        <v>272</v>
      </c>
      <c r="AB612" t="s">
        <v>446</v>
      </c>
      <c r="AC612" t="b">
        <v>0</v>
      </c>
      <c r="AD612" t="b">
        <v>1</v>
      </c>
    </row>
    <row r="613" spans="1:30" x14ac:dyDescent="0.25">
      <c r="A613" t="s">
        <v>42</v>
      </c>
      <c r="B613" t="s">
        <v>1166</v>
      </c>
      <c r="C613" t="s">
        <v>272</v>
      </c>
      <c r="D613" t="s">
        <v>427</v>
      </c>
      <c r="E613" t="s">
        <v>1023</v>
      </c>
      <c r="F613">
        <v>0</v>
      </c>
      <c r="G613" t="s">
        <v>2012</v>
      </c>
      <c r="H613" t="s">
        <v>2013</v>
      </c>
      <c r="I613" t="s">
        <v>2014</v>
      </c>
      <c r="J613" t="s">
        <v>1110</v>
      </c>
      <c r="K613" t="s">
        <v>446</v>
      </c>
      <c r="L613" t="s">
        <v>446</v>
      </c>
      <c r="M613" t="s">
        <v>446</v>
      </c>
      <c r="N613" t="s">
        <v>446</v>
      </c>
      <c r="O613" t="s">
        <v>446</v>
      </c>
      <c r="P613" t="s">
        <v>446</v>
      </c>
      <c r="Q613" t="b">
        <v>1</v>
      </c>
      <c r="R613" t="b">
        <v>0</v>
      </c>
      <c r="S613" t="s">
        <v>1950</v>
      </c>
      <c r="T613" t="s">
        <v>446</v>
      </c>
      <c r="U613" t="s">
        <v>1951</v>
      </c>
      <c r="V613" t="s">
        <v>1980</v>
      </c>
      <c r="W613" t="s">
        <v>2015</v>
      </c>
      <c r="X613" t="s">
        <v>446</v>
      </c>
      <c r="Y613" t="s">
        <v>446</v>
      </c>
      <c r="Z613" t="s">
        <v>446</v>
      </c>
      <c r="AA613" t="s">
        <v>272</v>
      </c>
      <c r="AB613" t="s">
        <v>446</v>
      </c>
      <c r="AC613" t="b">
        <v>0</v>
      </c>
      <c r="AD613" t="b">
        <v>1</v>
      </c>
    </row>
    <row r="614" spans="1:30" x14ac:dyDescent="0.25">
      <c r="A614" t="s">
        <v>42</v>
      </c>
      <c r="B614" t="s">
        <v>1167</v>
      </c>
      <c r="C614" t="s">
        <v>272</v>
      </c>
      <c r="D614" t="s">
        <v>427</v>
      </c>
      <c r="E614" t="s">
        <v>1029</v>
      </c>
      <c r="F614">
        <v>0</v>
      </c>
      <c r="G614" t="s">
        <v>2012</v>
      </c>
      <c r="H614" t="s">
        <v>2013</v>
      </c>
      <c r="I614" t="s">
        <v>2014</v>
      </c>
      <c r="J614" t="s">
        <v>1110</v>
      </c>
      <c r="K614" t="s">
        <v>446</v>
      </c>
      <c r="L614" t="s">
        <v>446</v>
      </c>
      <c r="M614" t="s">
        <v>446</v>
      </c>
      <c r="N614" t="s">
        <v>446</v>
      </c>
      <c r="O614" t="s">
        <v>446</v>
      </c>
      <c r="P614" t="s">
        <v>446</v>
      </c>
      <c r="Q614" t="b">
        <v>1</v>
      </c>
      <c r="R614" t="b">
        <v>0</v>
      </c>
      <c r="S614" t="s">
        <v>1950</v>
      </c>
      <c r="T614" t="s">
        <v>446</v>
      </c>
      <c r="U614" t="s">
        <v>1951</v>
      </c>
      <c r="V614" t="s">
        <v>1980</v>
      </c>
      <c r="W614" t="s">
        <v>2015</v>
      </c>
      <c r="X614" t="s">
        <v>446</v>
      </c>
      <c r="Y614" t="s">
        <v>446</v>
      </c>
      <c r="Z614" t="s">
        <v>446</v>
      </c>
      <c r="AA614" t="s">
        <v>272</v>
      </c>
      <c r="AB614" t="s">
        <v>446</v>
      </c>
      <c r="AC614" t="b">
        <v>0</v>
      </c>
      <c r="AD614" t="b">
        <v>1</v>
      </c>
    </row>
    <row r="615" spans="1:30" x14ac:dyDescent="0.25">
      <c r="A615" t="s">
        <v>42</v>
      </c>
      <c r="B615" t="s">
        <v>1168</v>
      </c>
      <c r="C615" t="s">
        <v>272</v>
      </c>
      <c r="D615" t="s">
        <v>427</v>
      </c>
      <c r="E615" t="s">
        <v>1035</v>
      </c>
      <c r="F615">
        <v>0</v>
      </c>
      <c r="G615" t="s">
        <v>2012</v>
      </c>
      <c r="H615" t="s">
        <v>2013</v>
      </c>
      <c r="I615" t="s">
        <v>2014</v>
      </c>
      <c r="J615" t="s">
        <v>1110</v>
      </c>
      <c r="K615" t="s">
        <v>446</v>
      </c>
      <c r="L615" t="s">
        <v>446</v>
      </c>
      <c r="M615" t="s">
        <v>446</v>
      </c>
      <c r="N615" t="s">
        <v>446</v>
      </c>
      <c r="O615" t="s">
        <v>446</v>
      </c>
      <c r="P615" t="s">
        <v>446</v>
      </c>
      <c r="Q615" t="b">
        <v>1</v>
      </c>
      <c r="R615" t="b">
        <v>0</v>
      </c>
      <c r="S615" t="s">
        <v>1950</v>
      </c>
      <c r="T615" t="s">
        <v>446</v>
      </c>
      <c r="U615" t="s">
        <v>1951</v>
      </c>
      <c r="V615" t="s">
        <v>1980</v>
      </c>
      <c r="W615" t="s">
        <v>2015</v>
      </c>
      <c r="X615" t="s">
        <v>446</v>
      </c>
      <c r="Y615" t="s">
        <v>446</v>
      </c>
      <c r="Z615" t="s">
        <v>446</v>
      </c>
      <c r="AA615" t="s">
        <v>272</v>
      </c>
      <c r="AB615" t="s">
        <v>446</v>
      </c>
      <c r="AC615" t="b">
        <v>0</v>
      </c>
      <c r="AD615" t="b">
        <v>1</v>
      </c>
    </row>
    <row r="616" spans="1:30" x14ac:dyDescent="0.25">
      <c r="A616" t="s">
        <v>42</v>
      </c>
      <c r="B616" t="s">
        <v>1169</v>
      </c>
      <c r="C616" t="s">
        <v>272</v>
      </c>
      <c r="D616" t="s">
        <v>427</v>
      </c>
      <c r="E616" t="s">
        <v>1040</v>
      </c>
      <c r="F616">
        <v>0</v>
      </c>
      <c r="G616" t="s">
        <v>2012</v>
      </c>
      <c r="H616" t="s">
        <v>2013</v>
      </c>
      <c r="I616" t="s">
        <v>2014</v>
      </c>
      <c r="J616" t="s">
        <v>1110</v>
      </c>
      <c r="K616" t="s">
        <v>446</v>
      </c>
      <c r="L616" t="s">
        <v>446</v>
      </c>
      <c r="M616" t="s">
        <v>446</v>
      </c>
      <c r="N616" t="s">
        <v>446</v>
      </c>
      <c r="O616" t="s">
        <v>446</v>
      </c>
      <c r="P616" t="s">
        <v>446</v>
      </c>
      <c r="Q616" t="b">
        <v>1</v>
      </c>
      <c r="R616" t="b">
        <v>0</v>
      </c>
      <c r="S616" t="s">
        <v>1950</v>
      </c>
      <c r="T616" t="s">
        <v>446</v>
      </c>
      <c r="U616" t="s">
        <v>1951</v>
      </c>
      <c r="V616" t="s">
        <v>1980</v>
      </c>
      <c r="W616" t="s">
        <v>2015</v>
      </c>
      <c r="X616" t="s">
        <v>446</v>
      </c>
      <c r="Y616" t="s">
        <v>446</v>
      </c>
      <c r="Z616" t="s">
        <v>446</v>
      </c>
      <c r="AA616" t="s">
        <v>272</v>
      </c>
      <c r="AB616" t="s">
        <v>446</v>
      </c>
      <c r="AC616" t="b">
        <v>0</v>
      </c>
      <c r="AD616" t="b">
        <v>1</v>
      </c>
    </row>
    <row r="617" spans="1:30" x14ac:dyDescent="0.25">
      <c r="A617" t="s">
        <v>42</v>
      </c>
      <c r="B617" t="s">
        <v>1170</v>
      </c>
      <c r="C617" t="s">
        <v>272</v>
      </c>
      <c r="D617" t="s">
        <v>427</v>
      </c>
      <c r="E617" t="s">
        <v>1045</v>
      </c>
      <c r="F617">
        <v>0</v>
      </c>
      <c r="G617" t="s">
        <v>2012</v>
      </c>
      <c r="H617" t="s">
        <v>2013</v>
      </c>
      <c r="I617" t="s">
        <v>2014</v>
      </c>
      <c r="J617" t="s">
        <v>1110</v>
      </c>
      <c r="K617" t="s">
        <v>446</v>
      </c>
      <c r="L617" t="s">
        <v>446</v>
      </c>
      <c r="M617" t="s">
        <v>446</v>
      </c>
      <c r="N617" t="s">
        <v>446</v>
      </c>
      <c r="O617" t="s">
        <v>446</v>
      </c>
      <c r="P617" t="s">
        <v>446</v>
      </c>
      <c r="Q617" t="b">
        <v>1</v>
      </c>
      <c r="R617" t="b">
        <v>0</v>
      </c>
      <c r="S617" t="s">
        <v>1950</v>
      </c>
      <c r="T617" t="s">
        <v>446</v>
      </c>
      <c r="U617" t="s">
        <v>1951</v>
      </c>
      <c r="V617" t="s">
        <v>1980</v>
      </c>
      <c r="W617" t="s">
        <v>2015</v>
      </c>
      <c r="X617" t="s">
        <v>446</v>
      </c>
      <c r="Y617" t="s">
        <v>446</v>
      </c>
      <c r="Z617" t="s">
        <v>446</v>
      </c>
      <c r="AA617" t="s">
        <v>272</v>
      </c>
      <c r="AB617" t="s">
        <v>446</v>
      </c>
      <c r="AC617" t="b">
        <v>0</v>
      </c>
      <c r="AD617" t="b">
        <v>1</v>
      </c>
    </row>
    <row r="618" spans="1:30" x14ac:dyDescent="0.25">
      <c r="A618" t="s">
        <v>42</v>
      </c>
      <c r="B618" t="s">
        <v>1171</v>
      </c>
      <c r="C618" t="s">
        <v>272</v>
      </c>
      <c r="D618" t="s">
        <v>427</v>
      </c>
      <c r="E618" t="s">
        <v>1051</v>
      </c>
      <c r="F618">
        <v>0</v>
      </c>
      <c r="G618" t="s">
        <v>2012</v>
      </c>
      <c r="H618" t="s">
        <v>2013</v>
      </c>
      <c r="I618" t="s">
        <v>2014</v>
      </c>
      <c r="J618" t="s">
        <v>1110</v>
      </c>
      <c r="K618" t="s">
        <v>446</v>
      </c>
      <c r="L618" t="s">
        <v>446</v>
      </c>
      <c r="M618" t="s">
        <v>446</v>
      </c>
      <c r="N618" t="s">
        <v>446</v>
      </c>
      <c r="O618" t="s">
        <v>446</v>
      </c>
      <c r="P618" t="s">
        <v>446</v>
      </c>
      <c r="Q618" t="b">
        <v>1</v>
      </c>
      <c r="R618" t="b">
        <v>0</v>
      </c>
      <c r="S618" t="s">
        <v>1950</v>
      </c>
      <c r="T618" t="s">
        <v>446</v>
      </c>
      <c r="U618" t="s">
        <v>1951</v>
      </c>
      <c r="V618" t="s">
        <v>1980</v>
      </c>
      <c r="W618" t="s">
        <v>2015</v>
      </c>
      <c r="X618" t="s">
        <v>446</v>
      </c>
      <c r="Y618" t="s">
        <v>446</v>
      </c>
      <c r="Z618" t="s">
        <v>446</v>
      </c>
      <c r="AA618" t="s">
        <v>272</v>
      </c>
      <c r="AB618" t="s">
        <v>446</v>
      </c>
      <c r="AC618" t="b">
        <v>0</v>
      </c>
      <c r="AD618" t="b">
        <v>1</v>
      </c>
    </row>
    <row r="619" spans="1:30" x14ac:dyDescent="0.25">
      <c r="A619" t="s">
        <v>42</v>
      </c>
      <c r="B619" t="s">
        <v>1172</v>
      </c>
      <c r="C619" t="s">
        <v>273</v>
      </c>
      <c r="D619" t="s">
        <v>427</v>
      </c>
      <c r="E619" t="s">
        <v>978</v>
      </c>
      <c r="F619">
        <v>0</v>
      </c>
      <c r="G619" t="s">
        <v>2012</v>
      </c>
      <c r="H619" t="s">
        <v>2016</v>
      </c>
      <c r="I619" t="s">
        <v>2017</v>
      </c>
      <c r="J619" t="s">
        <v>1110</v>
      </c>
      <c r="K619" t="s">
        <v>446</v>
      </c>
      <c r="L619" t="s">
        <v>446</v>
      </c>
      <c r="M619" t="s">
        <v>446</v>
      </c>
      <c r="N619" t="s">
        <v>446</v>
      </c>
      <c r="O619" t="s">
        <v>446</v>
      </c>
      <c r="P619" t="s">
        <v>446</v>
      </c>
      <c r="Q619" t="b">
        <v>1</v>
      </c>
      <c r="R619" t="b">
        <v>0</v>
      </c>
      <c r="S619" t="s">
        <v>1950</v>
      </c>
      <c r="T619" t="s">
        <v>446</v>
      </c>
      <c r="U619" t="s">
        <v>1951</v>
      </c>
      <c r="V619" t="s">
        <v>1980</v>
      </c>
      <c r="W619" t="s">
        <v>2015</v>
      </c>
      <c r="X619" t="s">
        <v>446</v>
      </c>
      <c r="Y619" t="s">
        <v>446</v>
      </c>
      <c r="Z619" t="s">
        <v>446</v>
      </c>
      <c r="AA619" t="s">
        <v>273</v>
      </c>
      <c r="AB619" t="s">
        <v>446</v>
      </c>
      <c r="AC619" t="b">
        <v>0</v>
      </c>
      <c r="AD619" t="b">
        <v>1</v>
      </c>
    </row>
    <row r="620" spans="1:30" x14ac:dyDescent="0.25">
      <c r="A620" t="s">
        <v>42</v>
      </c>
      <c r="B620" t="s">
        <v>1174</v>
      </c>
      <c r="C620" t="s">
        <v>273</v>
      </c>
      <c r="D620" t="s">
        <v>427</v>
      </c>
      <c r="E620" t="s">
        <v>986</v>
      </c>
      <c r="F620">
        <v>0</v>
      </c>
      <c r="G620" t="s">
        <v>2012</v>
      </c>
      <c r="H620" t="s">
        <v>2016</v>
      </c>
      <c r="I620" t="s">
        <v>2017</v>
      </c>
      <c r="J620" t="s">
        <v>1110</v>
      </c>
      <c r="K620" t="s">
        <v>446</v>
      </c>
      <c r="L620" t="s">
        <v>446</v>
      </c>
      <c r="M620" t="s">
        <v>446</v>
      </c>
      <c r="N620" t="s">
        <v>446</v>
      </c>
      <c r="O620" t="s">
        <v>446</v>
      </c>
      <c r="P620" t="s">
        <v>446</v>
      </c>
      <c r="Q620" t="b">
        <v>1</v>
      </c>
      <c r="R620" t="b">
        <v>0</v>
      </c>
      <c r="S620" t="s">
        <v>1950</v>
      </c>
      <c r="T620" t="s">
        <v>446</v>
      </c>
      <c r="U620" t="s">
        <v>1951</v>
      </c>
      <c r="V620" t="s">
        <v>1980</v>
      </c>
      <c r="W620" t="s">
        <v>2015</v>
      </c>
      <c r="X620" t="s">
        <v>446</v>
      </c>
      <c r="Y620" t="s">
        <v>446</v>
      </c>
      <c r="Z620" t="s">
        <v>446</v>
      </c>
      <c r="AA620" t="s">
        <v>273</v>
      </c>
      <c r="AB620" t="s">
        <v>446</v>
      </c>
      <c r="AC620" t="b">
        <v>0</v>
      </c>
      <c r="AD620" t="b">
        <v>1</v>
      </c>
    </row>
    <row r="621" spans="1:30" x14ac:dyDescent="0.25">
      <c r="A621" t="s">
        <v>42</v>
      </c>
      <c r="B621" t="s">
        <v>1176</v>
      </c>
      <c r="C621" t="s">
        <v>273</v>
      </c>
      <c r="D621" t="s">
        <v>427</v>
      </c>
      <c r="E621" t="s">
        <v>992</v>
      </c>
      <c r="F621">
        <v>0</v>
      </c>
      <c r="G621" t="s">
        <v>2012</v>
      </c>
      <c r="H621" t="s">
        <v>2016</v>
      </c>
      <c r="I621" t="s">
        <v>2017</v>
      </c>
      <c r="J621" t="s">
        <v>1110</v>
      </c>
      <c r="K621" t="s">
        <v>446</v>
      </c>
      <c r="L621" t="s">
        <v>446</v>
      </c>
      <c r="M621" t="s">
        <v>446</v>
      </c>
      <c r="N621" t="s">
        <v>446</v>
      </c>
      <c r="O621" t="s">
        <v>446</v>
      </c>
      <c r="P621" t="s">
        <v>446</v>
      </c>
      <c r="Q621" t="b">
        <v>1</v>
      </c>
      <c r="R621" t="b">
        <v>0</v>
      </c>
      <c r="S621" t="s">
        <v>1950</v>
      </c>
      <c r="T621" t="s">
        <v>446</v>
      </c>
      <c r="U621" t="s">
        <v>1951</v>
      </c>
      <c r="V621" t="s">
        <v>1980</v>
      </c>
      <c r="W621" t="s">
        <v>2015</v>
      </c>
      <c r="X621" t="s">
        <v>446</v>
      </c>
      <c r="Y621" t="s">
        <v>446</v>
      </c>
      <c r="Z621" t="s">
        <v>446</v>
      </c>
      <c r="AA621" t="s">
        <v>273</v>
      </c>
      <c r="AB621" t="s">
        <v>446</v>
      </c>
      <c r="AC621" t="b">
        <v>0</v>
      </c>
      <c r="AD621" t="b">
        <v>1</v>
      </c>
    </row>
    <row r="622" spans="1:24" x14ac:dyDescent="0.25">
      <c r="A622" t="s">
        <v>42</v>
      </c>
      <c r="B622" t="s">
        <v>2018</v>
      </c>
      <c r="C622" t="s">
        <v>273</v>
      </c>
      <c r="D622" t="s">
        <v>427</v>
      </c>
      <c r="E622" t="s">
        <v>998</v>
      </c>
      <c r="F622">
        <v>-339</v>
      </c>
      <c r="G622" t="s">
        <v>1074</v>
      </c>
      <c r="H622" t="s">
        <v>446</v>
      </c>
      <c r="I622" t="s">
        <v>446</v>
      </c>
      <c r="J622" t="s">
        <v>1110</v>
      </c>
      <c r="K622" t="s">
        <v>446</v>
      </c>
      <c r="L622" t="s">
        <v>446</v>
      </c>
      <c r="M622" t="s">
        <v>446</v>
      </c>
      <c r="N622" t="s">
        <v>446</v>
      </c>
      <c r="O622" t="s">
        <v>446</v>
      </c>
      <c r="P622" t="s">
        <v>446</v>
      </c>
      <c r="Q622" t="b">
        <v>0</v>
      </c>
      <c r="R622" t="b">
        <v>1</v>
      </c>
      <c r="S622" t="s">
        <v>1961</v>
      </c>
      <c r="T622" t="s">
        <v>1962</v>
      </c>
      <c r="U622" t="s">
        <v>1963</v>
      </c>
      <c r="V622" t="s">
        <v>1964</v>
      </c>
      <c r="W622" t="s">
        <v>1965</v>
      </c>
      <c r="X622" t="s">
        <v>446</v>
      </c>
    </row>
    <row r="623" spans="1:30" x14ac:dyDescent="0.25">
      <c r="A623" t="s">
        <v>42</v>
      </c>
      <c r="B623" t="s">
        <v>1178</v>
      </c>
      <c r="C623" t="s">
        <v>273</v>
      </c>
      <c r="D623" t="s">
        <v>427</v>
      </c>
      <c r="E623" t="s">
        <v>1006</v>
      </c>
      <c r="F623">
        <v>0</v>
      </c>
      <c r="G623" t="s">
        <v>2012</v>
      </c>
      <c r="H623" t="s">
        <v>2016</v>
      </c>
      <c r="I623" t="s">
        <v>2017</v>
      </c>
      <c r="J623" t="s">
        <v>1110</v>
      </c>
      <c r="K623" t="s">
        <v>446</v>
      </c>
      <c r="L623" t="s">
        <v>446</v>
      </c>
      <c r="M623" t="s">
        <v>446</v>
      </c>
      <c r="N623" t="s">
        <v>446</v>
      </c>
      <c r="O623" t="s">
        <v>446</v>
      </c>
      <c r="P623" t="s">
        <v>446</v>
      </c>
      <c r="Q623" t="b">
        <v>1</v>
      </c>
      <c r="R623" t="b">
        <v>0</v>
      </c>
      <c r="S623" t="s">
        <v>1950</v>
      </c>
      <c r="T623" t="s">
        <v>446</v>
      </c>
      <c r="U623" t="s">
        <v>1951</v>
      </c>
      <c r="V623" t="s">
        <v>1980</v>
      </c>
      <c r="W623" t="s">
        <v>2015</v>
      </c>
      <c r="X623" t="s">
        <v>446</v>
      </c>
      <c r="Y623" t="s">
        <v>446</v>
      </c>
      <c r="Z623" t="s">
        <v>446</v>
      </c>
      <c r="AA623" t="s">
        <v>273</v>
      </c>
      <c r="AB623" t="s">
        <v>446</v>
      </c>
      <c r="AC623" t="b">
        <v>0</v>
      </c>
      <c r="AD623" t="b">
        <v>1</v>
      </c>
    </row>
    <row r="624" spans="1:30" x14ac:dyDescent="0.25">
      <c r="A624" t="s">
        <v>42</v>
      </c>
      <c r="B624" t="s">
        <v>1180</v>
      </c>
      <c r="C624" t="s">
        <v>273</v>
      </c>
      <c r="D624" t="s">
        <v>427</v>
      </c>
      <c r="E624" t="s">
        <v>1013</v>
      </c>
      <c r="F624">
        <v>0</v>
      </c>
      <c r="G624" t="s">
        <v>2012</v>
      </c>
      <c r="H624" t="s">
        <v>2016</v>
      </c>
      <c r="I624" t="s">
        <v>2017</v>
      </c>
      <c r="J624" t="s">
        <v>1110</v>
      </c>
      <c r="K624" t="s">
        <v>446</v>
      </c>
      <c r="L624" t="s">
        <v>446</v>
      </c>
      <c r="M624" t="s">
        <v>446</v>
      </c>
      <c r="N624" t="s">
        <v>446</v>
      </c>
      <c r="O624" t="s">
        <v>446</v>
      </c>
      <c r="P624" t="s">
        <v>446</v>
      </c>
      <c r="Q624" t="b">
        <v>1</v>
      </c>
      <c r="R624" t="b">
        <v>0</v>
      </c>
      <c r="S624" t="s">
        <v>1950</v>
      </c>
      <c r="T624" t="s">
        <v>446</v>
      </c>
      <c r="U624" t="s">
        <v>1951</v>
      </c>
      <c r="V624" t="s">
        <v>1980</v>
      </c>
      <c r="W624" t="s">
        <v>2015</v>
      </c>
      <c r="X624" t="s">
        <v>446</v>
      </c>
      <c r="Y624" t="s">
        <v>446</v>
      </c>
      <c r="Z624" t="s">
        <v>446</v>
      </c>
      <c r="AA624" t="s">
        <v>273</v>
      </c>
      <c r="AB624" t="s">
        <v>446</v>
      </c>
      <c r="AC624" t="b">
        <v>0</v>
      </c>
      <c r="AD624" t="b">
        <v>1</v>
      </c>
    </row>
    <row r="625" spans="1:30" x14ac:dyDescent="0.25">
      <c r="A625" t="s">
        <v>42</v>
      </c>
      <c r="B625" t="s">
        <v>1182</v>
      </c>
      <c r="C625" t="s">
        <v>273</v>
      </c>
      <c r="D625" t="s">
        <v>427</v>
      </c>
      <c r="E625" t="s">
        <v>1018</v>
      </c>
      <c r="F625">
        <v>0</v>
      </c>
      <c r="G625" t="s">
        <v>2012</v>
      </c>
      <c r="H625" t="s">
        <v>2016</v>
      </c>
      <c r="I625" t="s">
        <v>2017</v>
      </c>
      <c r="J625" t="s">
        <v>1110</v>
      </c>
      <c r="K625" t="s">
        <v>446</v>
      </c>
      <c r="L625" t="s">
        <v>446</v>
      </c>
      <c r="M625" t="s">
        <v>446</v>
      </c>
      <c r="N625" t="s">
        <v>446</v>
      </c>
      <c r="O625" t="s">
        <v>446</v>
      </c>
      <c r="P625" t="s">
        <v>446</v>
      </c>
      <c r="Q625" t="b">
        <v>1</v>
      </c>
      <c r="R625" t="b">
        <v>0</v>
      </c>
      <c r="S625" t="s">
        <v>1950</v>
      </c>
      <c r="T625" t="s">
        <v>446</v>
      </c>
      <c r="U625" t="s">
        <v>1951</v>
      </c>
      <c r="V625" t="s">
        <v>1980</v>
      </c>
      <c r="W625" t="s">
        <v>2015</v>
      </c>
      <c r="X625" t="s">
        <v>446</v>
      </c>
      <c r="Y625" t="s">
        <v>446</v>
      </c>
      <c r="Z625" t="s">
        <v>446</v>
      </c>
      <c r="AA625" t="s">
        <v>273</v>
      </c>
      <c r="AB625" t="s">
        <v>446</v>
      </c>
      <c r="AC625" t="b">
        <v>0</v>
      </c>
      <c r="AD625" t="b">
        <v>1</v>
      </c>
    </row>
    <row r="626" spans="1:30" x14ac:dyDescent="0.25">
      <c r="A626" t="s">
        <v>42</v>
      </c>
      <c r="B626" t="s">
        <v>1184</v>
      </c>
      <c r="C626" t="s">
        <v>273</v>
      </c>
      <c r="D626" t="s">
        <v>427</v>
      </c>
      <c r="E626" t="s">
        <v>1023</v>
      </c>
      <c r="F626">
        <v>0</v>
      </c>
      <c r="G626" t="s">
        <v>2012</v>
      </c>
      <c r="H626" t="s">
        <v>2016</v>
      </c>
      <c r="I626" t="s">
        <v>2017</v>
      </c>
      <c r="J626" t="s">
        <v>1110</v>
      </c>
      <c r="K626" t="s">
        <v>446</v>
      </c>
      <c r="L626" t="s">
        <v>446</v>
      </c>
      <c r="M626" t="s">
        <v>446</v>
      </c>
      <c r="N626" t="s">
        <v>446</v>
      </c>
      <c r="O626" t="s">
        <v>446</v>
      </c>
      <c r="P626" t="s">
        <v>446</v>
      </c>
      <c r="Q626" t="b">
        <v>1</v>
      </c>
      <c r="R626" t="b">
        <v>0</v>
      </c>
      <c r="S626" t="s">
        <v>1950</v>
      </c>
      <c r="T626" t="s">
        <v>446</v>
      </c>
      <c r="U626" t="s">
        <v>1951</v>
      </c>
      <c r="V626" t="s">
        <v>1980</v>
      </c>
      <c r="W626" t="s">
        <v>2015</v>
      </c>
      <c r="X626" t="s">
        <v>446</v>
      </c>
      <c r="Y626" t="s">
        <v>446</v>
      </c>
      <c r="Z626" t="s">
        <v>446</v>
      </c>
      <c r="AA626" t="s">
        <v>273</v>
      </c>
      <c r="AB626" t="s">
        <v>446</v>
      </c>
      <c r="AC626" t="b">
        <v>0</v>
      </c>
      <c r="AD626" t="b">
        <v>1</v>
      </c>
    </row>
    <row r="627" spans="1:30" x14ac:dyDescent="0.25">
      <c r="A627" t="s">
        <v>42</v>
      </c>
      <c r="B627" t="s">
        <v>1186</v>
      </c>
      <c r="C627" t="s">
        <v>273</v>
      </c>
      <c r="D627" t="s">
        <v>427</v>
      </c>
      <c r="E627" t="s">
        <v>1029</v>
      </c>
      <c r="F627">
        <v>0</v>
      </c>
      <c r="G627" t="s">
        <v>2012</v>
      </c>
      <c r="H627" t="s">
        <v>2016</v>
      </c>
      <c r="I627" t="s">
        <v>2017</v>
      </c>
      <c r="J627" t="s">
        <v>1110</v>
      </c>
      <c r="K627" t="s">
        <v>446</v>
      </c>
      <c r="L627" t="s">
        <v>446</v>
      </c>
      <c r="M627" t="s">
        <v>446</v>
      </c>
      <c r="N627" t="s">
        <v>446</v>
      </c>
      <c r="O627" t="s">
        <v>446</v>
      </c>
      <c r="P627" t="s">
        <v>446</v>
      </c>
      <c r="Q627" t="b">
        <v>1</v>
      </c>
      <c r="R627" t="b">
        <v>0</v>
      </c>
      <c r="S627" t="s">
        <v>1950</v>
      </c>
      <c r="T627" t="s">
        <v>446</v>
      </c>
      <c r="U627" t="s">
        <v>1951</v>
      </c>
      <c r="V627" t="s">
        <v>1980</v>
      </c>
      <c r="W627" t="s">
        <v>2015</v>
      </c>
      <c r="X627" t="s">
        <v>446</v>
      </c>
      <c r="Y627" t="s">
        <v>446</v>
      </c>
      <c r="Z627" t="s">
        <v>446</v>
      </c>
      <c r="AA627" t="s">
        <v>273</v>
      </c>
      <c r="AB627" t="s">
        <v>446</v>
      </c>
      <c r="AC627" t="b">
        <v>0</v>
      </c>
      <c r="AD627" t="b">
        <v>1</v>
      </c>
    </row>
    <row r="628" spans="1:30" x14ac:dyDescent="0.25">
      <c r="A628" t="s">
        <v>42</v>
      </c>
      <c r="B628" t="s">
        <v>1188</v>
      </c>
      <c r="C628" t="s">
        <v>273</v>
      </c>
      <c r="D628" t="s">
        <v>427</v>
      </c>
      <c r="E628" t="s">
        <v>1035</v>
      </c>
      <c r="F628">
        <v>0</v>
      </c>
      <c r="G628" t="s">
        <v>2012</v>
      </c>
      <c r="H628" t="s">
        <v>2016</v>
      </c>
      <c r="I628" t="s">
        <v>2017</v>
      </c>
      <c r="J628" t="s">
        <v>1110</v>
      </c>
      <c r="K628" t="s">
        <v>446</v>
      </c>
      <c r="L628" t="s">
        <v>446</v>
      </c>
      <c r="M628" t="s">
        <v>446</v>
      </c>
      <c r="N628" t="s">
        <v>446</v>
      </c>
      <c r="O628" t="s">
        <v>446</v>
      </c>
      <c r="P628" t="s">
        <v>446</v>
      </c>
      <c r="Q628" t="b">
        <v>1</v>
      </c>
      <c r="R628" t="b">
        <v>0</v>
      </c>
      <c r="S628" t="s">
        <v>1950</v>
      </c>
      <c r="T628" t="s">
        <v>446</v>
      </c>
      <c r="U628" t="s">
        <v>1951</v>
      </c>
      <c r="V628" t="s">
        <v>1980</v>
      </c>
      <c r="W628" t="s">
        <v>2015</v>
      </c>
      <c r="X628" t="s">
        <v>446</v>
      </c>
      <c r="Y628" t="s">
        <v>446</v>
      </c>
      <c r="Z628" t="s">
        <v>446</v>
      </c>
      <c r="AA628" t="s">
        <v>273</v>
      </c>
      <c r="AB628" t="s">
        <v>446</v>
      </c>
      <c r="AC628" t="b">
        <v>0</v>
      </c>
      <c r="AD628" t="b">
        <v>1</v>
      </c>
    </row>
    <row r="629" spans="1:30" x14ac:dyDescent="0.25">
      <c r="A629" t="s">
        <v>42</v>
      </c>
      <c r="B629" t="s">
        <v>1190</v>
      </c>
      <c r="C629" t="s">
        <v>273</v>
      </c>
      <c r="D629" t="s">
        <v>427</v>
      </c>
      <c r="E629" t="s">
        <v>1040</v>
      </c>
      <c r="F629">
        <v>0</v>
      </c>
      <c r="G629" t="s">
        <v>2012</v>
      </c>
      <c r="H629" t="s">
        <v>2016</v>
      </c>
      <c r="I629" t="s">
        <v>2017</v>
      </c>
      <c r="J629" t="s">
        <v>1110</v>
      </c>
      <c r="K629" t="s">
        <v>446</v>
      </c>
      <c r="L629" t="s">
        <v>446</v>
      </c>
      <c r="M629" t="s">
        <v>446</v>
      </c>
      <c r="N629" t="s">
        <v>446</v>
      </c>
      <c r="O629" t="s">
        <v>446</v>
      </c>
      <c r="P629" t="s">
        <v>446</v>
      </c>
      <c r="Q629" t="b">
        <v>1</v>
      </c>
      <c r="R629" t="b">
        <v>0</v>
      </c>
      <c r="S629" t="s">
        <v>1950</v>
      </c>
      <c r="T629" t="s">
        <v>446</v>
      </c>
      <c r="U629" t="s">
        <v>1951</v>
      </c>
      <c r="V629" t="s">
        <v>1980</v>
      </c>
      <c r="W629" t="s">
        <v>2015</v>
      </c>
      <c r="X629" t="s">
        <v>446</v>
      </c>
      <c r="Y629" t="s">
        <v>446</v>
      </c>
      <c r="Z629" t="s">
        <v>446</v>
      </c>
      <c r="AA629" t="s">
        <v>273</v>
      </c>
      <c r="AB629" t="s">
        <v>446</v>
      </c>
      <c r="AC629" t="b">
        <v>0</v>
      </c>
      <c r="AD629" t="b">
        <v>1</v>
      </c>
    </row>
    <row r="630" spans="1:30" x14ac:dyDescent="0.25">
      <c r="A630" t="s">
        <v>42</v>
      </c>
      <c r="B630" t="s">
        <v>1192</v>
      </c>
      <c r="C630" t="s">
        <v>273</v>
      </c>
      <c r="D630" t="s">
        <v>427</v>
      </c>
      <c r="E630" t="s">
        <v>1045</v>
      </c>
      <c r="F630">
        <v>0</v>
      </c>
      <c r="G630" t="s">
        <v>2012</v>
      </c>
      <c r="H630" t="s">
        <v>2016</v>
      </c>
      <c r="I630" t="s">
        <v>2017</v>
      </c>
      <c r="J630" t="s">
        <v>1110</v>
      </c>
      <c r="K630" t="s">
        <v>446</v>
      </c>
      <c r="L630" t="s">
        <v>446</v>
      </c>
      <c r="M630" t="s">
        <v>446</v>
      </c>
      <c r="N630" t="s">
        <v>446</v>
      </c>
      <c r="O630" t="s">
        <v>446</v>
      </c>
      <c r="P630" t="s">
        <v>446</v>
      </c>
      <c r="Q630" t="b">
        <v>1</v>
      </c>
      <c r="R630" t="b">
        <v>0</v>
      </c>
      <c r="S630" t="s">
        <v>1950</v>
      </c>
      <c r="T630" t="s">
        <v>446</v>
      </c>
      <c r="U630" t="s">
        <v>1951</v>
      </c>
      <c r="V630" t="s">
        <v>1980</v>
      </c>
      <c r="W630" t="s">
        <v>2015</v>
      </c>
      <c r="X630" t="s">
        <v>446</v>
      </c>
      <c r="Y630" t="s">
        <v>446</v>
      </c>
      <c r="Z630" t="s">
        <v>446</v>
      </c>
      <c r="AA630" t="s">
        <v>273</v>
      </c>
      <c r="AB630" t="s">
        <v>446</v>
      </c>
      <c r="AC630" t="b">
        <v>0</v>
      </c>
      <c r="AD630" t="b">
        <v>1</v>
      </c>
    </row>
    <row r="631" spans="1:30" x14ac:dyDescent="0.25">
      <c r="A631" t="s">
        <v>42</v>
      </c>
      <c r="B631" t="s">
        <v>1194</v>
      </c>
      <c r="C631" t="s">
        <v>273</v>
      </c>
      <c r="D631" t="s">
        <v>427</v>
      </c>
      <c r="E631" t="s">
        <v>1051</v>
      </c>
      <c r="F631">
        <v>0</v>
      </c>
      <c r="G631" t="s">
        <v>2012</v>
      </c>
      <c r="H631" t="s">
        <v>2016</v>
      </c>
      <c r="I631" t="s">
        <v>2017</v>
      </c>
      <c r="J631" t="s">
        <v>1110</v>
      </c>
      <c r="K631" t="s">
        <v>446</v>
      </c>
      <c r="L631" t="s">
        <v>446</v>
      </c>
      <c r="M631" t="s">
        <v>446</v>
      </c>
      <c r="N631" t="s">
        <v>446</v>
      </c>
      <c r="O631" t="s">
        <v>446</v>
      </c>
      <c r="P631" t="s">
        <v>446</v>
      </c>
      <c r="Q631" t="b">
        <v>1</v>
      </c>
      <c r="R631" t="b">
        <v>0</v>
      </c>
      <c r="S631" t="s">
        <v>1950</v>
      </c>
      <c r="T631" t="s">
        <v>446</v>
      </c>
      <c r="U631" t="s">
        <v>1951</v>
      </c>
      <c r="V631" t="s">
        <v>1980</v>
      </c>
      <c r="W631" t="s">
        <v>2015</v>
      </c>
      <c r="X631" t="s">
        <v>446</v>
      </c>
      <c r="Y631" t="s">
        <v>446</v>
      </c>
      <c r="Z631" t="s">
        <v>446</v>
      </c>
      <c r="AA631" t="s">
        <v>273</v>
      </c>
      <c r="AB631" t="s">
        <v>446</v>
      </c>
      <c r="AC631" t="b">
        <v>0</v>
      </c>
      <c r="AD631" t="b">
        <v>1</v>
      </c>
    </row>
    <row r="632" spans="1:30" x14ac:dyDescent="0.25">
      <c r="A632" t="s">
        <v>42</v>
      </c>
      <c r="B632" t="s">
        <v>1196</v>
      </c>
      <c r="C632" t="s">
        <v>274</v>
      </c>
      <c r="D632" t="s">
        <v>427</v>
      </c>
      <c r="E632" t="s">
        <v>978</v>
      </c>
      <c r="F632">
        <v>-111</v>
      </c>
      <c r="G632" t="s">
        <v>2019</v>
      </c>
      <c r="H632" t="s">
        <v>2020</v>
      </c>
      <c r="I632" t="s">
        <v>2021</v>
      </c>
      <c r="J632" t="s">
        <v>1110</v>
      </c>
      <c r="K632" t="s">
        <v>984</v>
      </c>
      <c r="L632" t="s">
        <v>1948</v>
      </c>
      <c r="M632" t="s">
        <v>980</v>
      </c>
      <c r="N632" t="s">
        <v>985</v>
      </c>
      <c r="O632" t="s">
        <v>1949</v>
      </c>
      <c r="P632" t="s">
        <v>981</v>
      </c>
      <c r="Q632" t="b">
        <v>1</v>
      </c>
      <c r="R632" t="b">
        <v>0</v>
      </c>
      <c r="S632" t="s">
        <v>1963</v>
      </c>
      <c r="T632" t="s">
        <v>2022</v>
      </c>
      <c r="U632" t="s">
        <v>2023</v>
      </c>
      <c r="V632" t="s">
        <v>1964</v>
      </c>
      <c r="W632" t="s">
        <v>2024</v>
      </c>
      <c r="X632" t="s">
        <v>2025</v>
      </c>
      <c r="Y632" t="s">
        <v>2026</v>
      </c>
      <c r="Z632" t="s">
        <v>446</v>
      </c>
      <c r="AA632" t="s">
        <v>274</v>
      </c>
      <c r="AB632" t="s">
        <v>446</v>
      </c>
      <c r="AC632" t="b">
        <v>0</v>
      </c>
      <c r="AD632" t="b">
        <v>1</v>
      </c>
    </row>
    <row r="633" spans="1:30" x14ac:dyDescent="0.25">
      <c r="A633" t="s">
        <v>42</v>
      </c>
      <c r="B633" t="s">
        <v>1197</v>
      </c>
      <c r="C633" t="s">
        <v>274</v>
      </c>
      <c r="D633" t="s">
        <v>427</v>
      </c>
      <c r="E633" t="s">
        <v>986</v>
      </c>
      <c r="F633">
        <v>-1338</v>
      </c>
      <c r="G633" t="s">
        <v>2019</v>
      </c>
      <c r="H633" t="s">
        <v>2027</v>
      </c>
      <c r="I633" t="s">
        <v>2021</v>
      </c>
      <c r="J633" t="s">
        <v>1110</v>
      </c>
      <c r="K633" t="s">
        <v>990</v>
      </c>
      <c r="L633" t="s">
        <v>1955</v>
      </c>
      <c r="M633" t="s">
        <v>980</v>
      </c>
      <c r="N633" t="s">
        <v>991</v>
      </c>
      <c r="O633" t="s">
        <v>1956</v>
      </c>
      <c r="P633" t="s">
        <v>988</v>
      </c>
      <c r="Q633" t="b">
        <v>1</v>
      </c>
      <c r="R633" t="b">
        <v>0</v>
      </c>
      <c r="S633" t="s">
        <v>1963</v>
      </c>
      <c r="T633" t="s">
        <v>2022</v>
      </c>
      <c r="U633" t="s">
        <v>2023</v>
      </c>
      <c r="V633" t="s">
        <v>1964</v>
      </c>
      <c r="W633" t="s">
        <v>2024</v>
      </c>
      <c r="X633" t="s">
        <v>2025</v>
      </c>
      <c r="Y633" t="s">
        <v>2026</v>
      </c>
      <c r="Z633" t="s">
        <v>446</v>
      </c>
      <c r="AA633" t="s">
        <v>274</v>
      </c>
      <c r="AB633" t="s">
        <v>446</v>
      </c>
      <c r="AC633" t="b">
        <v>0</v>
      </c>
      <c r="AD633" t="b">
        <v>1</v>
      </c>
    </row>
    <row r="634" spans="1:30" x14ac:dyDescent="0.25">
      <c r="A634" t="s">
        <v>42</v>
      </c>
      <c r="B634" t="s">
        <v>1198</v>
      </c>
      <c r="C634" t="s">
        <v>274</v>
      </c>
      <c r="D634" t="s">
        <v>427</v>
      </c>
      <c r="E634" t="s">
        <v>992</v>
      </c>
      <c r="F634">
        <v>-359</v>
      </c>
      <c r="G634" t="s">
        <v>2019</v>
      </c>
      <c r="H634" t="s">
        <v>2028</v>
      </c>
      <c r="I634" t="s">
        <v>2021</v>
      </c>
      <c r="J634" t="s">
        <v>1110</v>
      </c>
      <c r="K634" t="s">
        <v>996</v>
      </c>
      <c r="L634" t="s">
        <v>1958</v>
      </c>
      <c r="M634" t="s">
        <v>980</v>
      </c>
      <c r="N634" t="s">
        <v>997</v>
      </c>
      <c r="O634" t="s">
        <v>1959</v>
      </c>
      <c r="P634" t="s">
        <v>994</v>
      </c>
      <c r="Q634" t="b">
        <v>1</v>
      </c>
      <c r="R634" t="b">
        <v>0</v>
      </c>
      <c r="S634" t="s">
        <v>1963</v>
      </c>
      <c r="T634" t="s">
        <v>2022</v>
      </c>
      <c r="U634" t="s">
        <v>2023</v>
      </c>
      <c r="V634" t="s">
        <v>1964</v>
      </c>
      <c r="W634" t="s">
        <v>2024</v>
      </c>
      <c r="X634" t="s">
        <v>2025</v>
      </c>
      <c r="Y634" t="s">
        <v>2026</v>
      </c>
      <c r="Z634" t="s">
        <v>446</v>
      </c>
      <c r="AA634" t="s">
        <v>274</v>
      </c>
      <c r="AB634" t="s">
        <v>446</v>
      </c>
      <c r="AC634" t="b">
        <v>0</v>
      </c>
      <c r="AD634" t="b">
        <v>1</v>
      </c>
    </row>
    <row r="635" spans="1:30" x14ac:dyDescent="0.25">
      <c r="A635" t="s">
        <v>42</v>
      </c>
      <c r="B635" t="s">
        <v>1199</v>
      </c>
      <c r="C635" t="s">
        <v>274</v>
      </c>
      <c r="D635" t="s">
        <v>427</v>
      </c>
      <c r="E635" t="s">
        <v>998</v>
      </c>
      <c r="F635">
        <v>-143</v>
      </c>
      <c r="G635" t="s">
        <v>2019</v>
      </c>
      <c r="H635" t="s">
        <v>2029</v>
      </c>
      <c r="I635" t="s">
        <v>2030</v>
      </c>
      <c r="J635" t="s">
        <v>1110</v>
      </c>
      <c r="K635" t="s">
        <v>1003</v>
      </c>
      <c r="L635" t="s">
        <v>2031</v>
      </c>
      <c r="M635" t="s">
        <v>1000</v>
      </c>
      <c r="N635" t="s">
        <v>1004</v>
      </c>
      <c r="O635" t="s">
        <v>1949</v>
      </c>
      <c r="P635" t="s">
        <v>1001</v>
      </c>
      <c r="Q635" t="b">
        <v>1</v>
      </c>
      <c r="R635" t="b">
        <v>0</v>
      </c>
      <c r="S635" t="s">
        <v>1963</v>
      </c>
      <c r="T635" t="s">
        <v>2022</v>
      </c>
      <c r="U635" t="s">
        <v>2023</v>
      </c>
      <c r="V635" t="s">
        <v>1964</v>
      </c>
      <c r="W635" t="s">
        <v>2024</v>
      </c>
      <c r="X635" t="s">
        <v>446</v>
      </c>
      <c r="Y635" t="s">
        <v>446</v>
      </c>
      <c r="Z635" t="s">
        <v>446</v>
      </c>
      <c r="AA635" t="s">
        <v>274</v>
      </c>
      <c r="AB635" t="s">
        <v>446</v>
      </c>
      <c r="AC635" t="b">
        <v>0</v>
      </c>
      <c r="AD635" t="b">
        <v>1</v>
      </c>
    </row>
    <row r="636" spans="1:30" x14ac:dyDescent="0.25">
      <c r="A636" t="s">
        <v>42</v>
      </c>
      <c r="B636" t="s">
        <v>1200</v>
      </c>
      <c r="C636" t="s">
        <v>274</v>
      </c>
      <c r="D636" t="s">
        <v>427</v>
      </c>
      <c r="E636" t="s">
        <v>1006</v>
      </c>
      <c r="F636">
        <v>-1573</v>
      </c>
      <c r="G636" t="s">
        <v>2019</v>
      </c>
      <c r="H636" t="s">
        <v>2032</v>
      </c>
      <c r="I636" t="s">
        <v>2021</v>
      </c>
      <c r="J636" t="s">
        <v>1110</v>
      </c>
      <c r="K636" t="s">
        <v>1967</v>
      </c>
      <c r="L636" t="s">
        <v>1968</v>
      </c>
      <c r="M636" t="s">
        <v>980</v>
      </c>
      <c r="N636" t="s">
        <v>1969</v>
      </c>
      <c r="O636" t="s">
        <v>1970</v>
      </c>
      <c r="P636" t="s">
        <v>1009</v>
      </c>
      <c r="Q636" t="b">
        <v>1</v>
      </c>
      <c r="R636" t="b">
        <v>0</v>
      </c>
      <c r="S636" t="s">
        <v>1963</v>
      </c>
      <c r="T636" t="s">
        <v>2022</v>
      </c>
      <c r="U636" t="s">
        <v>2023</v>
      </c>
      <c r="V636" t="s">
        <v>1964</v>
      </c>
      <c r="W636" t="s">
        <v>2024</v>
      </c>
      <c r="X636" t="s">
        <v>2025</v>
      </c>
      <c r="Y636" t="s">
        <v>2026</v>
      </c>
      <c r="Z636" t="s">
        <v>446</v>
      </c>
      <c r="AA636" t="s">
        <v>274</v>
      </c>
      <c r="AB636" t="s">
        <v>446</v>
      </c>
      <c r="AC636" t="b">
        <v>0</v>
      </c>
      <c r="AD636" t="b">
        <v>1</v>
      </c>
    </row>
    <row r="637" spans="1:30" x14ac:dyDescent="0.25">
      <c r="A637" t="s">
        <v>42</v>
      </c>
      <c r="B637" t="s">
        <v>1201</v>
      </c>
      <c r="C637" t="s">
        <v>274</v>
      </c>
      <c r="D637" t="s">
        <v>427</v>
      </c>
      <c r="E637" t="s">
        <v>1013</v>
      </c>
      <c r="F637">
        <v>0</v>
      </c>
      <c r="G637" t="s">
        <v>2012</v>
      </c>
      <c r="H637" t="s">
        <v>2033</v>
      </c>
      <c r="I637" t="s">
        <v>2034</v>
      </c>
      <c r="J637" t="s">
        <v>1110</v>
      </c>
      <c r="K637" t="s">
        <v>446</v>
      </c>
      <c r="L637" t="s">
        <v>446</v>
      </c>
      <c r="M637" t="s">
        <v>446</v>
      </c>
      <c r="N637" t="s">
        <v>446</v>
      </c>
      <c r="O637" t="s">
        <v>446</v>
      </c>
      <c r="P637" t="s">
        <v>446</v>
      </c>
      <c r="Q637" t="b">
        <v>1</v>
      </c>
      <c r="R637" t="b">
        <v>0</v>
      </c>
      <c r="S637" t="s">
        <v>1950</v>
      </c>
      <c r="T637" t="s">
        <v>446</v>
      </c>
      <c r="U637" t="s">
        <v>1951</v>
      </c>
      <c r="V637" t="s">
        <v>1980</v>
      </c>
      <c r="W637" t="s">
        <v>2015</v>
      </c>
      <c r="X637" t="s">
        <v>446</v>
      </c>
      <c r="Y637" t="s">
        <v>446</v>
      </c>
      <c r="Z637" t="s">
        <v>446</v>
      </c>
      <c r="AA637" t="s">
        <v>274</v>
      </c>
      <c r="AB637" t="s">
        <v>446</v>
      </c>
      <c r="AC637" t="b">
        <v>0</v>
      </c>
      <c r="AD637" t="b">
        <v>1</v>
      </c>
    </row>
    <row r="638" spans="1:30" x14ac:dyDescent="0.25">
      <c r="A638" t="s">
        <v>42</v>
      </c>
      <c r="B638" t="s">
        <v>1202</v>
      </c>
      <c r="C638" t="s">
        <v>274</v>
      </c>
      <c r="D638" t="s">
        <v>427</v>
      </c>
      <c r="E638" t="s">
        <v>1018</v>
      </c>
      <c r="F638">
        <v>0</v>
      </c>
      <c r="G638" t="s">
        <v>2012</v>
      </c>
      <c r="H638" t="s">
        <v>2033</v>
      </c>
      <c r="I638" t="s">
        <v>2034</v>
      </c>
      <c r="J638" t="s">
        <v>1110</v>
      </c>
      <c r="K638" t="s">
        <v>446</v>
      </c>
      <c r="L638" t="s">
        <v>446</v>
      </c>
      <c r="M638" t="s">
        <v>446</v>
      </c>
      <c r="N638" t="s">
        <v>446</v>
      </c>
      <c r="O638" t="s">
        <v>446</v>
      </c>
      <c r="P638" t="s">
        <v>446</v>
      </c>
      <c r="Q638" t="b">
        <v>1</v>
      </c>
      <c r="R638" t="b">
        <v>0</v>
      </c>
      <c r="S638" t="s">
        <v>1950</v>
      </c>
      <c r="T638" t="s">
        <v>446</v>
      </c>
      <c r="U638" t="s">
        <v>1951</v>
      </c>
      <c r="V638" t="s">
        <v>1980</v>
      </c>
      <c r="W638" t="s">
        <v>2015</v>
      </c>
      <c r="X638" t="s">
        <v>446</v>
      </c>
      <c r="Y638" t="s">
        <v>446</v>
      </c>
      <c r="Z638" t="s">
        <v>446</v>
      </c>
      <c r="AA638" t="s">
        <v>274</v>
      </c>
      <c r="AB638" t="s">
        <v>446</v>
      </c>
      <c r="AC638" t="b">
        <v>0</v>
      </c>
      <c r="AD638" t="b">
        <v>1</v>
      </c>
    </row>
    <row r="639" spans="1:30" x14ac:dyDescent="0.25">
      <c r="A639" t="s">
        <v>42</v>
      </c>
      <c r="B639" t="s">
        <v>1203</v>
      </c>
      <c r="C639" t="s">
        <v>274</v>
      </c>
      <c r="D639" t="s">
        <v>427</v>
      </c>
      <c r="E639" t="s">
        <v>1023</v>
      </c>
      <c r="F639">
        <v>-5196</v>
      </c>
      <c r="G639" t="s">
        <v>2012</v>
      </c>
      <c r="H639" t="s">
        <v>2035</v>
      </c>
      <c r="I639" t="s">
        <v>2036</v>
      </c>
      <c r="J639" t="s">
        <v>1110</v>
      </c>
      <c r="K639" t="s">
        <v>1026</v>
      </c>
      <c r="L639" t="s">
        <v>2037</v>
      </c>
      <c r="M639" t="s">
        <v>446</v>
      </c>
      <c r="N639" t="s">
        <v>446</v>
      </c>
      <c r="O639" t="s">
        <v>1970</v>
      </c>
      <c r="P639" t="s">
        <v>1025</v>
      </c>
      <c r="Q639" t="b">
        <v>1</v>
      </c>
      <c r="R639" t="b">
        <v>0</v>
      </c>
      <c r="S639" t="s">
        <v>1950</v>
      </c>
      <c r="T639" t="s">
        <v>446</v>
      </c>
      <c r="U639" t="s">
        <v>1951</v>
      </c>
      <c r="V639" t="s">
        <v>1980</v>
      </c>
      <c r="W639" t="s">
        <v>1952</v>
      </c>
      <c r="X639" t="s">
        <v>2038</v>
      </c>
      <c r="Y639" t="s">
        <v>2036</v>
      </c>
      <c r="Z639" t="s">
        <v>2039</v>
      </c>
      <c r="AA639" t="s">
        <v>2040</v>
      </c>
      <c r="AB639" t="s">
        <v>2041</v>
      </c>
      <c r="AC639" t="b">
        <v>0</v>
      </c>
      <c r="AD639" t="b">
        <v>1</v>
      </c>
    </row>
    <row r="640" spans="1:30" x14ac:dyDescent="0.25">
      <c r="A640" t="s">
        <v>42</v>
      </c>
      <c r="B640" t="s">
        <v>1204</v>
      </c>
      <c r="C640" t="s">
        <v>274</v>
      </c>
      <c r="D640" t="s">
        <v>427</v>
      </c>
      <c r="E640" t="s">
        <v>1029</v>
      </c>
      <c r="F640">
        <v>0</v>
      </c>
      <c r="G640" t="s">
        <v>2012</v>
      </c>
      <c r="H640" t="s">
        <v>2033</v>
      </c>
      <c r="I640" t="s">
        <v>2034</v>
      </c>
      <c r="J640" t="s">
        <v>1110</v>
      </c>
      <c r="K640" t="s">
        <v>446</v>
      </c>
      <c r="L640" t="s">
        <v>446</v>
      </c>
      <c r="M640" t="s">
        <v>446</v>
      </c>
      <c r="N640" t="s">
        <v>446</v>
      </c>
      <c r="O640" t="s">
        <v>446</v>
      </c>
      <c r="P640" t="s">
        <v>446</v>
      </c>
      <c r="Q640" t="b">
        <v>1</v>
      </c>
      <c r="R640" t="b">
        <v>0</v>
      </c>
      <c r="S640" t="s">
        <v>1950</v>
      </c>
      <c r="T640" t="s">
        <v>446</v>
      </c>
      <c r="U640" t="s">
        <v>1951</v>
      </c>
      <c r="V640" t="s">
        <v>1980</v>
      </c>
      <c r="W640" t="s">
        <v>2015</v>
      </c>
      <c r="X640" t="s">
        <v>446</v>
      </c>
      <c r="Y640" t="s">
        <v>446</v>
      </c>
      <c r="Z640" t="s">
        <v>446</v>
      </c>
      <c r="AA640" t="s">
        <v>274</v>
      </c>
      <c r="AB640" t="s">
        <v>446</v>
      </c>
      <c r="AC640" t="b">
        <v>0</v>
      </c>
      <c r="AD640" t="b">
        <v>1</v>
      </c>
    </row>
    <row r="641" spans="1:30" x14ac:dyDescent="0.25">
      <c r="A641" t="s">
        <v>42</v>
      </c>
      <c r="B641" t="s">
        <v>1205</v>
      </c>
      <c r="C641" t="s">
        <v>274</v>
      </c>
      <c r="D641" t="s">
        <v>427</v>
      </c>
      <c r="E641" t="s">
        <v>1035</v>
      </c>
      <c r="F641">
        <v>0</v>
      </c>
      <c r="G641" t="s">
        <v>2012</v>
      </c>
      <c r="H641" t="s">
        <v>2033</v>
      </c>
      <c r="I641" t="s">
        <v>2034</v>
      </c>
      <c r="J641" t="s">
        <v>1110</v>
      </c>
      <c r="K641" t="s">
        <v>446</v>
      </c>
      <c r="L641" t="s">
        <v>446</v>
      </c>
      <c r="M641" t="s">
        <v>446</v>
      </c>
      <c r="N641" t="s">
        <v>446</v>
      </c>
      <c r="O641" t="s">
        <v>446</v>
      </c>
      <c r="P641" t="s">
        <v>446</v>
      </c>
      <c r="Q641" t="b">
        <v>1</v>
      </c>
      <c r="R641" t="b">
        <v>0</v>
      </c>
      <c r="S641" t="s">
        <v>1950</v>
      </c>
      <c r="T641" t="s">
        <v>446</v>
      </c>
      <c r="U641" t="s">
        <v>1951</v>
      </c>
      <c r="V641" t="s">
        <v>1980</v>
      </c>
      <c r="W641" t="s">
        <v>2015</v>
      </c>
      <c r="X641" t="s">
        <v>446</v>
      </c>
      <c r="Y641" t="s">
        <v>446</v>
      </c>
      <c r="Z641" t="s">
        <v>446</v>
      </c>
      <c r="AA641" t="s">
        <v>274</v>
      </c>
      <c r="AB641" t="s">
        <v>446</v>
      </c>
      <c r="AC641" t="b">
        <v>0</v>
      </c>
      <c r="AD641" t="b">
        <v>1</v>
      </c>
    </row>
    <row r="642" spans="1:30" x14ac:dyDescent="0.25">
      <c r="A642" t="s">
        <v>42</v>
      </c>
      <c r="B642" t="s">
        <v>1206</v>
      </c>
      <c r="C642" t="s">
        <v>274</v>
      </c>
      <c r="D642" t="s">
        <v>427</v>
      </c>
      <c r="E642" t="s">
        <v>1040</v>
      </c>
      <c r="F642">
        <v>0</v>
      </c>
      <c r="G642" t="s">
        <v>2012</v>
      </c>
      <c r="H642" t="s">
        <v>2033</v>
      </c>
      <c r="I642" t="s">
        <v>2034</v>
      </c>
      <c r="J642" t="s">
        <v>1110</v>
      </c>
      <c r="K642" t="s">
        <v>446</v>
      </c>
      <c r="L642" t="s">
        <v>446</v>
      </c>
      <c r="M642" t="s">
        <v>446</v>
      </c>
      <c r="N642" t="s">
        <v>446</v>
      </c>
      <c r="O642" t="s">
        <v>446</v>
      </c>
      <c r="P642" t="s">
        <v>446</v>
      </c>
      <c r="Q642" t="b">
        <v>1</v>
      </c>
      <c r="R642" t="b">
        <v>0</v>
      </c>
      <c r="S642" t="s">
        <v>1950</v>
      </c>
      <c r="T642" t="s">
        <v>446</v>
      </c>
      <c r="U642" t="s">
        <v>1951</v>
      </c>
      <c r="V642" t="s">
        <v>1980</v>
      </c>
      <c r="W642" t="s">
        <v>2015</v>
      </c>
      <c r="X642" t="s">
        <v>446</v>
      </c>
      <c r="Y642" t="s">
        <v>446</v>
      </c>
      <c r="Z642" t="s">
        <v>446</v>
      </c>
      <c r="AA642" t="s">
        <v>274</v>
      </c>
      <c r="AB642" t="s">
        <v>446</v>
      </c>
      <c r="AC642" t="b">
        <v>0</v>
      </c>
      <c r="AD642" t="b">
        <v>1</v>
      </c>
    </row>
    <row r="643" spans="1:30" x14ac:dyDescent="0.25">
      <c r="A643" t="s">
        <v>42</v>
      </c>
      <c r="B643" t="s">
        <v>1207</v>
      </c>
      <c r="C643" t="s">
        <v>274</v>
      </c>
      <c r="D643" t="s">
        <v>427</v>
      </c>
      <c r="E643" t="s">
        <v>1045</v>
      </c>
      <c r="F643">
        <v>-4974</v>
      </c>
      <c r="G643" t="s">
        <v>2012</v>
      </c>
      <c r="H643" t="s">
        <v>2042</v>
      </c>
      <c r="I643" t="s">
        <v>2036</v>
      </c>
      <c r="J643" t="s">
        <v>1110</v>
      </c>
      <c r="K643" t="s">
        <v>1048</v>
      </c>
      <c r="L643" t="s">
        <v>2043</v>
      </c>
      <c r="M643" t="s">
        <v>446</v>
      </c>
      <c r="N643" t="s">
        <v>446</v>
      </c>
      <c r="O643" t="s">
        <v>1983</v>
      </c>
      <c r="P643" t="s">
        <v>1047</v>
      </c>
      <c r="Q643" t="b">
        <v>1</v>
      </c>
      <c r="R643" t="b">
        <v>0</v>
      </c>
      <c r="S643" t="s">
        <v>1950</v>
      </c>
      <c r="T643" t="s">
        <v>446</v>
      </c>
      <c r="U643" t="s">
        <v>1951</v>
      </c>
      <c r="V643" t="s">
        <v>1980</v>
      </c>
      <c r="W643" t="s">
        <v>1952</v>
      </c>
      <c r="X643" t="s">
        <v>2038</v>
      </c>
      <c r="Y643" t="s">
        <v>2036</v>
      </c>
      <c r="Z643" t="s">
        <v>2039</v>
      </c>
      <c r="AA643" t="s">
        <v>2040</v>
      </c>
      <c r="AB643" t="s">
        <v>2041</v>
      </c>
      <c r="AC643" t="b">
        <v>0</v>
      </c>
      <c r="AD643" t="b">
        <v>1</v>
      </c>
    </row>
    <row r="644" spans="1:30" x14ac:dyDescent="0.25">
      <c r="A644" t="s">
        <v>42</v>
      </c>
      <c r="B644" t="s">
        <v>1208</v>
      </c>
      <c r="C644" t="s">
        <v>274</v>
      </c>
      <c r="D644" t="s">
        <v>427</v>
      </c>
      <c r="E644" t="s">
        <v>1051</v>
      </c>
      <c r="F644">
        <v>0</v>
      </c>
      <c r="G644" t="s">
        <v>2012</v>
      </c>
      <c r="H644" t="s">
        <v>2033</v>
      </c>
      <c r="I644" t="s">
        <v>2034</v>
      </c>
      <c r="J644" t="s">
        <v>1110</v>
      </c>
      <c r="K644" t="s">
        <v>446</v>
      </c>
      <c r="L644" t="s">
        <v>446</v>
      </c>
      <c r="M644" t="s">
        <v>446</v>
      </c>
      <c r="N644" t="s">
        <v>446</v>
      </c>
      <c r="O644" t="s">
        <v>446</v>
      </c>
      <c r="P644" t="s">
        <v>446</v>
      </c>
      <c r="Q644" t="b">
        <v>1</v>
      </c>
      <c r="R644" t="b">
        <v>0</v>
      </c>
      <c r="S644" t="s">
        <v>1950</v>
      </c>
      <c r="T644" t="s">
        <v>446</v>
      </c>
      <c r="U644" t="s">
        <v>1951</v>
      </c>
      <c r="V644" t="s">
        <v>1980</v>
      </c>
      <c r="W644" t="s">
        <v>2015</v>
      </c>
      <c r="X644" t="s">
        <v>446</v>
      </c>
      <c r="Y644" t="s">
        <v>446</v>
      </c>
      <c r="Z644" t="s">
        <v>446</v>
      </c>
      <c r="AA644" t="s">
        <v>274</v>
      </c>
      <c r="AB644" t="s">
        <v>446</v>
      </c>
      <c r="AC644" t="b">
        <v>0</v>
      </c>
      <c r="AD644" t="b">
        <v>1</v>
      </c>
    </row>
    <row r="645" spans="1:30" x14ac:dyDescent="0.25">
      <c r="A645" t="s">
        <v>42</v>
      </c>
      <c r="B645" t="s">
        <v>1209</v>
      </c>
      <c r="C645" t="s">
        <v>276</v>
      </c>
      <c r="D645" t="s">
        <v>427</v>
      </c>
      <c r="E645" t="s">
        <v>978</v>
      </c>
      <c r="F645">
        <v>168</v>
      </c>
      <c r="G645" t="s">
        <v>1945</v>
      </c>
      <c r="H645" t="s">
        <v>2044</v>
      </c>
      <c r="I645" t="s">
        <v>2045</v>
      </c>
      <c r="J645" t="s">
        <v>1110</v>
      </c>
      <c r="K645" t="s">
        <v>984</v>
      </c>
      <c r="L645" t="s">
        <v>1948</v>
      </c>
      <c r="M645" t="s">
        <v>980</v>
      </c>
      <c r="N645" t="s">
        <v>985</v>
      </c>
      <c r="O645" t="s">
        <v>1949</v>
      </c>
      <c r="P645" t="s">
        <v>981</v>
      </c>
      <c r="Q645" t="b">
        <v>1</v>
      </c>
      <c r="R645" t="b">
        <v>0</v>
      </c>
      <c r="S645" t="s">
        <v>1950</v>
      </c>
      <c r="T645" t="s">
        <v>446</v>
      </c>
      <c r="U645" t="s">
        <v>1951</v>
      </c>
      <c r="V645" t="s">
        <v>1093</v>
      </c>
      <c r="W645" t="s">
        <v>1952</v>
      </c>
      <c r="X645" t="s">
        <v>2046</v>
      </c>
      <c r="Y645" t="s">
        <v>2047</v>
      </c>
      <c r="Z645" t="s">
        <v>446</v>
      </c>
      <c r="AA645" t="s">
        <v>276</v>
      </c>
      <c r="AB645" t="s">
        <v>446</v>
      </c>
      <c r="AC645" t="b">
        <v>0</v>
      </c>
      <c r="AD645" t="b">
        <v>1</v>
      </c>
    </row>
    <row r="646" spans="1:30" x14ac:dyDescent="0.25">
      <c r="A646" t="s">
        <v>42</v>
      </c>
      <c r="B646" t="s">
        <v>1210</v>
      </c>
      <c r="C646" t="s">
        <v>276</v>
      </c>
      <c r="D646" t="s">
        <v>427</v>
      </c>
      <c r="E646" t="s">
        <v>986</v>
      </c>
      <c r="F646">
        <v>224</v>
      </c>
      <c r="G646" t="s">
        <v>1945</v>
      </c>
      <c r="H646" t="s">
        <v>2048</v>
      </c>
      <c r="I646" t="s">
        <v>2045</v>
      </c>
      <c r="J646" t="s">
        <v>1110</v>
      </c>
      <c r="K646" t="s">
        <v>990</v>
      </c>
      <c r="L646" t="s">
        <v>1955</v>
      </c>
      <c r="M646" t="s">
        <v>980</v>
      </c>
      <c r="N646" t="s">
        <v>991</v>
      </c>
      <c r="O646" t="s">
        <v>1956</v>
      </c>
      <c r="P646" t="s">
        <v>988</v>
      </c>
      <c r="Q646" t="b">
        <v>1</v>
      </c>
      <c r="R646" t="b">
        <v>0</v>
      </c>
      <c r="S646" t="s">
        <v>1950</v>
      </c>
      <c r="T646" t="s">
        <v>446</v>
      </c>
      <c r="U646" t="s">
        <v>1951</v>
      </c>
      <c r="V646" t="s">
        <v>1093</v>
      </c>
      <c r="W646" t="s">
        <v>1952</v>
      </c>
      <c r="X646" t="s">
        <v>2046</v>
      </c>
      <c r="Y646" t="s">
        <v>2047</v>
      </c>
      <c r="Z646" t="s">
        <v>446</v>
      </c>
      <c r="AA646" t="s">
        <v>276</v>
      </c>
      <c r="AB646" t="s">
        <v>446</v>
      </c>
      <c r="AC646" t="b">
        <v>0</v>
      </c>
      <c r="AD646" t="b">
        <v>1</v>
      </c>
    </row>
    <row r="647" spans="1:30" x14ac:dyDescent="0.25">
      <c r="A647" t="s">
        <v>42</v>
      </c>
      <c r="B647" t="s">
        <v>1211</v>
      </c>
      <c r="C647" t="s">
        <v>276</v>
      </c>
      <c r="D647" t="s">
        <v>427</v>
      </c>
      <c r="E647" t="s">
        <v>992</v>
      </c>
      <c r="F647">
        <v>248</v>
      </c>
      <c r="G647" t="s">
        <v>1945</v>
      </c>
      <c r="H647" t="s">
        <v>2049</v>
      </c>
      <c r="I647" t="s">
        <v>2045</v>
      </c>
      <c r="J647" t="s">
        <v>1110</v>
      </c>
      <c r="K647" t="s">
        <v>996</v>
      </c>
      <c r="L647" t="s">
        <v>1958</v>
      </c>
      <c r="M647" t="s">
        <v>980</v>
      </c>
      <c r="N647" t="s">
        <v>997</v>
      </c>
      <c r="O647" t="s">
        <v>1959</v>
      </c>
      <c r="P647" t="s">
        <v>994</v>
      </c>
      <c r="Q647" t="b">
        <v>1</v>
      </c>
      <c r="R647" t="b">
        <v>0</v>
      </c>
      <c r="S647" t="s">
        <v>1950</v>
      </c>
      <c r="T647" t="s">
        <v>446</v>
      </c>
      <c r="U647" t="s">
        <v>1951</v>
      </c>
      <c r="V647" t="s">
        <v>1093</v>
      </c>
      <c r="W647" t="s">
        <v>1952</v>
      </c>
      <c r="X647" t="s">
        <v>2046</v>
      </c>
      <c r="Y647" t="s">
        <v>2047</v>
      </c>
      <c r="Z647" t="s">
        <v>446</v>
      </c>
      <c r="AA647" t="s">
        <v>276</v>
      </c>
      <c r="AB647" t="s">
        <v>446</v>
      </c>
      <c r="AC647" t="b">
        <v>0</v>
      </c>
      <c r="AD647" t="b">
        <v>1</v>
      </c>
    </row>
    <row r="648" spans="1:30" x14ac:dyDescent="0.25">
      <c r="A648" t="s">
        <v>42</v>
      </c>
      <c r="B648" t="s">
        <v>1212</v>
      </c>
      <c r="C648" t="s">
        <v>276</v>
      </c>
      <c r="D648" t="s">
        <v>427</v>
      </c>
      <c r="E648" t="s">
        <v>998</v>
      </c>
      <c r="F648">
        <v>267</v>
      </c>
      <c r="G648" t="s">
        <v>1945</v>
      </c>
      <c r="H648" t="s">
        <v>2050</v>
      </c>
      <c r="I648" t="s">
        <v>2051</v>
      </c>
      <c r="J648" t="s">
        <v>1110</v>
      </c>
      <c r="K648" t="s">
        <v>1003</v>
      </c>
      <c r="L648" t="s">
        <v>2031</v>
      </c>
      <c r="M648" t="s">
        <v>1000</v>
      </c>
      <c r="N648" t="s">
        <v>1004</v>
      </c>
      <c r="O648" t="s">
        <v>1949</v>
      </c>
      <c r="P648" t="s">
        <v>1001</v>
      </c>
      <c r="Q648" t="b">
        <v>1</v>
      </c>
      <c r="R648" t="b">
        <v>0</v>
      </c>
      <c r="S648" t="s">
        <v>1950</v>
      </c>
      <c r="T648" t="s">
        <v>446</v>
      </c>
      <c r="U648" t="s">
        <v>1951</v>
      </c>
      <c r="V648" t="s">
        <v>1980</v>
      </c>
      <c r="W648" t="s">
        <v>1952</v>
      </c>
      <c r="X648" t="s">
        <v>446</v>
      </c>
      <c r="Y648" t="s">
        <v>446</v>
      </c>
      <c r="Z648" t="s">
        <v>446</v>
      </c>
      <c r="AA648" t="s">
        <v>276</v>
      </c>
      <c r="AB648" t="s">
        <v>446</v>
      </c>
      <c r="AC648" t="b">
        <v>0</v>
      </c>
      <c r="AD648" t="b">
        <v>1</v>
      </c>
    </row>
    <row r="649" spans="1:30" x14ac:dyDescent="0.25">
      <c r="A649" t="s">
        <v>42</v>
      </c>
      <c r="B649" t="s">
        <v>1213</v>
      </c>
      <c r="C649" t="s">
        <v>276</v>
      </c>
      <c r="D649" t="s">
        <v>427</v>
      </c>
      <c r="E649" t="s">
        <v>1006</v>
      </c>
      <c r="F649">
        <v>246</v>
      </c>
      <c r="G649" t="s">
        <v>1945</v>
      </c>
      <c r="H649" t="s">
        <v>2052</v>
      </c>
      <c r="I649" t="s">
        <v>2045</v>
      </c>
      <c r="J649" t="s">
        <v>1110</v>
      </c>
      <c r="K649" t="s">
        <v>1967</v>
      </c>
      <c r="L649" t="s">
        <v>1968</v>
      </c>
      <c r="M649" t="s">
        <v>980</v>
      </c>
      <c r="N649" t="s">
        <v>1969</v>
      </c>
      <c r="O649" t="s">
        <v>1970</v>
      </c>
      <c r="P649" t="s">
        <v>1009</v>
      </c>
      <c r="Q649" t="b">
        <v>1</v>
      </c>
      <c r="R649" t="b">
        <v>0</v>
      </c>
      <c r="S649" t="s">
        <v>1950</v>
      </c>
      <c r="T649" t="s">
        <v>446</v>
      </c>
      <c r="U649" t="s">
        <v>1951</v>
      </c>
      <c r="V649" t="s">
        <v>1093</v>
      </c>
      <c r="W649" t="s">
        <v>1952</v>
      </c>
      <c r="X649" t="s">
        <v>2046</v>
      </c>
      <c r="Y649" t="s">
        <v>2047</v>
      </c>
      <c r="Z649" t="s">
        <v>446</v>
      </c>
      <c r="AA649" t="s">
        <v>276</v>
      </c>
      <c r="AB649" t="s">
        <v>446</v>
      </c>
      <c r="AC649" t="b">
        <v>0</v>
      </c>
      <c r="AD649" t="b">
        <v>1</v>
      </c>
    </row>
    <row r="650" spans="1:30" x14ac:dyDescent="0.25">
      <c r="A650" t="s">
        <v>42</v>
      </c>
      <c r="B650" t="s">
        <v>1214</v>
      </c>
      <c r="C650" t="s">
        <v>276</v>
      </c>
      <c r="D650" t="s">
        <v>427</v>
      </c>
      <c r="E650" t="s">
        <v>1013</v>
      </c>
      <c r="F650">
        <v>275</v>
      </c>
      <c r="G650" t="s">
        <v>1945</v>
      </c>
      <c r="H650" t="s">
        <v>2053</v>
      </c>
      <c r="I650" t="s">
        <v>2045</v>
      </c>
      <c r="J650" t="s">
        <v>1110</v>
      </c>
      <c r="K650" t="s">
        <v>1016</v>
      </c>
      <c r="L650" t="s">
        <v>1972</v>
      </c>
      <c r="M650" t="s">
        <v>980</v>
      </c>
      <c r="N650" t="s">
        <v>1017</v>
      </c>
      <c r="O650" t="s">
        <v>1973</v>
      </c>
      <c r="P650" t="s">
        <v>1015</v>
      </c>
      <c r="Q650" t="b">
        <v>1</v>
      </c>
      <c r="R650" t="b">
        <v>0</v>
      </c>
      <c r="S650" t="s">
        <v>1950</v>
      </c>
      <c r="T650" t="s">
        <v>446</v>
      </c>
      <c r="U650" t="s">
        <v>1951</v>
      </c>
      <c r="V650" t="s">
        <v>1093</v>
      </c>
      <c r="W650" t="s">
        <v>1952</v>
      </c>
      <c r="X650" t="s">
        <v>2046</v>
      </c>
      <c r="Y650" t="s">
        <v>2047</v>
      </c>
      <c r="Z650" t="s">
        <v>446</v>
      </c>
      <c r="AA650" t="s">
        <v>276</v>
      </c>
      <c r="AB650" t="s">
        <v>446</v>
      </c>
      <c r="AC650" t="b">
        <v>0</v>
      </c>
      <c r="AD650" t="b">
        <v>1</v>
      </c>
    </row>
    <row r="651" spans="1:30" x14ac:dyDescent="0.25">
      <c r="A651" t="s">
        <v>42</v>
      </c>
      <c r="B651" t="s">
        <v>1215</v>
      </c>
      <c r="C651" t="s">
        <v>276</v>
      </c>
      <c r="D651" t="s">
        <v>427</v>
      </c>
      <c r="E651" t="s">
        <v>1018</v>
      </c>
      <c r="F651">
        <v>263</v>
      </c>
      <c r="G651" t="s">
        <v>1945</v>
      </c>
      <c r="H651" t="s">
        <v>2054</v>
      </c>
      <c r="I651" t="s">
        <v>2045</v>
      </c>
      <c r="J651" t="s">
        <v>1110</v>
      </c>
      <c r="K651" t="s">
        <v>1021</v>
      </c>
      <c r="L651" t="s">
        <v>1975</v>
      </c>
      <c r="M651" t="s">
        <v>980</v>
      </c>
      <c r="N651" t="s">
        <v>1022</v>
      </c>
      <c r="O651" t="s">
        <v>1976</v>
      </c>
      <c r="P651" t="s">
        <v>1020</v>
      </c>
      <c r="Q651" t="b">
        <v>1</v>
      </c>
      <c r="R651" t="b">
        <v>0</v>
      </c>
      <c r="S651" t="s">
        <v>1950</v>
      </c>
      <c r="T651" t="s">
        <v>446</v>
      </c>
      <c r="U651" t="s">
        <v>1951</v>
      </c>
      <c r="V651" t="s">
        <v>1093</v>
      </c>
      <c r="W651" t="s">
        <v>1952</v>
      </c>
      <c r="X651" t="s">
        <v>2046</v>
      </c>
      <c r="Y651" t="s">
        <v>2047</v>
      </c>
      <c r="Z651" t="s">
        <v>446</v>
      </c>
      <c r="AA651" t="s">
        <v>276</v>
      </c>
      <c r="AB651" t="s">
        <v>446</v>
      </c>
      <c r="AC651" t="b">
        <v>0</v>
      </c>
      <c r="AD651" t="b">
        <v>1</v>
      </c>
    </row>
    <row r="652" spans="1:30" x14ac:dyDescent="0.25">
      <c r="A652" t="s">
        <v>42</v>
      </c>
      <c r="B652" t="s">
        <v>1216</v>
      </c>
      <c r="C652" t="s">
        <v>276</v>
      </c>
      <c r="D652" t="s">
        <v>427</v>
      </c>
      <c r="E652" t="s">
        <v>1023</v>
      </c>
      <c r="F652">
        <v>204</v>
      </c>
      <c r="G652" t="s">
        <v>1945</v>
      </c>
      <c r="H652" t="s">
        <v>2055</v>
      </c>
      <c r="I652" t="s">
        <v>2051</v>
      </c>
      <c r="J652" t="s">
        <v>1110</v>
      </c>
      <c r="K652" t="s">
        <v>1026</v>
      </c>
      <c r="L652" t="s">
        <v>1979</v>
      </c>
      <c r="M652" t="s">
        <v>1000</v>
      </c>
      <c r="N652" t="s">
        <v>1027</v>
      </c>
      <c r="O652" t="s">
        <v>1970</v>
      </c>
      <c r="P652" t="s">
        <v>1025</v>
      </c>
      <c r="Q652" t="b">
        <v>1</v>
      </c>
      <c r="R652" t="b">
        <v>0</v>
      </c>
      <c r="S652" t="s">
        <v>1950</v>
      </c>
      <c r="T652" t="s">
        <v>446</v>
      </c>
      <c r="U652" t="s">
        <v>1951</v>
      </c>
      <c r="V652" t="s">
        <v>1980</v>
      </c>
      <c r="W652" t="s">
        <v>1952</v>
      </c>
      <c r="X652" t="s">
        <v>446</v>
      </c>
      <c r="Y652" t="s">
        <v>446</v>
      </c>
      <c r="Z652" t="s">
        <v>446</v>
      </c>
      <c r="AA652" t="s">
        <v>276</v>
      </c>
      <c r="AB652" t="s">
        <v>446</v>
      </c>
      <c r="AC652" t="b">
        <v>0</v>
      </c>
      <c r="AD652" t="b">
        <v>1</v>
      </c>
    </row>
    <row r="653" spans="1:30" x14ac:dyDescent="0.25">
      <c r="A653" t="s">
        <v>42</v>
      </c>
      <c r="B653" t="s">
        <v>1217</v>
      </c>
      <c r="C653" t="s">
        <v>276</v>
      </c>
      <c r="D653" t="s">
        <v>427</v>
      </c>
      <c r="E653" t="s">
        <v>1029</v>
      </c>
      <c r="F653">
        <v>180</v>
      </c>
      <c r="G653" t="s">
        <v>1945</v>
      </c>
      <c r="H653" t="s">
        <v>2056</v>
      </c>
      <c r="I653" t="s">
        <v>2045</v>
      </c>
      <c r="J653" t="s">
        <v>1110</v>
      </c>
      <c r="K653" t="s">
        <v>1033</v>
      </c>
      <c r="L653" t="s">
        <v>1982</v>
      </c>
      <c r="M653" t="s">
        <v>980</v>
      </c>
      <c r="N653" t="s">
        <v>1034</v>
      </c>
      <c r="O653" t="s">
        <v>1983</v>
      </c>
      <c r="P653" t="s">
        <v>1031</v>
      </c>
      <c r="Q653" t="b">
        <v>1</v>
      </c>
      <c r="R653" t="b">
        <v>0</v>
      </c>
      <c r="S653" t="s">
        <v>1950</v>
      </c>
      <c r="T653" t="s">
        <v>446</v>
      </c>
      <c r="U653" t="s">
        <v>1951</v>
      </c>
      <c r="V653" t="s">
        <v>1093</v>
      </c>
      <c r="W653" t="s">
        <v>1952</v>
      </c>
      <c r="X653" t="s">
        <v>2046</v>
      </c>
      <c r="Y653" t="s">
        <v>2047</v>
      </c>
      <c r="Z653" t="s">
        <v>446</v>
      </c>
      <c r="AA653" t="s">
        <v>276</v>
      </c>
      <c r="AB653" t="s">
        <v>446</v>
      </c>
      <c r="AC653" t="b">
        <v>0</v>
      </c>
      <c r="AD653" t="b">
        <v>1</v>
      </c>
    </row>
    <row r="654" spans="1:30" x14ac:dyDescent="0.25">
      <c r="A654" t="s">
        <v>42</v>
      </c>
      <c r="B654" t="s">
        <v>1218</v>
      </c>
      <c r="C654" t="s">
        <v>276</v>
      </c>
      <c r="D654" t="s">
        <v>427</v>
      </c>
      <c r="E654" t="s">
        <v>1035</v>
      </c>
      <c r="F654">
        <v>188</v>
      </c>
      <c r="G654" t="s">
        <v>1945</v>
      </c>
      <c r="H654" t="s">
        <v>2057</v>
      </c>
      <c r="I654" t="s">
        <v>2045</v>
      </c>
      <c r="J654" t="s">
        <v>1110</v>
      </c>
      <c r="K654" t="s">
        <v>1038</v>
      </c>
      <c r="L654" t="s">
        <v>1985</v>
      </c>
      <c r="M654" t="s">
        <v>980</v>
      </c>
      <c r="N654" t="s">
        <v>1039</v>
      </c>
      <c r="O654" t="s">
        <v>1986</v>
      </c>
      <c r="P654" t="s">
        <v>1037</v>
      </c>
      <c r="Q654" t="b">
        <v>1</v>
      </c>
      <c r="R654" t="b">
        <v>0</v>
      </c>
      <c r="S654" t="s">
        <v>1950</v>
      </c>
      <c r="T654" t="s">
        <v>446</v>
      </c>
      <c r="U654" t="s">
        <v>1951</v>
      </c>
      <c r="V654" t="s">
        <v>1093</v>
      </c>
      <c r="W654" t="s">
        <v>1952</v>
      </c>
      <c r="X654" t="s">
        <v>2046</v>
      </c>
      <c r="Y654" t="s">
        <v>2047</v>
      </c>
      <c r="Z654" t="s">
        <v>446</v>
      </c>
      <c r="AA654" t="s">
        <v>276</v>
      </c>
      <c r="AB654" t="s">
        <v>446</v>
      </c>
      <c r="AC654" t="b">
        <v>0</v>
      </c>
      <c r="AD654" t="b">
        <v>1</v>
      </c>
    </row>
    <row r="655" spans="1:30" x14ac:dyDescent="0.25">
      <c r="A655" t="s">
        <v>42</v>
      </c>
      <c r="B655" t="s">
        <v>1219</v>
      </c>
      <c r="C655" t="s">
        <v>276</v>
      </c>
      <c r="D655" t="s">
        <v>427</v>
      </c>
      <c r="E655" t="s">
        <v>1040</v>
      </c>
      <c r="F655">
        <v>185</v>
      </c>
      <c r="G655" t="s">
        <v>1945</v>
      </c>
      <c r="H655" t="s">
        <v>2058</v>
      </c>
      <c r="I655" t="s">
        <v>2045</v>
      </c>
      <c r="J655" t="s">
        <v>1110</v>
      </c>
      <c r="K655" t="s">
        <v>1043</v>
      </c>
      <c r="L655" t="s">
        <v>1988</v>
      </c>
      <c r="M655" t="s">
        <v>980</v>
      </c>
      <c r="N655" t="s">
        <v>1044</v>
      </c>
      <c r="O655" t="s">
        <v>1989</v>
      </c>
      <c r="P655" t="s">
        <v>1042</v>
      </c>
      <c r="Q655" t="b">
        <v>1</v>
      </c>
      <c r="R655" t="b">
        <v>0</v>
      </c>
      <c r="S655" t="s">
        <v>1950</v>
      </c>
      <c r="T655" t="s">
        <v>446</v>
      </c>
      <c r="U655" t="s">
        <v>1951</v>
      </c>
      <c r="V655" t="s">
        <v>1093</v>
      </c>
      <c r="W655" t="s">
        <v>1952</v>
      </c>
      <c r="X655" t="s">
        <v>2046</v>
      </c>
      <c r="Y655" t="s">
        <v>2047</v>
      </c>
      <c r="Z655" t="s">
        <v>446</v>
      </c>
      <c r="AA655" t="s">
        <v>276</v>
      </c>
      <c r="AB655" t="s">
        <v>446</v>
      </c>
      <c r="AC655" t="b">
        <v>0</v>
      </c>
      <c r="AD655" t="b">
        <v>1</v>
      </c>
    </row>
    <row r="656" spans="1:30" x14ac:dyDescent="0.25">
      <c r="A656" t="s">
        <v>42</v>
      </c>
      <c r="B656" t="s">
        <v>1220</v>
      </c>
      <c r="C656" t="s">
        <v>276</v>
      </c>
      <c r="D656" t="s">
        <v>427</v>
      </c>
      <c r="E656" t="s">
        <v>1045</v>
      </c>
      <c r="F656">
        <v>233</v>
      </c>
      <c r="G656" t="s">
        <v>1945</v>
      </c>
      <c r="H656" t="s">
        <v>2059</v>
      </c>
      <c r="I656" t="s">
        <v>2051</v>
      </c>
      <c r="J656" t="s">
        <v>1110</v>
      </c>
      <c r="K656" t="s">
        <v>1048</v>
      </c>
      <c r="L656" t="s">
        <v>1991</v>
      </c>
      <c r="M656" t="s">
        <v>1000</v>
      </c>
      <c r="N656" t="s">
        <v>1049</v>
      </c>
      <c r="O656" t="s">
        <v>1983</v>
      </c>
      <c r="P656" t="s">
        <v>1047</v>
      </c>
      <c r="Q656" t="b">
        <v>1</v>
      </c>
      <c r="R656" t="b">
        <v>0</v>
      </c>
      <c r="S656" t="s">
        <v>1950</v>
      </c>
      <c r="T656" t="s">
        <v>446</v>
      </c>
      <c r="U656" t="s">
        <v>1951</v>
      </c>
      <c r="V656" t="s">
        <v>1980</v>
      </c>
      <c r="W656" t="s">
        <v>1952</v>
      </c>
      <c r="X656" t="s">
        <v>446</v>
      </c>
      <c r="Y656" t="s">
        <v>446</v>
      </c>
      <c r="Z656" t="s">
        <v>446</v>
      </c>
      <c r="AA656" t="s">
        <v>276</v>
      </c>
      <c r="AB656" t="s">
        <v>446</v>
      </c>
      <c r="AC656" t="b">
        <v>0</v>
      </c>
      <c r="AD656" t="b">
        <v>1</v>
      </c>
    </row>
    <row r="657" spans="1:30" x14ac:dyDescent="0.25">
      <c r="A657" t="s">
        <v>42</v>
      </c>
      <c r="B657" t="s">
        <v>1221</v>
      </c>
      <c r="C657" t="s">
        <v>276</v>
      </c>
      <c r="D657" t="s">
        <v>427</v>
      </c>
      <c r="E657" t="s">
        <v>1051</v>
      </c>
      <c r="F657">
        <v>222</v>
      </c>
      <c r="G657" t="s">
        <v>1945</v>
      </c>
      <c r="H657" t="s">
        <v>2060</v>
      </c>
      <c r="I657" t="s">
        <v>2045</v>
      </c>
      <c r="J657" t="s">
        <v>1110</v>
      </c>
      <c r="K657" t="s">
        <v>1055</v>
      </c>
      <c r="L657" t="s">
        <v>1993</v>
      </c>
      <c r="M657" t="s">
        <v>980</v>
      </c>
      <c r="N657" t="s">
        <v>1056</v>
      </c>
      <c r="O657" t="s">
        <v>1994</v>
      </c>
      <c r="P657" t="s">
        <v>1053</v>
      </c>
      <c r="Q657" t="b">
        <v>1</v>
      </c>
      <c r="R657" t="b">
        <v>0</v>
      </c>
      <c r="S657" t="s">
        <v>1950</v>
      </c>
      <c r="T657" t="s">
        <v>446</v>
      </c>
      <c r="U657" t="s">
        <v>1951</v>
      </c>
      <c r="V657" t="s">
        <v>1093</v>
      </c>
      <c r="W657" t="s">
        <v>1952</v>
      </c>
      <c r="X657" t="s">
        <v>2046</v>
      </c>
      <c r="Y657" t="s">
        <v>2047</v>
      </c>
      <c r="Z657" t="s">
        <v>446</v>
      </c>
      <c r="AA657" t="s">
        <v>276</v>
      </c>
      <c r="AB657" t="s">
        <v>446</v>
      </c>
      <c r="AC657" t="b">
        <v>0</v>
      </c>
      <c r="AD657" t="b">
        <v>1</v>
      </c>
    </row>
    <row r="658" spans="1:30" x14ac:dyDescent="0.25">
      <c r="A658" t="s">
        <v>42</v>
      </c>
      <c r="B658" t="s">
        <v>1222</v>
      </c>
      <c r="C658" t="s">
        <v>277</v>
      </c>
      <c r="D658" t="s">
        <v>427</v>
      </c>
      <c r="E658" t="s">
        <v>978</v>
      </c>
      <c r="F658">
        <v>-372</v>
      </c>
      <c r="G658" t="s">
        <v>1945</v>
      </c>
      <c r="H658" t="s">
        <v>2061</v>
      </c>
      <c r="I658" t="s">
        <v>120</v>
      </c>
      <c r="J658" t="s">
        <v>1110</v>
      </c>
      <c r="K658" t="s">
        <v>984</v>
      </c>
      <c r="L658" t="s">
        <v>1948</v>
      </c>
      <c r="M658" t="s">
        <v>980</v>
      </c>
      <c r="N658" t="s">
        <v>985</v>
      </c>
      <c r="O658" t="s">
        <v>1949</v>
      </c>
      <c r="P658" t="s">
        <v>981</v>
      </c>
      <c r="Q658" t="b">
        <v>1</v>
      </c>
      <c r="R658" t="b">
        <v>0</v>
      </c>
      <c r="S658" t="s">
        <v>1950</v>
      </c>
      <c r="T658" t="s">
        <v>446</v>
      </c>
      <c r="U658" t="s">
        <v>1951</v>
      </c>
      <c r="V658" t="s">
        <v>1093</v>
      </c>
      <c r="W658" t="s">
        <v>1952</v>
      </c>
      <c r="X658" t="s">
        <v>2062</v>
      </c>
      <c r="Y658" t="s">
        <v>2063</v>
      </c>
      <c r="Z658" t="s">
        <v>446</v>
      </c>
      <c r="AA658" t="s">
        <v>277</v>
      </c>
      <c r="AB658" t="s">
        <v>446</v>
      </c>
      <c r="AC658" t="b">
        <v>0</v>
      </c>
      <c r="AD658" t="b">
        <v>1</v>
      </c>
    </row>
    <row r="659" spans="1:30" x14ac:dyDescent="0.25">
      <c r="A659" t="s">
        <v>42</v>
      </c>
      <c r="B659" t="s">
        <v>1224</v>
      </c>
      <c r="C659" t="s">
        <v>277</v>
      </c>
      <c r="D659" t="s">
        <v>427</v>
      </c>
      <c r="E659" t="s">
        <v>986</v>
      </c>
      <c r="F659">
        <v>-374</v>
      </c>
      <c r="G659" t="s">
        <v>1945</v>
      </c>
      <c r="H659" t="s">
        <v>2064</v>
      </c>
      <c r="I659" t="s">
        <v>2065</v>
      </c>
      <c r="J659" t="s">
        <v>1110</v>
      </c>
      <c r="K659" t="s">
        <v>1016</v>
      </c>
      <c r="L659" t="s">
        <v>1972</v>
      </c>
      <c r="M659" t="s">
        <v>980</v>
      </c>
      <c r="N659" t="s">
        <v>1017</v>
      </c>
      <c r="O659" t="s">
        <v>1956</v>
      </c>
      <c r="P659" t="s">
        <v>988</v>
      </c>
      <c r="Q659" t="b">
        <v>1</v>
      </c>
      <c r="R659" t="b">
        <v>0</v>
      </c>
      <c r="S659" t="s">
        <v>1950</v>
      </c>
      <c r="T659" t="s">
        <v>446</v>
      </c>
      <c r="U659" t="s">
        <v>1951</v>
      </c>
      <c r="V659" t="s">
        <v>1093</v>
      </c>
      <c r="W659" t="s">
        <v>1952</v>
      </c>
      <c r="X659" t="s">
        <v>2066</v>
      </c>
      <c r="Y659" t="s">
        <v>2067</v>
      </c>
      <c r="Z659" t="s">
        <v>446</v>
      </c>
      <c r="AA659" t="s">
        <v>277</v>
      </c>
      <c r="AB659" t="s">
        <v>446</v>
      </c>
      <c r="AC659" t="b">
        <v>0</v>
      </c>
      <c r="AD659" t="b">
        <v>1</v>
      </c>
    </row>
    <row r="660" spans="1:30" x14ac:dyDescent="0.25">
      <c r="A660" t="s">
        <v>42</v>
      </c>
      <c r="B660" t="s">
        <v>1226</v>
      </c>
      <c r="C660" t="s">
        <v>277</v>
      </c>
      <c r="D660" t="s">
        <v>427</v>
      </c>
      <c r="E660" t="s">
        <v>992</v>
      </c>
      <c r="F660">
        <v>-368</v>
      </c>
      <c r="G660" t="s">
        <v>1945</v>
      </c>
      <c r="H660" t="s">
        <v>2068</v>
      </c>
      <c r="I660" t="s">
        <v>2065</v>
      </c>
      <c r="J660" t="s">
        <v>1110</v>
      </c>
      <c r="K660" t="s">
        <v>1021</v>
      </c>
      <c r="L660" t="s">
        <v>1975</v>
      </c>
      <c r="M660" t="s">
        <v>980</v>
      </c>
      <c r="N660" t="s">
        <v>1022</v>
      </c>
      <c r="O660" t="s">
        <v>1959</v>
      </c>
      <c r="P660" t="s">
        <v>994</v>
      </c>
      <c r="Q660" t="b">
        <v>1</v>
      </c>
      <c r="R660" t="b">
        <v>0</v>
      </c>
      <c r="S660" t="s">
        <v>1950</v>
      </c>
      <c r="T660" t="s">
        <v>446</v>
      </c>
      <c r="U660" t="s">
        <v>1951</v>
      </c>
      <c r="V660" t="s">
        <v>1093</v>
      </c>
      <c r="W660" t="s">
        <v>1952</v>
      </c>
      <c r="X660" t="s">
        <v>2066</v>
      </c>
      <c r="Y660" t="s">
        <v>2067</v>
      </c>
      <c r="Z660" t="s">
        <v>446</v>
      </c>
      <c r="AA660" t="s">
        <v>277</v>
      </c>
      <c r="AB660" t="s">
        <v>446</v>
      </c>
      <c r="AC660" t="b">
        <v>0</v>
      </c>
      <c r="AD660" t="b">
        <v>1</v>
      </c>
    </row>
    <row r="661" spans="1:24" x14ac:dyDescent="0.25">
      <c r="A661" t="s">
        <v>42</v>
      </c>
      <c r="B661" t="s">
        <v>2069</v>
      </c>
      <c r="C661" t="s">
        <v>277</v>
      </c>
      <c r="D661" t="s">
        <v>427</v>
      </c>
      <c r="E661" t="s">
        <v>998</v>
      </c>
      <c r="F661">
        <v>-159</v>
      </c>
      <c r="G661" t="s">
        <v>1074</v>
      </c>
      <c r="H661" t="s">
        <v>446</v>
      </c>
      <c r="I661" t="s">
        <v>446</v>
      </c>
      <c r="J661" t="s">
        <v>1110</v>
      </c>
      <c r="K661" t="s">
        <v>446</v>
      </c>
      <c r="L661" t="s">
        <v>446</v>
      </c>
      <c r="M661" t="s">
        <v>446</v>
      </c>
      <c r="N661" t="s">
        <v>446</v>
      </c>
      <c r="O661" t="s">
        <v>446</v>
      </c>
      <c r="P661" t="s">
        <v>446</v>
      </c>
      <c r="Q661" t="b">
        <v>0</v>
      </c>
      <c r="R661" t="b">
        <v>1</v>
      </c>
      <c r="S661" t="s">
        <v>1961</v>
      </c>
      <c r="T661" t="s">
        <v>1962</v>
      </c>
      <c r="U661" t="s">
        <v>1963</v>
      </c>
      <c r="V661" t="s">
        <v>1964</v>
      </c>
      <c r="W661" t="s">
        <v>1965</v>
      </c>
      <c r="X661" t="s">
        <v>446</v>
      </c>
    </row>
    <row r="662" spans="1:30" x14ac:dyDescent="0.25">
      <c r="A662" t="s">
        <v>42</v>
      </c>
      <c r="B662" t="s">
        <v>1228</v>
      </c>
      <c r="C662" t="s">
        <v>277</v>
      </c>
      <c r="D662" t="s">
        <v>427</v>
      </c>
      <c r="E662" t="s">
        <v>1006</v>
      </c>
      <c r="F662">
        <v>-382</v>
      </c>
      <c r="G662" t="s">
        <v>1945</v>
      </c>
      <c r="H662" t="s">
        <v>2070</v>
      </c>
      <c r="I662" t="s">
        <v>2065</v>
      </c>
      <c r="J662" t="s">
        <v>1110</v>
      </c>
      <c r="K662" t="s">
        <v>1033</v>
      </c>
      <c r="L662" t="s">
        <v>1982</v>
      </c>
      <c r="M662" t="s">
        <v>980</v>
      </c>
      <c r="N662" t="s">
        <v>1034</v>
      </c>
      <c r="O662" t="s">
        <v>1970</v>
      </c>
      <c r="P662" t="s">
        <v>1009</v>
      </c>
      <c r="Q662" t="b">
        <v>1</v>
      </c>
      <c r="R662" t="b">
        <v>0</v>
      </c>
      <c r="S662" t="s">
        <v>1950</v>
      </c>
      <c r="T662" t="s">
        <v>446</v>
      </c>
      <c r="U662" t="s">
        <v>1951</v>
      </c>
      <c r="V662" t="s">
        <v>1093</v>
      </c>
      <c r="W662" t="s">
        <v>1952</v>
      </c>
      <c r="X662" t="s">
        <v>2066</v>
      </c>
      <c r="Y662" t="s">
        <v>2067</v>
      </c>
      <c r="Z662" t="s">
        <v>446</v>
      </c>
      <c r="AA662" t="s">
        <v>277</v>
      </c>
      <c r="AB662" t="s">
        <v>446</v>
      </c>
      <c r="AC662" t="b">
        <v>0</v>
      </c>
      <c r="AD662" t="b">
        <v>1</v>
      </c>
    </row>
    <row r="663" spans="1:30" x14ac:dyDescent="0.25">
      <c r="A663" t="s">
        <v>42</v>
      </c>
      <c r="B663" t="s">
        <v>1230</v>
      </c>
      <c r="C663" t="s">
        <v>277</v>
      </c>
      <c r="D663" t="s">
        <v>427</v>
      </c>
      <c r="E663" t="s">
        <v>1013</v>
      </c>
      <c r="F663">
        <v>-418</v>
      </c>
      <c r="G663" t="s">
        <v>1945</v>
      </c>
      <c r="H663" t="s">
        <v>2071</v>
      </c>
      <c r="I663" t="s">
        <v>2065</v>
      </c>
      <c r="J663" t="s">
        <v>1110</v>
      </c>
      <c r="K663" t="s">
        <v>1016</v>
      </c>
      <c r="L663" t="s">
        <v>1972</v>
      </c>
      <c r="M663" t="s">
        <v>980</v>
      </c>
      <c r="N663" t="s">
        <v>1017</v>
      </c>
      <c r="O663" t="s">
        <v>1973</v>
      </c>
      <c r="P663" t="s">
        <v>1015</v>
      </c>
      <c r="Q663" t="b">
        <v>1</v>
      </c>
      <c r="R663" t="b">
        <v>0</v>
      </c>
      <c r="S663" t="s">
        <v>1950</v>
      </c>
      <c r="T663" t="s">
        <v>446</v>
      </c>
      <c r="U663" t="s">
        <v>1951</v>
      </c>
      <c r="V663" t="s">
        <v>1093</v>
      </c>
      <c r="W663" t="s">
        <v>1952</v>
      </c>
      <c r="X663" t="s">
        <v>2066</v>
      </c>
      <c r="Y663" t="s">
        <v>2067</v>
      </c>
      <c r="Z663" t="s">
        <v>446</v>
      </c>
      <c r="AA663" t="s">
        <v>277</v>
      </c>
      <c r="AB663" t="s">
        <v>446</v>
      </c>
      <c r="AC663" t="b">
        <v>0</v>
      </c>
      <c r="AD663" t="b">
        <v>1</v>
      </c>
    </row>
    <row r="664" spans="1:30" x14ac:dyDescent="0.25">
      <c r="A664" t="s">
        <v>42</v>
      </c>
      <c r="B664" t="s">
        <v>1232</v>
      </c>
      <c r="C664" t="s">
        <v>277</v>
      </c>
      <c r="D664" t="s">
        <v>427</v>
      </c>
      <c r="E664" t="s">
        <v>1018</v>
      </c>
      <c r="F664">
        <v>-425</v>
      </c>
      <c r="G664" t="s">
        <v>1945</v>
      </c>
      <c r="H664" t="s">
        <v>2072</v>
      </c>
      <c r="I664" t="s">
        <v>2065</v>
      </c>
      <c r="J664" t="s">
        <v>1110</v>
      </c>
      <c r="K664" t="s">
        <v>1021</v>
      </c>
      <c r="L664" t="s">
        <v>1975</v>
      </c>
      <c r="M664" t="s">
        <v>980</v>
      </c>
      <c r="N664" t="s">
        <v>1022</v>
      </c>
      <c r="O664" t="s">
        <v>1976</v>
      </c>
      <c r="P664" t="s">
        <v>1020</v>
      </c>
      <c r="Q664" t="b">
        <v>1</v>
      </c>
      <c r="R664" t="b">
        <v>0</v>
      </c>
      <c r="S664" t="s">
        <v>1950</v>
      </c>
      <c r="T664" t="s">
        <v>446</v>
      </c>
      <c r="U664" t="s">
        <v>1951</v>
      </c>
      <c r="V664" t="s">
        <v>1093</v>
      </c>
      <c r="W664" t="s">
        <v>1952</v>
      </c>
      <c r="X664" t="s">
        <v>2066</v>
      </c>
      <c r="Y664" t="s">
        <v>2067</v>
      </c>
      <c r="Z664" t="s">
        <v>446</v>
      </c>
      <c r="AA664" t="s">
        <v>277</v>
      </c>
      <c r="AB664" t="s">
        <v>446</v>
      </c>
      <c r="AC664" t="b">
        <v>0</v>
      </c>
      <c r="AD664" t="b">
        <v>1</v>
      </c>
    </row>
    <row r="665" spans="1:30" x14ac:dyDescent="0.25">
      <c r="A665" t="s">
        <v>42</v>
      </c>
      <c r="B665" t="s">
        <v>1234</v>
      </c>
      <c r="C665" t="s">
        <v>277</v>
      </c>
      <c r="D665" t="s">
        <v>427</v>
      </c>
      <c r="E665" t="s">
        <v>1023</v>
      </c>
      <c r="F665">
        <v>-431</v>
      </c>
      <c r="G665" t="s">
        <v>1945</v>
      </c>
      <c r="H665" t="s">
        <v>2073</v>
      </c>
      <c r="I665" t="s">
        <v>2074</v>
      </c>
      <c r="J665" t="s">
        <v>1110</v>
      </c>
      <c r="K665" t="s">
        <v>1026</v>
      </c>
      <c r="L665" t="s">
        <v>1979</v>
      </c>
      <c r="M665" t="s">
        <v>1000</v>
      </c>
      <c r="N665" t="s">
        <v>1027</v>
      </c>
      <c r="O665" t="s">
        <v>1970</v>
      </c>
      <c r="P665" t="s">
        <v>1025</v>
      </c>
      <c r="Q665" t="b">
        <v>1</v>
      </c>
      <c r="R665" t="b">
        <v>0</v>
      </c>
      <c r="S665" t="s">
        <v>1950</v>
      </c>
      <c r="T665" t="s">
        <v>446</v>
      </c>
      <c r="U665" t="s">
        <v>1951</v>
      </c>
      <c r="V665" t="s">
        <v>1980</v>
      </c>
      <c r="W665" t="s">
        <v>1952</v>
      </c>
      <c r="X665" t="s">
        <v>446</v>
      </c>
      <c r="Y665" t="s">
        <v>446</v>
      </c>
      <c r="Z665" t="s">
        <v>446</v>
      </c>
      <c r="AA665" t="s">
        <v>277</v>
      </c>
      <c r="AB665" t="s">
        <v>446</v>
      </c>
      <c r="AC665" t="b">
        <v>0</v>
      </c>
      <c r="AD665" t="b">
        <v>1</v>
      </c>
    </row>
    <row r="666" spans="1:30" x14ac:dyDescent="0.25">
      <c r="A666" t="s">
        <v>42</v>
      </c>
      <c r="B666" t="s">
        <v>1236</v>
      </c>
      <c r="C666" t="s">
        <v>277</v>
      </c>
      <c r="D666" t="s">
        <v>427</v>
      </c>
      <c r="E666" t="s">
        <v>1029</v>
      </c>
      <c r="F666">
        <v>-387</v>
      </c>
      <c r="G666" t="s">
        <v>1945</v>
      </c>
      <c r="H666" t="s">
        <v>2075</v>
      </c>
      <c r="I666" t="s">
        <v>2065</v>
      </c>
      <c r="J666" t="s">
        <v>1110</v>
      </c>
      <c r="K666" t="s">
        <v>1033</v>
      </c>
      <c r="L666" t="s">
        <v>1982</v>
      </c>
      <c r="M666" t="s">
        <v>980</v>
      </c>
      <c r="N666" t="s">
        <v>1034</v>
      </c>
      <c r="O666" t="s">
        <v>1983</v>
      </c>
      <c r="P666" t="s">
        <v>1031</v>
      </c>
      <c r="Q666" t="b">
        <v>1</v>
      </c>
      <c r="R666" t="b">
        <v>0</v>
      </c>
      <c r="S666" t="s">
        <v>1950</v>
      </c>
      <c r="T666" t="s">
        <v>446</v>
      </c>
      <c r="U666" t="s">
        <v>1951</v>
      </c>
      <c r="V666" t="s">
        <v>1093</v>
      </c>
      <c r="W666" t="s">
        <v>1952</v>
      </c>
      <c r="X666" t="s">
        <v>2066</v>
      </c>
      <c r="Y666" t="s">
        <v>2067</v>
      </c>
      <c r="Z666" t="s">
        <v>446</v>
      </c>
      <c r="AA666" t="s">
        <v>277</v>
      </c>
      <c r="AB666" t="s">
        <v>446</v>
      </c>
      <c r="AC666" t="b">
        <v>0</v>
      </c>
      <c r="AD666" t="b">
        <v>1</v>
      </c>
    </row>
    <row r="667" spans="1:30" x14ac:dyDescent="0.25">
      <c r="A667" t="s">
        <v>42</v>
      </c>
      <c r="B667" t="s">
        <v>1238</v>
      </c>
      <c r="C667" t="s">
        <v>277</v>
      </c>
      <c r="D667" t="s">
        <v>427</v>
      </c>
      <c r="E667" t="s">
        <v>1035</v>
      </c>
      <c r="F667">
        <v>-445</v>
      </c>
      <c r="G667" t="s">
        <v>1945</v>
      </c>
      <c r="H667" t="s">
        <v>2076</v>
      </c>
      <c r="I667" t="s">
        <v>2065</v>
      </c>
      <c r="J667" t="s">
        <v>1110</v>
      </c>
      <c r="K667" t="s">
        <v>1038</v>
      </c>
      <c r="L667" t="s">
        <v>1985</v>
      </c>
      <c r="M667" t="s">
        <v>980</v>
      </c>
      <c r="N667" t="s">
        <v>1039</v>
      </c>
      <c r="O667" t="s">
        <v>1986</v>
      </c>
      <c r="P667" t="s">
        <v>1037</v>
      </c>
      <c r="Q667" t="b">
        <v>1</v>
      </c>
      <c r="R667" t="b">
        <v>0</v>
      </c>
      <c r="S667" t="s">
        <v>1950</v>
      </c>
      <c r="T667" t="s">
        <v>446</v>
      </c>
      <c r="U667" t="s">
        <v>1951</v>
      </c>
      <c r="V667" t="s">
        <v>1093</v>
      </c>
      <c r="W667" t="s">
        <v>1952</v>
      </c>
      <c r="X667" t="s">
        <v>2066</v>
      </c>
      <c r="Y667" t="s">
        <v>2067</v>
      </c>
      <c r="Z667" t="s">
        <v>446</v>
      </c>
      <c r="AA667" t="s">
        <v>277</v>
      </c>
      <c r="AB667" t="s">
        <v>446</v>
      </c>
      <c r="AC667" t="b">
        <v>0</v>
      </c>
      <c r="AD667" t="b">
        <v>1</v>
      </c>
    </row>
    <row r="668" spans="1:30" x14ac:dyDescent="0.25">
      <c r="A668" t="s">
        <v>42</v>
      </c>
      <c r="B668" t="s">
        <v>1240</v>
      </c>
      <c r="C668" t="s">
        <v>277</v>
      </c>
      <c r="D668" t="s">
        <v>427</v>
      </c>
      <c r="E668" t="s">
        <v>1040</v>
      </c>
      <c r="F668">
        <v>-391</v>
      </c>
      <c r="G668" t="s">
        <v>1945</v>
      </c>
      <c r="H668" t="s">
        <v>2077</v>
      </c>
      <c r="I668" t="s">
        <v>2065</v>
      </c>
      <c r="J668" t="s">
        <v>1110</v>
      </c>
      <c r="K668" t="s">
        <v>1043</v>
      </c>
      <c r="L668" t="s">
        <v>1988</v>
      </c>
      <c r="M668" t="s">
        <v>980</v>
      </c>
      <c r="N668" t="s">
        <v>1044</v>
      </c>
      <c r="O668" t="s">
        <v>1989</v>
      </c>
      <c r="P668" t="s">
        <v>1042</v>
      </c>
      <c r="Q668" t="b">
        <v>1</v>
      </c>
      <c r="R668" t="b">
        <v>0</v>
      </c>
      <c r="S668" t="s">
        <v>1950</v>
      </c>
      <c r="T668" t="s">
        <v>446</v>
      </c>
      <c r="U668" t="s">
        <v>1951</v>
      </c>
      <c r="V668" t="s">
        <v>1093</v>
      </c>
      <c r="W668" t="s">
        <v>1952</v>
      </c>
      <c r="X668" t="s">
        <v>2066</v>
      </c>
      <c r="Y668" t="s">
        <v>2067</v>
      </c>
      <c r="Z668" t="s">
        <v>446</v>
      </c>
      <c r="AA668" t="s">
        <v>277</v>
      </c>
      <c r="AB668" t="s">
        <v>446</v>
      </c>
      <c r="AC668" t="b">
        <v>0</v>
      </c>
      <c r="AD668" t="b">
        <v>1</v>
      </c>
    </row>
    <row r="669" spans="1:30" x14ac:dyDescent="0.25">
      <c r="A669" t="s">
        <v>42</v>
      </c>
      <c r="B669" t="s">
        <v>1242</v>
      </c>
      <c r="C669" t="s">
        <v>277</v>
      </c>
      <c r="D669" t="s">
        <v>427</v>
      </c>
      <c r="E669" t="s">
        <v>1045</v>
      </c>
      <c r="F669">
        <v>-431</v>
      </c>
      <c r="G669" t="s">
        <v>1945</v>
      </c>
      <c r="H669" t="s">
        <v>2073</v>
      </c>
      <c r="I669" t="s">
        <v>2074</v>
      </c>
      <c r="J669" t="s">
        <v>1110</v>
      </c>
      <c r="K669" t="s">
        <v>1048</v>
      </c>
      <c r="L669" t="s">
        <v>1991</v>
      </c>
      <c r="M669" t="s">
        <v>1000</v>
      </c>
      <c r="N669" t="s">
        <v>1049</v>
      </c>
      <c r="O669" t="s">
        <v>1983</v>
      </c>
      <c r="P669" t="s">
        <v>1047</v>
      </c>
      <c r="Q669" t="b">
        <v>1</v>
      </c>
      <c r="R669" t="b">
        <v>0</v>
      </c>
      <c r="S669" t="s">
        <v>1950</v>
      </c>
      <c r="T669" t="s">
        <v>446</v>
      </c>
      <c r="U669" t="s">
        <v>1951</v>
      </c>
      <c r="V669" t="s">
        <v>1980</v>
      </c>
      <c r="W669" t="s">
        <v>1952</v>
      </c>
      <c r="X669" t="s">
        <v>446</v>
      </c>
      <c r="Y669" t="s">
        <v>446</v>
      </c>
      <c r="Z669" t="s">
        <v>446</v>
      </c>
      <c r="AA669" t="s">
        <v>277</v>
      </c>
      <c r="AB669" t="s">
        <v>446</v>
      </c>
      <c r="AC669" t="b">
        <v>0</v>
      </c>
      <c r="AD669" t="b">
        <v>1</v>
      </c>
    </row>
    <row r="670" spans="1:30" x14ac:dyDescent="0.25">
      <c r="A670" t="s">
        <v>42</v>
      </c>
      <c r="B670" t="s">
        <v>1244</v>
      </c>
      <c r="C670" t="s">
        <v>277</v>
      </c>
      <c r="D670" t="s">
        <v>427</v>
      </c>
      <c r="E670" t="s">
        <v>1051</v>
      </c>
      <c r="F670">
        <v>-375</v>
      </c>
      <c r="G670" t="s">
        <v>1945</v>
      </c>
      <c r="H670" t="s">
        <v>2078</v>
      </c>
      <c r="I670" t="s">
        <v>2065</v>
      </c>
      <c r="J670" t="s">
        <v>1110</v>
      </c>
      <c r="K670" t="s">
        <v>1055</v>
      </c>
      <c r="L670" t="s">
        <v>1993</v>
      </c>
      <c r="M670" t="s">
        <v>980</v>
      </c>
      <c r="N670" t="s">
        <v>1056</v>
      </c>
      <c r="O670" t="s">
        <v>1994</v>
      </c>
      <c r="P670" t="s">
        <v>1053</v>
      </c>
      <c r="Q670" t="b">
        <v>1</v>
      </c>
      <c r="R670" t="b">
        <v>0</v>
      </c>
      <c r="S670" t="s">
        <v>1950</v>
      </c>
      <c r="T670" t="s">
        <v>446</v>
      </c>
      <c r="U670" t="s">
        <v>1951</v>
      </c>
      <c r="V670" t="s">
        <v>1093</v>
      </c>
      <c r="W670" t="s">
        <v>1952</v>
      </c>
      <c r="X670" t="s">
        <v>2066</v>
      </c>
      <c r="Y670" t="s">
        <v>2067</v>
      </c>
      <c r="Z670" t="s">
        <v>446</v>
      </c>
      <c r="AA670" t="s">
        <v>277</v>
      </c>
      <c r="AB670" t="s">
        <v>446</v>
      </c>
      <c r="AC670" t="b">
        <v>0</v>
      </c>
      <c r="AD670" t="b">
        <v>1</v>
      </c>
    </row>
    <row r="671" spans="1:30" x14ac:dyDescent="0.25">
      <c r="A671" t="s">
        <v>42</v>
      </c>
      <c r="B671" t="s">
        <v>1246</v>
      </c>
      <c r="C671" t="s">
        <v>278</v>
      </c>
      <c r="D671" t="s">
        <v>427</v>
      </c>
      <c r="E671" t="s">
        <v>978</v>
      </c>
      <c r="F671">
        <v>0</v>
      </c>
      <c r="G671" t="s">
        <v>2012</v>
      </c>
      <c r="H671" t="s">
        <v>2079</v>
      </c>
      <c r="I671" t="s">
        <v>2080</v>
      </c>
      <c r="J671" t="s">
        <v>1110</v>
      </c>
      <c r="K671" t="s">
        <v>446</v>
      </c>
      <c r="L671" t="s">
        <v>446</v>
      </c>
      <c r="M671" t="s">
        <v>446</v>
      </c>
      <c r="N671" t="s">
        <v>446</v>
      </c>
      <c r="O671" t="s">
        <v>446</v>
      </c>
      <c r="P671" t="s">
        <v>446</v>
      </c>
      <c r="Q671" t="b">
        <v>1</v>
      </c>
      <c r="R671" t="b">
        <v>0</v>
      </c>
      <c r="S671" t="s">
        <v>1950</v>
      </c>
      <c r="T671" t="s">
        <v>446</v>
      </c>
      <c r="U671" t="s">
        <v>1951</v>
      </c>
      <c r="V671" t="s">
        <v>1980</v>
      </c>
      <c r="W671" t="s">
        <v>2015</v>
      </c>
      <c r="X671" t="s">
        <v>446</v>
      </c>
      <c r="Y671" t="s">
        <v>446</v>
      </c>
      <c r="Z671" t="s">
        <v>446</v>
      </c>
      <c r="AA671" t="s">
        <v>278</v>
      </c>
      <c r="AB671" t="s">
        <v>446</v>
      </c>
      <c r="AC671" t="b">
        <v>0</v>
      </c>
      <c r="AD671" t="b">
        <v>1</v>
      </c>
    </row>
    <row r="672" spans="1:30" x14ac:dyDescent="0.25">
      <c r="A672" t="s">
        <v>42</v>
      </c>
      <c r="B672" t="s">
        <v>1247</v>
      </c>
      <c r="C672" t="s">
        <v>278</v>
      </c>
      <c r="D672" t="s">
        <v>427</v>
      </c>
      <c r="E672" t="s">
        <v>986</v>
      </c>
      <c r="F672">
        <v>0</v>
      </c>
      <c r="G672" t="s">
        <v>2012</v>
      </c>
      <c r="H672" t="s">
        <v>2079</v>
      </c>
      <c r="I672" t="s">
        <v>2080</v>
      </c>
      <c r="J672" t="s">
        <v>1110</v>
      </c>
      <c r="K672" t="s">
        <v>446</v>
      </c>
      <c r="L672" t="s">
        <v>446</v>
      </c>
      <c r="M672" t="s">
        <v>446</v>
      </c>
      <c r="N672" t="s">
        <v>446</v>
      </c>
      <c r="O672" t="s">
        <v>446</v>
      </c>
      <c r="P672" t="s">
        <v>446</v>
      </c>
      <c r="Q672" t="b">
        <v>1</v>
      </c>
      <c r="R672" t="b">
        <v>0</v>
      </c>
      <c r="S672" t="s">
        <v>1950</v>
      </c>
      <c r="T672" t="s">
        <v>446</v>
      </c>
      <c r="U672" t="s">
        <v>1951</v>
      </c>
      <c r="V672" t="s">
        <v>1980</v>
      </c>
      <c r="W672" t="s">
        <v>2015</v>
      </c>
      <c r="X672" t="s">
        <v>446</v>
      </c>
      <c r="Y672" t="s">
        <v>446</v>
      </c>
      <c r="Z672" t="s">
        <v>446</v>
      </c>
      <c r="AA672" t="s">
        <v>278</v>
      </c>
      <c r="AB672" t="s">
        <v>446</v>
      </c>
      <c r="AC672" t="b">
        <v>0</v>
      </c>
      <c r="AD672" t="b">
        <v>1</v>
      </c>
    </row>
    <row r="673" spans="1:30" x14ac:dyDescent="0.25">
      <c r="A673" t="s">
        <v>42</v>
      </c>
      <c r="B673" t="s">
        <v>1248</v>
      </c>
      <c r="C673" t="s">
        <v>278</v>
      </c>
      <c r="D673" t="s">
        <v>427</v>
      </c>
      <c r="E673" t="s">
        <v>992</v>
      </c>
      <c r="F673">
        <v>0</v>
      </c>
      <c r="G673" t="s">
        <v>2012</v>
      </c>
      <c r="H673" t="s">
        <v>2079</v>
      </c>
      <c r="I673" t="s">
        <v>2080</v>
      </c>
      <c r="J673" t="s">
        <v>1110</v>
      </c>
      <c r="K673" t="s">
        <v>446</v>
      </c>
      <c r="L673" t="s">
        <v>446</v>
      </c>
      <c r="M673" t="s">
        <v>446</v>
      </c>
      <c r="N673" t="s">
        <v>446</v>
      </c>
      <c r="O673" t="s">
        <v>446</v>
      </c>
      <c r="P673" t="s">
        <v>446</v>
      </c>
      <c r="Q673" t="b">
        <v>1</v>
      </c>
      <c r="R673" t="b">
        <v>0</v>
      </c>
      <c r="S673" t="s">
        <v>1950</v>
      </c>
      <c r="T673" t="s">
        <v>446</v>
      </c>
      <c r="U673" t="s">
        <v>1951</v>
      </c>
      <c r="V673" t="s">
        <v>1980</v>
      </c>
      <c r="W673" t="s">
        <v>2015</v>
      </c>
      <c r="X673" t="s">
        <v>446</v>
      </c>
      <c r="Y673" t="s">
        <v>446</v>
      </c>
      <c r="Z673" t="s">
        <v>446</v>
      </c>
      <c r="AA673" t="s">
        <v>278</v>
      </c>
      <c r="AB673" t="s">
        <v>446</v>
      </c>
      <c r="AC673" t="b">
        <v>0</v>
      </c>
      <c r="AD673" t="b">
        <v>1</v>
      </c>
    </row>
    <row r="674" spans="1:30" x14ac:dyDescent="0.25">
      <c r="A674" t="s">
        <v>42</v>
      </c>
      <c r="B674" t="s">
        <v>1249</v>
      </c>
      <c r="C674" t="s">
        <v>278</v>
      </c>
      <c r="D674" t="s">
        <v>427</v>
      </c>
      <c r="E674" t="s">
        <v>998</v>
      </c>
      <c r="F674">
        <v>0</v>
      </c>
      <c r="G674" t="s">
        <v>2012</v>
      </c>
      <c r="H674" t="s">
        <v>2079</v>
      </c>
      <c r="I674" t="s">
        <v>2080</v>
      </c>
      <c r="J674" t="s">
        <v>1110</v>
      </c>
      <c r="K674" t="s">
        <v>446</v>
      </c>
      <c r="L674" t="s">
        <v>446</v>
      </c>
      <c r="M674" t="s">
        <v>446</v>
      </c>
      <c r="N674" t="s">
        <v>446</v>
      </c>
      <c r="O674" t="s">
        <v>446</v>
      </c>
      <c r="P674" t="s">
        <v>446</v>
      </c>
      <c r="Q674" t="b">
        <v>1</v>
      </c>
      <c r="R674" t="b">
        <v>0</v>
      </c>
      <c r="S674" t="s">
        <v>1950</v>
      </c>
      <c r="T674" t="s">
        <v>446</v>
      </c>
      <c r="U674" t="s">
        <v>1951</v>
      </c>
      <c r="V674" t="s">
        <v>1980</v>
      </c>
      <c r="W674" t="s">
        <v>2015</v>
      </c>
      <c r="X674" t="s">
        <v>446</v>
      </c>
      <c r="Y674" t="s">
        <v>446</v>
      </c>
      <c r="Z674" t="s">
        <v>446</v>
      </c>
      <c r="AA674" t="s">
        <v>278</v>
      </c>
      <c r="AB674" t="s">
        <v>446</v>
      </c>
      <c r="AC674" t="b">
        <v>0</v>
      </c>
      <c r="AD674" t="b">
        <v>1</v>
      </c>
    </row>
    <row r="675" spans="1:30" x14ac:dyDescent="0.25">
      <c r="A675" t="s">
        <v>42</v>
      </c>
      <c r="B675" t="s">
        <v>1250</v>
      </c>
      <c r="C675" t="s">
        <v>278</v>
      </c>
      <c r="D675" t="s">
        <v>427</v>
      </c>
      <c r="E675" t="s">
        <v>1006</v>
      </c>
      <c r="F675">
        <v>0</v>
      </c>
      <c r="G675" t="s">
        <v>2012</v>
      </c>
      <c r="H675" t="s">
        <v>2079</v>
      </c>
      <c r="I675" t="s">
        <v>2080</v>
      </c>
      <c r="J675" t="s">
        <v>1110</v>
      </c>
      <c r="K675" t="s">
        <v>446</v>
      </c>
      <c r="L675" t="s">
        <v>446</v>
      </c>
      <c r="M675" t="s">
        <v>446</v>
      </c>
      <c r="N675" t="s">
        <v>446</v>
      </c>
      <c r="O675" t="s">
        <v>446</v>
      </c>
      <c r="P675" t="s">
        <v>446</v>
      </c>
      <c r="Q675" t="b">
        <v>1</v>
      </c>
      <c r="R675" t="b">
        <v>0</v>
      </c>
      <c r="S675" t="s">
        <v>1950</v>
      </c>
      <c r="T675" t="s">
        <v>446</v>
      </c>
      <c r="U675" t="s">
        <v>1951</v>
      </c>
      <c r="V675" t="s">
        <v>1980</v>
      </c>
      <c r="W675" t="s">
        <v>2015</v>
      </c>
      <c r="X675" t="s">
        <v>446</v>
      </c>
      <c r="Y675" t="s">
        <v>446</v>
      </c>
      <c r="Z675" t="s">
        <v>446</v>
      </c>
      <c r="AA675" t="s">
        <v>278</v>
      </c>
      <c r="AB675" t="s">
        <v>446</v>
      </c>
      <c r="AC675" t="b">
        <v>0</v>
      </c>
      <c r="AD675" t="b">
        <v>1</v>
      </c>
    </row>
    <row r="676" spans="1:30" x14ac:dyDescent="0.25">
      <c r="A676" t="s">
        <v>42</v>
      </c>
      <c r="B676" t="s">
        <v>1251</v>
      </c>
      <c r="C676" t="s">
        <v>278</v>
      </c>
      <c r="D676" t="s">
        <v>427</v>
      </c>
      <c r="E676" t="s">
        <v>1013</v>
      </c>
      <c r="F676">
        <v>0</v>
      </c>
      <c r="G676" t="s">
        <v>2012</v>
      </c>
      <c r="H676" t="s">
        <v>2079</v>
      </c>
      <c r="I676" t="s">
        <v>2080</v>
      </c>
      <c r="J676" t="s">
        <v>1110</v>
      </c>
      <c r="K676" t="s">
        <v>446</v>
      </c>
      <c r="L676" t="s">
        <v>446</v>
      </c>
      <c r="M676" t="s">
        <v>446</v>
      </c>
      <c r="N676" t="s">
        <v>446</v>
      </c>
      <c r="O676" t="s">
        <v>446</v>
      </c>
      <c r="P676" t="s">
        <v>446</v>
      </c>
      <c r="Q676" t="b">
        <v>1</v>
      </c>
      <c r="R676" t="b">
        <v>0</v>
      </c>
      <c r="S676" t="s">
        <v>1950</v>
      </c>
      <c r="T676" t="s">
        <v>446</v>
      </c>
      <c r="U676" t="s">
        <v>1951</v>
      </c>
      <c r="V676" t="s">
        <v>1980</v>
      </c>
      <c r="W676" t="s">
        <v>2015</v>
      </c>
      <c r="X676" t="s">
        <v>446</v>
      </c>
      <c r="Y676" t="s">
        <v>446</v>
      </c>
      <c r="Z676" t="s">
        <v>446</v>
      </c>
      <c r="AA676" t="s">
        <v>278</v>
      </c>
      <c r="AB676" t="s">
        <v>446</v>
      </c>
      <c r="AC676" t="b">
        <v>0</v>
      </c>
      <c r="AD676" t="b">
        <v>1</v>
      </c>
    </row>
    <row r="677" spans="1:30" x14ac:dyDescent="0.25">
      <c r="A677" t="s">
        <v>42</v>
      </c>
      <c r="B677" t="s">
        <v>1252</v>
      </c>
      <c r="C677" t="s">
        <v>278</v>
      </c>
      <c r="D677" t="s">
        <v>427</v>
      </c>
      <c r="E677" t="s">
        <v>1018</v>
      </c>
      <c r="F677">
        <v>0</v>
      </c>
      <c r="G677" t="s">
        <v>2012</v>
      </c>
      <c r="H677" t="s">
        <v>2079</v>
      </c>
      <c r="I677" t="s">
        <v>2080</v>
      </c>
      <c r="J677" t="s">
        <v>1110</v>
      </c>
      <c r="K677" t="s">
        <v>446</v>
      </c>
      <c r="L677" t="s">
        <v>446</v>
      </c>
      <c r="M677" t="s">
        <v>446</v>
      </c>
      <c r="N677" t="s">
        <v>446</v>
      </c>
      <c r="O677" t="s">
        <v>446</v>
      </c>
      <c r="P677" t="s">
        <v>446</v>
      </c>
      <c r="Q677" t="b">
        <v>1</v>
      </c>
      <c r="R677" t="b">
        <v>0</v>
      </c>
      <c r="S677" t="s">
        <v>1950</v>
      </c>
      <c r="T677" t="s">
        <v>446</v>
      </c>
      <c r="U677" t="s">
        <v>1951</v>
      </c>
      <c r="V677" t="s">
        <v>1980</v>
      </c>
      <c r="W677" t="s">
        <v>2015</v>
      </c>
      <c r="X677" t="s">
        <v>446</v>
      </c>
      <c r="Y677" t="s">
        <v>446</v>
      </c>
      <c r="Z677" t="s">
        <v>446</v>
      </c>
      <c r="AA677" t="s">
        <v>278</v>
      </c>
      <c r="AB677" t="s">
        <v>446</v>
      </c>
      <c r="AC677" t="b">
        <v>0</v>
      </c>
      <c r="AD677" t="b">
        <v>1</v>
      </c>
    </row>
    <row r="678" spans="1:30" x14ac:dyDescent="0.25">
      <c r="A678" t="s">
        <v>42</v>
      </c>
      <c r="B678" t="s">
        <v>1253</v>
      </c>
      <c r="C678" t="s">
        <v>278</v>
      </c>
      <c r="D678" t="s">
        <v>427</v>
      </c>
      <c r="E678" t="s">
        <v>1023</v>
      </c>
      <c r="F678">
        <v>0</v>
      </c>
      <c r="G678" t="s">
        <v>2012</v>
      </c>
      <c r="H678" t="s">
        <v>2079</v>
      </c>
      <c r="I678" t="s">
        <v>2080</v>
      </c>
      <c r="J678" t="s">
        <v>1110</v>
      </c>
      <c r="K678" t="s">
        <v>446</v>
      </c>
      <c r="L678" t="s">
        <v>446</v>
      </c>
      <c r="M678" t="s">
        <v>446</v>
      </c>
      <c r="N678" t="s">
        <v>446</v>
      </c>
      <c r="O678" t="s">
        <v>446</v>
      </c>
      <c r="P678" t="s">
        <v>446</v>
      </c>
      <c r="Q678" t="b">
        <v>1</v>
      </c>
      <c r="R678" t="b">
        <v>0</v>
      </c>
      <c r="S678" t="s">
        <v>1950</v>
      </c>
      <c r="T678" t="s">
        <v>446</v>
      </c>
      <c r="U678" t="s">
        <v>1951</v>
      </c>
      <c r="V678" t="s">
        <v>1980</v>
      </c>
      <c r="W678" t="s">
        <v>2015</v>
      </c>
      <c r="X678" t="s">
        <v>446</v>
      </c>
      <c r="Y678" t="s">
        <v>446</v>
      </c>
      <c r="Z678" t="s">
        <v>446</v>
      </c>
      <c r="AA678" t="s">
        <v>278</v>
      </c>
      <c r="AB678" t="s">
        <v>446</v>
      </c>
      <c r="AC678" t="b">
        <v>0</v>
      </c>
      <c r="AD678" t="b">
        <v>1</v>
      </c>
    </row>
    <row r="679" spans="1:30" x14ac:dyDescent="0.25">
      <c r="A679" t="s">
        <v>42</v>
      </c>
      <c r="B679" t="s">
        <v>1254</v>
      </c>
      <c r="C679" t="s">
        <v>278</v>
      </c>
      <c r="D679" t="s">
        <v>427</v>
      </c>
      <c r="E679" t="s">
        <v>1029</v>
      </c>
      <c r="F679">
        <v>0</v>
      </c>
      <c r="G679" t="s">
        <v>2012</v>
      </c>
      <c r="H679" t="s">
        <v>2079</v>
      </c>
      <c r="I679" t="s">
        <v>2080</v>
      </c>
      <c r="J679" t="s">
        <v>1110</v>
      </c>
      <c r="K679" t="s">
        <v>446</v>
      </c>
      <c r="L679" t="s">
        <v>446</v>
      </c>
      <c r="M679" t="s">
        <v>446</v>
      </c>
      <c r="N679" t="s">
        <v>446</v>
      </c>
      <c r="O679" t="s">
        <v>446</v>
      </c>
      <c r="P679" t="s">
        <v>446</v>
      </c>
      <c r="Q679" t="b">
        <v>1</v>
      </c>
      <c r="R679" t="b">
        <v>0</v>
      </c>
      <c r="S679" t="s">
        <v>1950</v>
      </c>
      <c r="T679" t="s">
        <v>446</v>
      </c>
      <c r="U679" t="s">
        <v>1951</v>
      </c>
      <c r="V679" t="s">
        <v>1980</v>
      </c>
      <c r="W679" t="s">
        <v>2015</v>
      </c>
      <c r="X679" t="s">
        <v>446</v>
      </c>
      <c r="Y679" t="s">
        <v>446</v>
      </c>
      <c r="Z679" t="s">
        <v>446</v>
      </c>
      <c r="AA679" t="s">
        <v>278</v>
      </c>
      <c r="AB679" t="s">
        <v>446</v>
      </c>
      <c r="AC679" t="b">
        <v>0</v>
      </c>
      <c r="AD679" t="b">
        <v>1</v>
      </c>
    </row>
    <row r="680" spans="1:30" x14ac:dyDescent="0.25">
      <c r="A680" t="s">
        <v>42</v>
      </c>
      <c r="B680" t="s">
        <v>1255</v>
      </c>
      <c r="C680" t="s">
        <v>278</v>
      </c>
      <c r="D680" t="s">
        <v>427</v>
      </c>
      <c r="E680" t="s">
        <v>1035</v>
      </c>
      <c r="F680">
        <v>0</v>
      </c>
      <c r="G680" t="s">
        <v>2012</v>
      </c>
      <c r="H680" t="s">
        <v>2079</v>
      </c>
      <c r="I680" t="s">
        <v>2080</v>
      </c>
      <c r="J680" t="s">
        <v>1110</v>
      </c>
      <c r="K680" t="s">
        <v>446</v>
      </c>
      <c r="L680" t="s">
        <v>446</v>
      </c>
      <c r="M680" t="s">
        <v>446</v>
      </c>
      <c r="N680" t="s">
        <v>446</v>
      </c>
      <c r="O680" t="s">
        <v>446</v>
      </c>
      <c r="P680" t="s">
        <v>446</v>
      </c>
      <c r="Q680" t="b">
        <v>1</v>
      </c>
      <c r="R680" t="b">
        <v>0</v>
      </c>
      <c r="S680" t="s">
        <v>1950</v>
      </c>
      <c r="T680" t="s">
        <v>446</v>
      </c>
      <c r="U680" t="s">
        <v>1951</v>
      </c>
      <c r="V680" t="s">
        <v>1980</v>
      </c>
      <c r="W680" t="s">
        <v>2015</v>
      </c>
      <c r="X680" t="s">
        <v>446</v>
      </c>
      <c r="Y680" t="s">
        <v>446</v>
      </c>
      <c r="Z680" t="s">
        <v>446</v>
      </c>
      <c r="AA680" t="s">
        <v>278</v>
      </c>
      <c r="AB680" t="s">
        <v>446</v>
      </c>
      <c r="AC680" t="b">
        <v>0</v>
      </c>
      <c r="AD680" t="b">
        <v>1</v>
      </c>
    </row>
    <row r="681" spans="1:30" x14ac:dyDescent="0.25">
      <c r="A681" t="s">
        <v>42</v>
      </c>
      <c r="B681" t="s">
        <v>1256</v>
      </c>
      <c r="C681" t="s">
        <v>278</v>
      </c>
      <c r="D681" t="s">
        <v>427</v>
      </c>
      <c r="E681" t="s">
        <v>1040</v>
      </c>
      <c r="F681">
        <v>0</v>
      </c>
      <c r="G681" t="s">
        <v>2012</v>
      </c>
      <c r="H681" t="s">
        <v>2079</v>
      </c>
      <c r="I681" t="s">
        <v>2080</v>
      </c>
      <c r="J681" t="s">
        <v>1110</v>
      </c>
      <c r="K681" t="s">
        <v>446</v>
      </c>
      <c r="L681" t="s">
        <v>446</v>
      </c>
      <c r="M681" t="s">
        <v>446</v>
      </c>
      <c r="N681" t="s">
        <v>446</v>
      </c>
      <c r="O681" t="s">
        <v>446</v>
      </c>
      <c r="P681" t="s">
        <v>446</v>
      </c>
      <c r="Q681" t="b">
        <v>1</v>
      </c>
      <c r="R681" t="b">
        <v>0</v>
      </c>
      <c r="S681" t="s">
        <v>1950</v>
      </c>
      <c r="T681" t="s">
        <v>446</v>
      </c>
      <c r="U681" t="s">
        <v>1951</v>
      </c>
      <c r="V681" t="s">
        <v>1980</v>
      </c>
      <c r="W681" t="s">
        <v>2015</v>
      </c>
      <c r="X681" t="s">
        <v>446</v>
      </c>
      <c r="Y681" t="s">
        <v>446</v>
      </c>
      <c r="Z681" t="s">
        <v>446</v>
      </c>
      <c r="AA681" t="s">
        <v>278</v>
      </c>
      <c r="AB681" t="s">
        <v>446</v>
      </c>
      <c r="AC681" t="b">
        <v>0</v>
      </c>
      <c r="AD681" t="b">
        <v>1</v>
      </c>
    </row>
    <row r="682" spans="1:30" x14ac:dyDescent="0.25">
      <c r="A682" t="s">
        <v>42</v>
      </c>
      <c r="B682" t="s">
        <v>1257</v>
      </c>
      <c r="C682" t="s">
        <v>278</v>
      </c>
      <c r="D682" t="s">
        <v>427</v>
      </c>
      <c r="E682" t="s">
        <v>1045</v>
      </c>
      <c r="F682">
        <v>0</v>
      </c>
      <c r="G682" t="s">
        <v>2012</v>
      </c>
      <c r="H682" t="s">
        <v>2079</v>
      </c>
      <c r="I682" t="s">
        <v>2080</v>
      </c>
      <c r="J682" t="s">
        <v>1110</v>
      </c>
      <c r="K682" t="s">
        <v>446</v>
      </c>
      <c r="L682" t="s">
        <v>446</v>
      </c>
      <c r="M682" t="s">
        <v>446</v>
      </c>
      <c r="N682" t="s">
        <v>446</v>
      </c>
      <c r="O682" t="s">
        <v>446</v>
      </c>
      <c r="P682" t="s">
        <v>446</v>
      </c>
      <c r="Q682" t="b">
        <v>1</v>
      </c>
      <c r="R682" t="b">
        <v>0</v>
      </c>
      <c r="S682" t="s">
        <v>1950</v>
      </c>
      <c r="T682" t="s">
        <v>446</v>
      </c>
      <c r="U682" t="s">
        <v>1951</v>
      </c>
      <c r="V682" t="s">
        <v>1980</v>
      </c>
      <c r="W682" t="s">
        <v>2015</v>
      </c>
      <c r="X682" t="s">
        <v>446</v>
      </c>
      <c r="Y682" t="s">
        <v>446</v>
      </c>
      <c r="Z682" t="s">
        <v>446</v>
      </c>
      <c r="AA682" t="s">
        <v>278</v>
      </c>
      <c r="AB682" t="s">
        <v>446</v>
      </c>
      <c r="AC682" t="b">
        <v>0</v>
      </c>
      <c r="AD682" t="b">
        <v>1</v>
      </c>
    </row>
    <row r="683" spans="1:30" x14ac:dyDescent="0.25">
      <c r="A683" t="s">
        <v>42</v>
      </c>
      <c r="B683" t="s">
        <v>1258</v>
      </c>
      <c r="C683" t="s">
        <v>278</v>
      </c>
      <c r="D683" t="s">
        <v>427</v>
      </c>
      <c r="E683" t="s">
        <v>1051</v>
      </c>
      <c r="F683">
        <v>0</v>
      </c>
      <c r="G683" t="s">
        <v>2012</v>
      </c>
      <c r="H683" t="s">
        <v>2079</v>
      </c>
      <c r="I683" t="s">
        <v>2080</v>
      </c>
      <c r="J683" t="s">
        <v>1110</v>
      </c>
      <c r="K683" t="s">
        <v>446</v>
      </c>
      <c r="L683" t="s">
        <v>446</v>
      </c>
      <c r="M683" t="s">
        <v>446</v>
      </c>
      <c r="N683" t="s">
        <v>446</v>
      </c>
      <c r="O683" t="s">
        <v>446</v>
      </c>
      <c r="P683" t="s">
        <v>446</v>
      </c>
      <c r="Q683" t="b">
        <v>1</v>
      </c>
      <c r="R683" t="b">
        <v>0</v>
      </c>
      <c r="S683" t="s">
        <v>1950</v>
      </c>
      <c r="T683" t="s">
        <v>446</v>
      </c>
      <c r="U683" t="s">
        <v>1951</v>
      </c>
      <c r="V683" t="s">
        <v>1980</v>
      </c>
      <c r="W683" t="s">
        <v>2015</v>
      </c>
      <c r="X683" t="s">
        <v>446</v>
      </c>
      <c r="Y683" t="s">
        <v>446</v>
      </c>
      <c r="Z683" t="s">
        <v>446</v>
      </c>
      <c r="AA683" t="s">
        <v>278</v>
      </c>
      <c r="AB683" t="s">
        <v>446</v>
      </c>
      <c r="AC683" t="b">
        <v>0</v>
      </c>
      <c r="AD683" t="b">
        <v>1</v>
      </c>
    </row>
    <row r="684" spans="1:30" x14ac:dyDescent="0.25">
      <c r="A684" t="s">
        <v>42</v>
      </c>
      <c r="B684" t="s">
        <v>1259</v>
      </c>
      <c r="C684" t="s">
        <v>279</v>
      </c>
      <c r="D684" t="s">
        <v>427</v>
      </c>
      <c r="E684" t="s">
        <v>978</v>
      </c>
      <c r="F684">
        <v>615</v>
      </c>
      <c r="G684" t="s">
        <v>1945</v>
      </c>
      <c r="H684" t="s">
        <v>2081</v>
      </c>
      <c r="I684" t="s">
        <v>2082</v>
      </c>
      <c r="J684" t="s">
        <v>1110</v>
      </c>
      <c r="K684" t="s">
        <v>984</v>
      </c>
      <c r="L684" t="s">
        <v>1948</v>
      </c>
      <c r="M684" t="s">
        <v>980</v>
      </c>
      <c r="N684" t="s">
        <v>985</v>
      </c>
      <c r="O684" t="s">
        <v>1949</v>
      </c>
      <c r="P684" t="s">
        <v>981</v>
      </c>
      <c r="Q684" t="b">
        <v>1</v>
      </c>
      <c r="R684" t="b">
        <v>0</v>
      </c>
      <c r="S684" t="s">
        <v>1950</v>
      </c>
      <c r="T684" t="s">
        <v>446</v>
      </c>
      <c r="U684" t="s">
        <v>1951</v>
      </c>
      <c r="V684" t="s">
        <v>1093</v>
      </c>
      <c r="W684" t="s">
        <v>1952</v>
      </c>
      <c r="X684" t="s">
        <v>2083</v>
      </c>
      <c r="Y684" t="s">
        <v>2084</v>
      </c>
      <c r="Z684" t="s">
        <v>2085</v>
      </c>
      <c r="AA684" t="s">
        <v>2086</v>
      </c>
      <c r="AB684" t="s">
        <v>2087</v>
      </c>
      <c r="AC684" t="b">
        <v>0</v>
      </c>
      <c r="AD684" t="b">
        <v>1</v>
      </c>
    </row>
    <row r="685" spans="1:30" x14ac:dyDescent="0.25">
      <c r="A685" t="s">
        <v>42</v>
      </c>
      <c r="B685" t="s">
        <v>1260</v>
      </c>
      <c r="C685" t="s">
        <v>279</v>
      </c>
      <c r="D685" t="s">
        <v>427</v>
      </c>
      <c r="E685" t="s">
        <v>986</v>
      </c>
      <c r="F685">
        <v>91</v>
      </c>
      <c r="G685" t="s">
        <v>1945</v>
      </c>
      <c r="H685" t="s">
        <v>2088</v>
      </c>
      <c r="I685" t="s">
        <v>2082</v>
      </c>
      <c r="J685" t="s">
        <v>1110</v>
      </c>
      <c r="K685" t="s">
        <v>990</v>
      </c>
      <c r="L685" t="s">
        <v>1955</v>
      </c>
      <c r="M685" t="s">
        <v>980</v>
      </c>
      <c r="N685" t="s">
        <v>991</v>
      </c>
      <c r="O685" t="s">
        <v>1956</v>
      </c>
      <c r="P685" t="s">
        <v>988</v>
      </c>
      <c r="Q685" t="b">
        <v>1</v>
      </c>
      <c r="R685" t="b">
        <v>0</v>
      </c>
      <c r="S685" t="s">
        <v>1950</v>
      </c>
      <c r="T685" t="s">
        <v>446</v>
      </c>
      <c r="U685" t="s">
        <v>1951</v>
      </c>
      <c r="V685" t="s">
        <v>1093</v>
      </c>
      <c r="W685" t="s">
        <v>1952</v>
      </c>
      <c r="X685" t="s">
        <v>2083</v>
      </c>
      <c r="Y685" t="s">
        <v>2084</v>
      </c>
      <c r="Z685" t="s">
        <v>2085</v>
      </c>
      <c r="AA685" t="s">
        <v>2086</v>
      </c>
      <c r="AB685" t="s">
        <v>2087</v>
      </c>
      <c r="AC685" t="b">
        <v>0</v>
      </c>
      <c r="AD685" t="b">
        <v>1</v>
      </c>
    </row>
    <row r="686" spans="1:30" x14ac:dyDescent="0.25">
      <c r="A686" t="s">
        <v>42</v>
      </c>
      <c r="B686" t="s">
        <v>1261</v>
      </c>
      <c r="C686" t="s">
        <v>279</v>
      </c>
      <c r="D686" t="s">
        <v>427</v>
      </c>
      <c r="E686" t="s">
        <v>992</v>
      </c>
      <c r="F686">
        <v>-130</v>
      </c>
      <c r="G686" t="s">
        <v>1945</v>
      </c>
      <c r="H686" t="s">
        <v>2089</v>
      </c>
      <c r="I686" t="s">
        <v>2082</v>
      </c>
      <c r="J686" t="s">
        <v>1110</v>
      </c>
      <c r="K686" t="s">
        <v>996</v>
      </c>
      <c r="L686" t="s">
        <v>1958</v>
      </c>
      <c r="M686" t="s">
        <v>980</v>
      </c>
      <c r="N686" t="s">
        <v>997</v>
      </c>
      <c r="O686" t="s">
        <v>1959</v>
      </c>
      <c r="P686" t="s">
        <v>994</v>
      </c>
      <c r="Q686" t="b">
        <v>1</v>
      </c>
      <c r="R686" t="b">
        <v>0</v>
      </c>
      <c r="S686" t="s">
        <v>1950</v>
      </c>
      <c r="T686" t="s">
        <v>446</v>
      </c>
      <c r="U686" t="s">
        <v>1951</v>
      </c>
      <c r="V686" t="s">
        <v>1093</v>
      </c>
      <c r="W686" t="s">
        <v>1952</v>
      </c>
      <c r="X686" t="s">
        <v>2083</v>
      </c>
      <c r="Y686" t="s">
        <v>2084</v>
      </c>
      <c r="Z686" t="s">
        <v>2085</v>
      </c>
      <c r="AA686" t="s">
        <v>2086</v>
      </c>
      <c r="AB686" t="s">
        <v>2087</v>
      </c>
      <c r="AC686" t="b">
        <v>0</v>
      </c>
      <c r="AD686" t="b">
        <v>1</v>
      </c>
    </row>
    <row r="687" spans="1:30" x14ac:dyDescent="0.25">
      <c r="A687" t="s">
        <v>42</v>
      </c>
      <c r="B687" t="s">
        <v>1262</v>
      </c>
      <c r="C687" t="s">
        <v>279</v>
      </c>
      <c r="D687" t="s">
        <v>427</v>
      </c>
      <c r="E687" t="s">
        <v>998</v>
      </c>
      <c r="F687">
        <v>-6</v>
      </c>
      <c r="G687" t="s">
        <v>1945</v>
      </c>
      <c r="H687" t="s">
        <v>2090</v>
      </c>
      <c r="I687" t="s">
        <v>2091</v>
      </c>
      <c r="J687" t="s">
        <v>1110</v>
      </c>
      <c r="K687" t="s">
        <v>1003</v>
      </c>
      <c r="L687" t="s">
        <v>2031</v>
      </c>
      <c r="M687" t="s">
        <v>1000</v>
      </c>
      <c r="N687" t="s">
        <v>1004</v>
      </c>
      <c r="O687" t="s">
        <v>1949</v>
      </c>
      <c r="P687" t="s">
        <v>1001</v>
      </c>
      <c r="Q687" t="b">
        <v>1</v>
      </c>
      <c r="R687" t="b">
        <v>0</v>
      </c>
      <c r="S687" t="s">
        <v>1950</v>
      </c>
      <c r="T687" t="s">
        <v>446</v>
      </c>
      <c r="U687" t="s">
        <v>1951</v>
      </c>
      <c r="V687" t="s">
        <v>1980</v>
      </c>
      <c r="W687" t="s">
        <v>1952</v>
      </c>
      <c r="X687" t="s">
        <v>446</v>
      </c>
      <c r="Y687" t="s">
        <v>2084</v>
      </c>
      <c r="Z687" t="s">
        <v>2085</v>
      </c>
      <c r="AA687" t="s">
        <v>2086</v>
      </c>
      <c r="AB687" t="s">
        <v>2087</v>
      </c>
      <c r="AC687" t="b">
        <v>0</v>
      </c>
      <c r="AD687" t="b">
        <v>1</v>
      </c>
    </row>
    <row r="688" spans="1:30" x14ac:dyDescent="0.25">
      <c r="A688" t="s">
        <v>42</v>
      </c>
      <c r="B688" t="s">
        <v>1263</v>
      </c>
      <c r="C688" t="s">
        <v>279</v>
      </c>
      <c r="D688" t="s">
        <v>427</v>
      </c>
      <c r="E688" t="s">
        <v>1006</v>
      </c>
      <c r="F688">
        <v>1513</v>
      </c>
      <c r="G688" t="s">
        <v>1945</v>
      </c>
      <c r="H688" t="s">
        <v>2092</v>
      </c>
      <c r="I688" t="s">
        <v>2082</v>
      </c>
      <c r="J688" t="s">
        <v>1110</v>
      </c>
      <c r="K688" t="s">
        <v>1967</v>
      </c>
      <c r="L688" t="s">
        <v>1968</v>
      </c>
      <c r="M688" t="s">
        <v>980</v>
      </c>
      <c r="N688" t="s">
        <v>1969</v>
      </c>
      <c r="O688" t="s">
        <v>1970</v>
      </c>
      <c r="P688" t="s">
        <v>1009</v>
      </c>
      <c r="Q688" t="b">
        <v>1</v>
      </c>
      <c r="R688" t="b">
        <v>0</v>
      </c>
      <c r="S688" t="s">
        <v>1950</v>
      </c>
      <c r="T688" t="s">
        <v>446</v>
      </c>
      <c r="U688" t="s">
        <v>1951</v>
      </c>
      <c r="V688" t="s">
        <v>1093</v>
      </c>
      <c r="W688" t="s">
        <v>1952</v>
      </c>
      <c r="X688" t="s">
        <v>2083</v>
      </c>
      <c r="Y688" t="s">
        <v>2093</v>
      </c>
      <c r="Z688" t="s">
        <v>446</v>
      </c>
      <c r="AA688" t="s">
        <v>279</v>
      </c>
      <c r="AB688" t="s">
        <v>446</v>
      </c>
      <c r="AC688" t="b">
        <v>0</v>
      </c>
      <c r="AD688" t="b">
        <v>1</v>
      </c>
    </row>
    <row r="689" spans="1:30" x14ac:dyDescent="0.25">
      <c r="A689" t="s">
        <v>42</v>
      </c>
      <c r="B689" t="s">
        <v>1264</v>
      </c>
      <c r="C689" t="s">
        <v>279</v>
      </c>
      <c r="D689" t="s">
        <v>427</v>
      </c>
      <c r="E689" t="s">
        <v>1013</v>
      </c>
      <c r="F689">
        <v>2</v>
      </c>
      <c r="G689" t="s">
        <v>1945</v>
      </c>
      <c r="H689" t="s">
        <v>2094</v>
      </c>
      <c r="I689" t="s">
        <v>2082</v>
      </c>
      <c r="J689" t="s">
        <v>1110</v>
      </c>
      <c r="K689" t="s">
        <v>1016</v>
      </c>
      <c r="L689" t="s">
        <v>1972</v>
      </c>
      <c r="M689" t="s">
        <v>980</v>
      </c>
      <c r="N689" t="s">
        <v>1017</v>
      </c>
      <c r="O689" t="s">
        <v>1973</v>
      </c>
      <c r="P689" t="s">
        <v>1015</v>
      </c>
      <c r="Q689" t="b">
        <v>1</v>
      </c>
      <c r="R689" t="b">
        <v>0</v>
      </c>
      <c r="S689" t="s">
        <v>1950</v>
      </c>
      <c r="T689" t="s">
        <v>446</v>
      </c>
      <c r="U689" t="s">
        <v>1951</v>
      </c>
      <c r="V689" t="s">
        <v>1093</v>
      </c>
      <c r="W689" t="s">
        <v>1952</v>
      </c>
      <c r="X689" t="s">
        <v>2083</v>
      </c>
      <c r="Y689" t="s">
        <v>2084</v>
      </c>
      <c r="Z689" t="s">
        <v>2085</v>
      </c>
      <c r="AA689" t="s">
        <v>2086</v>
      </c>
      <c r="AB689" t="s">
        <v>2087</v>
      </c>
      <c r="AC689" t="b">
        <v>0</v>
      </c>
      <c r="AD689" t="b">
        <v>1</v>
      </c>
    </row>
    <row r="690" spans="1:30" x14ac:dyDescent="0.25">
      <c r="A690" t="s">
        <v>42</v>
      </c>
      <c r="B690" t="s">
        <v>1265</v>
      </c>
      <c r="C690" t="s">
        <v>279</v>
      </c>
      <c r="D690" t="s">
        <v>427</v>
      </c>
      <c r="E690" t="s">
        <v>1018</v>
      </c>
      <c r="F690">
        <v>491</v>
      </c>
      <c r="G690" t="s">
        <v>1945</v>
      </c>
      <c r="H690" t="s">
        <v>2095</v>
      </c>
      <c r="I690" t="s">
        <v>2082</v>
      </c>
      <c r="J690" t="s">
        <v>1110</v>
      </c>
      <c r="K690" t="s">
        <v>1021</v>
      </c>
      <c r="L690" t="s">
        <v>1975</v>
      </c>
      <c r="M690" t="s">
        <v>980</v>
      </c>
      <c r="N690" t="s">
        <v>1022</v>
      </c>
      <c r="O690" t="s">
        <v>1976</v>
      </c>
      <c r="P690" t="s">
        <v>1020</v>
      </c>
      <c r="Q690" t="b">
        <v>1</v>
      </c>
      <c r="R690" t="b">
        <v>0</v>
      </c>
      <c r="S690" t="s">
        <v>1950</v>
      </c>
      <c r="T690" t="s">
        <v>446</v>
      </c>
      <c r="U690" t="s">
        <v>1951</v>
      </c>
      <c r="V690" t="s">
        <v>1093</v>
      </c>
      <c r="W690" t="s">
        <v>1952</v>
      </c>
      <c r="X690" t="s">
        <v>2083</v>
      </c>
      <c r="Y690" t="s">
        <v>2084</v>
      </c>
      <c r="Z690" t="s">
        <v>2085</v>
      </c>
      <c r="AA690" t="s">
        <v>2086</v>
      </c>
      <c r="AB690" t="s">
        <v>2087</v>
      </c>
      <c r="AC690" t="b">
        <v>0</v>
      </c>
      <c r="AD690" t="b">
        <v>1</v>
      </c>
    </row>
    <row r="691" spans="1:30" x14ac:dyDescent="0.25">
      <c r="A691" t="s">
        <v>42</v>
      </c>
      <c r="B691" t="s">
        <v>1266</v>
      </c>
      <c r="C691" t="s">
        <v>279</v>
      </c>
      <c r="D691" t="s">
        <v>427</v>
      </c>
      <c r="E691" t="s">
        <v>1023</v>
      </c>
      <c r="F691">
        <v>-14</v>
      </c>
      <c r="G691" t="s">
        <v>1945</v>
      </c>
      <c r="H691" t="s">
        <v>2096</v>
      </c>
      <c r="I691" t="s">
        <v>2091</v>
      </c>
      <c r="J691" t="s">
        <v>1110</v>
      </c>
      <c r="K691" t="s">
        <v>1026</v>
      </c>
      <c r="L691" t="s">
        <v>1979</v>
      </c>
      <c r="M691" t="s">
        <v>1000</v>
      </c>
      <c r="N691" t="s">
        <v>1027</v>
      </c>
      <c r="O691" t="s">
        <v>1970</v>
      </c>
      <c r="P691" t="s">
        <v>1025</v>
      </c>
      <c r="Q691" t="b">
        <v>1</v>
      </c>
      <c r="R691" t="b">
        <v>0</v>
      </c>
      <c r="S691" t="s">
        <v>1950</v>
      </c>
      <c r="T691" t="s">
        <v>446</v>
      </c>
      <c r="U691" t="s">
        <v>1951</v>
      </c>
      <c r="V691" t="s">
        <v>1980</v>
      </c>
      <c r="W691" t="s">
        <v>1952</v>
      </c>
      <c r="X691" t="s">
        <v>446</v>
      </c>
      <c r="Y691" t="s">
        <v>2084</v>
      </c>
      <c r="Z691" t="s">
        <v>2085</v>
      </c>
      <c r="AA691" t="s">
        <v>2086</v>
      </c>
      <c r="AB691" t="s">
        <v>2087</v>
      </c>
      <c r="AC691" t="b">
        <v>0</v>
      </c>
      <c r="AD691" t="b">
        <v>1</v>
      </c>
    </row>
    <row r="692" spans="1:30" x14ac:dyDescent="0.25">
      <c r="A692" t="s">
        <v>42</v>
      </c>
      <c r="B692" t="s">
        <v>1267</v>
      </c>
      <c r="C692" t="s">
        <v>279</v>
      </c>
      <c r="D692" t="s">
        <v>427</v>
      </c>
      <c r="E692" t="s">
        <v>1029</v>
      </c>
      <c r="F692">
        <v>254</v>
      </c>
      <c r="G692" t="s">
        <v>1945</v>
      </c>
      <c r="H692" t="s">
        <v>2097</v>
      </c>
      <c r="I692" t="s">
        <v>2082</v>
      </c>
      <c r="J692" t="s">
        <v>1110</v>
      </c>
      <c r="K692" t="s">
        <v>1033</v>
      </c>
      <c r="L692" t="s">
        <v>1982</v>
      </c>
      <c r="M692" t="s">
        <v>980</v>
      </c>
      <c r="N692" t="s">
        <v>1034</v>
      </c>
      <c r="O692" t="s">
        <v>1983</v>
      </c>
      <c r="P692" t="s">
        <v>1031</v>
      </c>
      <c r="Q692" t="b">
        <v>1</v>
      </c>
      <c r="R692" t="b">
        <v>0</v>
      </c>
      <c r="S692" t="s">
        <v>1950</v>
      </c>
      <c r="T692" t="s">
        <v>446</v>
      </c>
      <c r="U692" t="s">
        <v>1951</v>
      </c>
      <c r="V692" t="s">
        <v>1093</v>
      </c>
      <c r="W692" t="s">
        <v>1952</v>
      </c>
      <c r="X692" t="s">
        <v>2083</v>
      </c>
      <c r="Y692" t="s">
        <v>2084</v>
      </c>
      <c r="Z692" t="s">
        <v>2085</v>
      </c>
      <c r="AA692" t="s">
        <v>2086</v>
      </c>
      <c r="AB692" t="s">
        <v>2087</v>
      </c>
      <c r="AC692" t="b">
        <v>0</v>
      </c>
      <c r="AD692" t="b">
        <v>1</v>
      </c>
    </row>
    <row r="693" spans="1:30" x14ac:dyDescent="0.25">
      <c r="A693" t="s">
        <v>42</v>
      </c>
      <c r="B693" t="s">
        <v>1268</v>
      </c>
      <c r="C693" t="s">
        <v>279</v>
      </c>
      <c r="D693" t="s">
        <v>427</v>
      </c>
      <c r="E693" t="s">
        <v>1035</v>
      </c>
      <c r="F693">
        <v>212</v>
      </c>
      <c r="G693" t="s">
        <v>1945</v>
      </c>
      <c r="H693" t="s">
        <v>2098</v>
      </c>
      <c r="I693" t="s">
        <v>2082</v>
      </c>
      <c r="J693" t="s">
        <v>1110</v>
      </c>
      <c r="K693" t="s">
        <v>1038</v>
      </c>
      <c r="L693" t="s">
        <v>1985</v>
      </c>
      <c r="M693" t="s">
        <v>980</v>
      </c>
      <c r="N693" t="s">
        <v>1039</v>
      </c>
      <c r="O693" t="s">
        <v>1986</v>
      </c>
      <c r="P693" t="s">
        <v>1037</v>
      </c>
      <c r="Q693" t="b">
        <v>1</v>
      </c>
      <c r="R693" t="b">
        <v>0</v>
      </c>
      <c r="S693" t="s">
        <v>1950</v>
      </c>
      <c r="T693" t="s">
        <v>446</v>
      </c>
      <c r="U693" t="s">
        <v>1951</v>
      </c>
      <c r="V693" t="s">
        <v>1093</v>
      </c>
      <c r="W693" t="s">
        <v>1952</v>
      </c>
      <c r="X693" t="s">
        <v>2083</v>
      </c>
      <c r="Y693" t="s">
        <v>2084</v>
      </c>
      <c r="Z693" t="s">
        <v>2085</v>
      </c>
      <c r="AA693" t="s">
        <v>2086</v>
      </c>
      <c r="AB693" t="s">
        <v>2087</v>
      </c>
      <c r="AC693" t="b">
        <v>0</v>
      </c>
      <c r="AD693" t="b">
        <v>1</v>
      </c>
    </row>
    <row r="694" spans="1:30" x14ac:dyDescent="0.25">
      <c r="A694" t="s">
        <v>42</v>
      </c>
      <c r="B694" t="s">
        <v>1269</v>
      </c>
      <c r="C694" t="s">
        <v>279</v>
      </c>
      <c r="D694" t="s">
        <v>427</v>
      </c>
      <c r="E694" t="s">
        <v>1040</v>
      </c>
      <c r="F694">
        <v>-237</v>
      </c>
      <c r="G694" t="s">
        <v>1945</v>
      </c>
      <c r="H694" t="s">
        <v>2099</v>
      </c>
      <c r="I694" t="s">
        <v>2082</v>
      </c>
      <c r="J694" t="s">
        <v>1110</v>
      </c>
      <c r="K694" t="s">
        <v>1043</v>
      </c>
      <c r="L694" t="s">
        <v>1988</v>
      </c>
      <c r="M694" t="s">
        <v>980</v>
      </c>
      <c r="N694" t="s">
        <v>1044</v>
      </c>
      <c r="O694" t="s">
        <v>1989</v>
      </c>
      <c r="P694" t="s">
        <v>1042</v>
      </c>
      <c r="Q694" t="b">
        <v>1</v>
      </c>
      <c r="R694" t="b">
        <v>0</v>
      </c>
      <c r="S694" t="s">
        <v>1950</v>
      </c>
      <c r="T694" t="s">
        <v>446</v>
      </c>
      <c r="U694" t="s">
        <v>1951</v>
      </c>
      <c r="V694" t="s">
        <v>1093</v>
      </c>
      <c r="W694" t="s">
        <v>1952</v>
      </c>
      <c r="X694" t="s">
        <v>2083</v>
      </c>
      <c r="Y694" t="s">
        <v>2084</v>
      </c>
      <c r="Z694" t="s">
        <v>2085</v>
      </c>
      <c r="AA694" t="s">
        <v>2086</v>
      </c>
      <c r="AB694" t="s">
        <v>2087</v>
      </c>
      <c r="AC694" t="b">
        <v>0</v>
      </c>
      <c r="AD694" t="b">
        <v>1</v>
      </c>
    </row>
    <row r="695" spans="1:24" x14ac:dyDescent="0.25">
      <c r="A695" t="s">
        <v>42</v>
      </c>
      <c r="B695" t="s">
        <v>2100</v>
      </c>
      <c r="C695" t="s">
        <v>279</v>
      </c>
      <c r="D695" t="s">
        <v>427</v>
      </c>
      <c r="E695" t="s">
        <v>1045</v>
      </c>
      <c r="F695">
        <v>-1245</v>
      </c>
      <c r="G695" t="s">
        <v>1074</v>
      </c>
      <c r="H695" t="s">
        <v>446</v>
      </c>
      <c r="I695" t="s">
        <v>446</v>
      </c>
      <c r="J695" t="s">
        <v>1110</v>
      </c>
      <c r="K695" t="s">
        <v>446</v>
      </c>
      <c r="L695" t="s">
        <v>446</v>
      </c>
      <c r="M695" t="s">
        <v>446</v>
      </c>
      <c r="N695" t="s">
        <v>446</v>
      </c>
      <c r="O695" t="s">
        <v>446</v>
      </c>
      <c r="P695" t="s">
        <v>446</v>
      </c>
      <c r="Q695" t="b">
        <v>0</v>
      </c>
      <c r="R695" t="b">
        <v>1</v>
      </c>
      <c r="S695" t="s">
        <v>1961</v>
      </c>
      <c r="T695" t="s">
        <v>1962</v>
      </c>
      <c r="U695" t="s">
        <v>1963</v>
      </c>
      <c r="V695" t="s">
        <v>1964</v>
      </c>
      <c r="W695" t="s">
        <v>1965</v>
      </c>
      <c r="X695" t="s">
        <v>446</v>
      </c>
    </row>
    <row r="696" spans="1:30" x14ac:dyDescent="0.25">
      <c r="A696" t="s">
        <v>42</v>
      </c>
      <c r="B696" t="s">
        <v>1271</v>
      </c>
      <c r="C696" t="s">
        <v>279</v>
      </c>
      <c r="D696" t="s">
        <v>427</v>
      </c>
      <c r="E696" t="s">
        <v>1051</v>
      </c>
      <c r="F696">
        <v>21</v>
      </c>
      <c r="G696" t="s">
        <v>1945</v>
      </c>
      <c r="H696" t="s">
        <v>2101</v>
      </c>
      <c r="I696" t="s">
        <v>2082</v>
      </c>
      <c r="J696" t="s">
        <v>1110</v>
      </c>
      <c r="K696" t="s">
        <v>1055</v>
      </c>
      <c r="L696" t="s">
        <v>1993</v>
      </c>
      <c r="M696" t="s">
        <v>980</v>
      </c>
      <c r="N696" t="s">
        <v>1056</v>
      </c>
      <c r="O696" t="s">
        <v>1994</v>
      </c>
      <c r="P696" t="s">
        <v>1053</v>
      </c>
      <c r="Q696" t="b">
        <v>1</v>
      </c>
      <c r="R696" t="b">
        <v>0</v>
      </c>
      <c r="S696" t="s">
        <v>1950</v>
      </c>
      <c r="T696" t="s">
        <v>446</v>
      </c>
      <c r="U696" t="s">
        <v>1951</v>
      </c>
      <c r="V696" t="s">
        <v>1093</v>
      </c>
      <c r="W696" t="s">
        <v>1952</v>
      </c>
      <c r="X696" t="s">
        <v>2083</v>
      </c>
      <c r="Y696" t="s">
        <v>2093</v>
      </c>
      <c r="Z696" t="s">
        <v>446</v>
      </c>
      <c r="AA696" t="s">
        <v>279</v>
      </c>
      <c r="AB696" t="s">
        <v>446</v>
      </c>
      <c r="AC696" t="b">
        <v>0</v>
      </c>
      <c r="AD696" t="b">
        <v>1</v>
      </c>
    </row>
    <row r="697" spans="1:30" x14ac:dyDescent="0.25">
      <c r="A697" t="s">
        <v>42</v>
      </c>
      <c r="B697" t="s">
        <v>1272</v>
      </c>
      <c r="C697" t="s">
        <v>281</v>
      </c>
      <c r="D697" t="s">
        <v>427</v>
      </c>
      <c r="E697" t="s">
        <v>978</v>
      </c>
      <c r="F697">
        <v>-940</v>
      </c>
      <c r="G697" t="s">
        <v>1945</v>
      </c>
      <c r="H697" t="s">
        <v>2102</v>
      </c>
      <c r="I697" t="s">
        <v>2103</v>
      </c>
      <c r="J697" t="s">
        <v>1110</v>
      </c>
      <c r="K697" t="s">
        <v>984</v>
      </c>
      <c r="L697" t="s">
        <v>1948</v>
      </c>
      <c r="M697" t="s">
        <v>980</v>
      </c>
      <c r="N697" t="s">
        <v>985</v>
      </c>
      <c r="O697" t="s">
        <v>1949</v>
      </c>
      <c r="P697" t="s">
        <v>981</v>
      </c>
      <c r="Q697" t="b">
        <v>1</v>
      </c>
      <c r="R697" t="b">
        <v>0</v>
      </c>
      <c r="S697" t="s">
        <v>1950</v>
      </c>
      <c r="T697" t="s">
        <v>446</v>
      </c>
      <c r="U697" t="s">
        <v>1951</v>
      </c>
      <c r="V697" t="s">
        <v>1093</v>
      </c>
      <c r="W697" t="s">
        <v>1952</v>
      </c>
      <c r="X697" t="s">
        <v>2104</v>
      </c>
      <c r="Y697" t="s">
        <v>2105</v>
      </c>
      <c r="Z697" t="s">
        <v>446</v>
      </c>
      <c r="AA697" t="s">
        <v>281</v>
      </c>
      <c r="AB697" t="s">
        <v>446</v>
      </c>
      <c r="AC697" t="b">
        <v>0</v>
      </c>
      <c r="AD697" t="b">
        <v>1</v>
      </c>
    </row>
    <row r="698" spans="1:30" x14ac:dyDescent="0.25">
      <c r="A698" t="s">
        <v>42</v>
      </c>
      <c r="B698" t="s">
        <v>1274</v>
      </c>
      <c r="C698" t="s">
        <v>281</v>
      </c>
      <c r="D698" t="s">
        <v>427</v>
      </c>
      <c r="E698" t="s">
        <v>986</v>
      </c>
      <c r="F698">
        <v>-359</v>
      </c>
      <c r="G698" t="s">
        <v>1945</v>
      </c>
      <c r="H698" t="s">
        <v>2106</v>
      </c>
      <c r="I698" t="s">
        <v>2103</v>
      </c>
      <c r="J698" t="s">
        <v>1110</v>
      </c>
      <c r="K698" t="s">
        <v>990</v>
      </c>
      <c r="L698" t="s">
        <v>1955</v>
      </c>
      <c r="M698" t="s">
        <v>980</v>
      </c>
      <c r="N698" t="s">
        <v>991</v>
      </c>
      <c r="O698" t="s">
        <v>1956</v>
      </c>
      <c r="P698" t="s">
        <v>988</v>
      </c>
      <c r="Q698" t="b">
        <v>1</v>
      </c>
      <c r="R698" t="b">
        <v>0</v>
      </c>
      <c r="S698" t="s">
        <v>1950</v>
      </c>
      <c r="T698" t="s">
        <v>446</v>
      </c>
      <c r="U698" t="s">
        <v>1951</v>
      </c>
      <c r="V698" t="s">
        <v>1093</v>
      </c>
      <c r="W698" t="s">
        <v>1952</v>
      </c>
      <c r="X698" t="s">
        <v>2104</v>
      </c>
      <c r="Y698" t="s">
        <v>2105</v>
      </c>
      <c r="Z698" t="s">
        <v>446</v>
      </c>
      <c r="AA698" t="s">
        <v>281</v>
      </c>
      <c r="AB698" t="s">
        <v>446</v>
      </c>
      <c r="AC698" t="b">
        <v>0</v>
      </c>
      <c r="AD698" t="b">
        <v>1</v>
      </c>
    </row>
    <row r="699" spans="1:30" x14ac:dyDescent="0.25">
      <c r="A699" t="s">
        <v>42</v>
      </c>
      <c r="B699" t="s">
        <v>1276</v>
      </c>
      <c r="C699" t="s">
        <v>281</v>
      </c>
      <c r="D699" t="s">
        <v>427</v>
      </c>
      <c r="E699" t="s">
        <v>992</v>
      </c>
      <c r="F699">
        <v>-454</v>
      </c>
      <c r="G699" t="s">
        <v>1945</v>
      </c>
      <c r="H699" t="s">
        <v>2107</v>
      </c>
      <c r="I699" t="s">
        <v>2103</v>
      </c>
      <c r="J699" t="s">
        <v>1110</v>
      </c>
      <c r="K699" t="s">
        <v>996</v>
      </c>
      <c r="L699" t="s">
        <v>1958</v>
      </c>
      <c r="M699" t="s">
        <v>980</v>
      </c>
      <c r="N699" t="s">
        <v>997</v>
      </c>
      <c r="O699" t="s">
        <v>1959</v>
      </c>
      <c r="P699" t="s">
        <v>994</v>
      </c>
      <c r="Q699" t="b">
        <v>1</v>
      </c>
      <c r="R699" t="b">
        <v>0</v>
      </c>
      <c r="S699" t="s">
        <v>1950</v>
      </c>
      <c r="T699" t="s">
        <v>446</v>
      </c>
      <c r="U699" t="s">
        <v>1951</v>
      </c>
      <c r="V699" t="s">
        <v>1093</v>
      </c>
      <c r="W699" t="s">
        <v>1952</v>
      </c>
      <c r="X699" t="s">
        <v>2104</v>
      </c>
      <c r="Y699" t="s">
        <v>2105</v>
      </c>
      <c r="Z699" t="s">
        <v>446</v>
      </c>
      <c r="AA699" t="s">
        <v>281</v>
      </c>
      <c r="AB699" t="s">
        <v>446</v>
      </c>
      <c r="AC699" t="b">
        <v>0</v>
      </c>
      <c r="AD699" t="b">
        <v>1</v>
      </c>
    </row>
    <row r="700" spans="1:24" x14ac:dyDescent="0.25">
      <c r="A700" t="s">
        <v>42</v>
      </c>
      <c r="B700" t="s">
        <v>2108</v>
      </c>
      <c r="C700" t="s">
        <v>281</v>
      </c>
      <c r="D700" t="s">
        <v>427</v>
      </c>
      <c r="E700" t="s">
        <v>998</v>
      </c>
      <c r="F700">
        <v>-98</v>
      </c>
      <c r="G700" t="s">
        <v>1074</v>
      </c>
      <c r="H700" t="s">
        <v>446</v>
      </c>
      <c r="I700" t="s">
        <v>446</v>
      </c>
      <c r="J700" t="s">
        <v>1110</v>
      </c>
      <c r="K700" t="s">
        <v>446</v>
      </c>
      <c r="L700" t="s">
        <v>446</v>
      </c>
      <c r="M700" t="s">
        <v>446</v>
      </c>
      <c r="N700" t="s">
        <v>446</v>
      </c>
      <c r="O700" t="s">
        <v>446</v>
      </c>
      <c r="P700" t="s">
        <v>446</v>
      </c>
      <c r="Q700" t="b">
        <v>0</v>
      </c>
      <c r="R700" t="b">
        <v>1</v>
      </c>
      <c r="S700" t="s">
        <v>1961</v>
      </c>
      <c r="T700" t="s">
        <v>1962</v>
      </c>
      <c r="U700" t="s">
        <v>1963</v>
      </c>
      <c r="V700" t="s">
        <v>1964</v>
      </c>
      <c r="W700" t="s">
        <v>1965</v>
      </c>
      <c r="X700" t="s">
        <v>446</v>
      </c>
    </row>
    <row r="701" spans="1:30" x14ac:dyDescent="0.25">
      <c r="A701" t="s">
        <v>42</v>
      </c>
      <c r="B701" t="s">
        <v>1278</v>
      </c>
      <c r="C701" t="s">
        <v>281</v>
      </c>
      <c r="D701" t="s">
        <v>427</v>
      </c>
      <c r="E701" t="s">
        <v>1006</v>
      </c>
      <c r="F701">
        <v>-687</v>
      </c>
      <c r="G701" t="s">
        <v>1945</v>
      </c>
      <c r="H701" t="s">
        <v>2109</v>
      </c>
      <c r="I701" t="s">
        <v>2103</v>
      </c>
      <c r="J701" t="s">
        <v>1110</v>
      </c>
      <c r="K701" t="s">
        <v>1967</v>
      </c>
      <c r="L701" t="s">
        <v>1968</v>
      </c>
      <c r="M701" t="s">
        <v>980</v>
      </c>
      <c r="N701" t="s">
        <v>1969</v>
      </c>
      <c r="O701" t="s">
        <v>1970</v>
      </c>
      <c r="P701" t="s">
        <v>1009</v>
      </c>
      <c r="Q701" t="b">
        <v>1</v>
      </c>
      <c r="R701" t="b">
        <v>0</v>
      </c>
      <c r="S701" t="s">
        <v>1950</v>
      </c>
      <c r="T701" t="s">
        <v>446</v>
      </c>
      <c r="U701" t="s">
        <v>1951</v>
      </c>
      <c r="V701" t="s">
        <v>1093</v>
      </c>
      <c r="W701" t="s">
        <v>1952</v>
      </c>
      <c r="X701" t="s">
        <v>2104</v>
      </c>
      <c r="Y701" t="s">
        <v>2105</v>
      </c>
      <c r="Z701" t="s">
        <v>446</v>
      </c>
      <c r="AA701" t="s">
        <v>281</v>
      </c>
      <c r="AB701" t="s">
        <v>446</v>
      </c>
      <c r="AC701" t="b">
        <v>0</v>
      </c>
      <c r="AD701" t="b">
        <v>1</v>
      </c>
    </row>
    <row r="702" spans="1:30" x14ac:dyDescent="0.25">
      <c r="A702" t="s">
        <v>42</v>
      </c>
      <c r="B702" t="s">
        <v>1280</v>
      </c>
      <c r="C702" t="s">
        <v>281</v>
      </c>
      <c r="D702" t="s">
        <v>427</v>
      </c>
      <c r="E702" t="s">
        <v>1013</v>
      </c>
      <c r="F702">
        <v>-627</v>
      </c>
      <c r="G702" t="s">
        <v>1945</v>
      </c>
      <c r="H702" t="s">
        <v>2110</v>
      </c>
      <c r="I702" t="s">
        <v>2103</v>
      </c>
      <c r="J702" t="s">
        <v>1110</v>
      </c>
      <c r="K702" t="s">
        <v>1016</v>
      </c>
      <c r="L702" t="s">
        <v>1972</v>
      </c>
      <c r="M702" t="s">
        <v>980</v>
      </c>
      <c r="N702" t="s">
        <v>1017</v>
      </c>
      <c r="O702" t="s">
        <v>1973</v>
      </c>
      <c r="P702" t="s">
        <v>1015</v>
      </c>
      <c r="Q702" t="b">
        <v>1</v>
      </c>
      <c r="R702" t="b">
        <v>0</v>
      </c>
      <c r="S702" t="s">
        <v>1950</v>
      </c>
      <c r="T702" t="s">
        <v>446</v>
      </c>
      <c r="U702" t="s">
        <v>1951</v>
      </c>
      <c r="V702" t="s">
        <v>1093</v>
      </c>
      <c r="W702" t="s">
        <v>1952</v>
      </c>
      <c r="X702" t="s">
        <v>2104</v>
      </c>
      <c r="Y702" t="s">
        <v>2105</v>
      </c>
      <c r="Z702" t="s">
        <v>446</v>
      </c>
      <c r="AA702" t="s">
        <v>281</v>
      </c>
      <c r="AB702" t="s">
        <v>446</v>
      </c>
      <c r="AC702" t="b">
        <v>0</v>
      </c>
      <c r="AD702" t="b">
        <v>1</v>
      </c>
    </row>
    <row r="703" spans="1:30" x14ac:dyDescent="0.25">
      <c r="A703" t="s">
        <v>42</v>
      </c>
      <c r="B703" t="s">
        <v>1282</v>
      </c>
      <c r="C703" t="s">
        <v>281</v>
      </c>
      <c r="D703" t="s">
        <v>427</v>
      </c>
      <c r="E703" t="s">
        <v>1018</v>
      </c>
      <c r="F703">
        <v>-530</v>
      </c>
      <c r="G703" t="s">
        <v>1945</v>
      </c>
      <c r="H703" t="s">
        <v>2111</v>
      </c>
      <c r="I703" t="s">
        <v>2103</v>
      </c>
      <c r="J703" t="s">
        <v>1110</v>
      </c>
      <c r="K703" t="s">
        <v>1021</v>
      </c>
      <c r="L703" t="s">
        <v>1975</v>
      </c>
      <c r="M703" t="s">
        <v>980</v>
      </c>
      <c r="N703" t="s">
        <v>1022</v>
      </c>
      <c r="O703" t="s">
        <v>1976</v>
      </c>
      <c r="P703" t="s">
        <v>1020</v>
      </c>
      <c r="Q703" t="b">
        <v>1</v>
      </c>
      <c r="R703" t="b">
        <v>0</v>
      </c>
      <c r="S703" t="s">
        <v>1950</v>
      </c>
      <c r="T703" t="s">
        <v>446</v>
      </c>
      <c r="U703" t="s">
        <v>1951</v>
      </c>
      <c r="V703" t="s">
        <v>1093</v>
      </c>
      <c r="W703" t="s">
        <v>1952</v>
      </c>
      <c r="X703" t="s">
        <v>2104</v>
      </c>
      <c r="Y703" t="s">
        <v>2105</v>
      </c>
      <c r="Z703" t="s">
        <v>446</v>
      </c>
      <c r="AA703" t="s">
        <v>281</v>
      </c>
      <c r="AB703" t="s">
        <v>446</v>
      </c>
      <c r="AC703" t="b">
        <v>0</v>
      </c>
      <c r="AD703" t="b">
        <v>1</v>
      </c>
    </row>
    <row r="704" spans="1:30" x14ac:dyDescent="0.25">
      <c r="A704" t="s">
        <v>42</v>
      </c>
      <c r="B704" t="s">
        <v>1284</v>
      </c>
      <c r="C704" t="s">
        <v>281</v>
      </c>
      <c r="D704" t="s">
        <v>427</v>
      </c>
      <c r="E704" t="s">
        <v>1023</v>
      </c>
      <c r="F704">
        <v>-593</v>
      </c>
      <c r="G704" t="s">
        <v>1945</v>
      </c>
      <c r="H704" t="s">
        <v>2112</v>
      </c>
      <c r="I704" t="s">
        <v>2113</v>
      </c>
      <c r="J704" t="s">
        <v>1110</v>
      </c>
      <c r="K704" t="s">
        <v>1026</v>
      </c>
      <c r="L704" t="s">
        <v>1979</v>
      </c>
      <c r="M704" t="s">
        <v>1000</v>
      </c>
      <c r="N704" t="s">
        <v>1027</v>
      </c>
      <c r="O704" t="s">
        <v>1970</v>
      </c>
      <c r="P704" t="s">
        <v>1025</v>
      </c>
      <c r="Q704" t="b">
        <v>1</v>
      </c>
      <c r="R704" t="b">
        <v>0</v>
      </c>
      <c r="S704" t="s">
        <v>1950</v>
      </c>
      <c r="T704" t="s">
        <v>446</v>
      </c>
      <c r="U704" t="s">
        <v>1951</v>
      </c>
      <c r="V704" t="s">
        <v>1980</v>
      </c>
      <c r="W704" t="s">
        <v>1952</v>
      </c>
      <c r="X704" t="s">
        <v>446</v>
      </c>
      <c r="Y704" t="s">
        <v>446</v>
      </c>
      <c r="Z704" t="s">
        <v>446</v>
      </c>
      <c r="AA704" t="s">
        <v>281</v>
      </c>
      <c r="AB704" t="s">
        <v>446</v>
      </c>
      <c r="AC704" t="b">
        <v>0</v>
      </c>
      <c r="AD704" t="b">
        <v>1</v>
      </c>
    </row>
    <row r="705" spans="1:30" x14ac:dyDescent="0.25">
      <c r="A705" t="s">
        <v>42</v>
      </c>
      <c r="B705" t="s">
        <v>1286</v>
      </c>
      <c r="C705" t="s">
        <v>281</v>
      </c>
      <c r="D705" t="s">
        <v>427</v>
      </c>
      <c r="E705" t="s">
        <v>1029</v>
      </c>
      <c r="F705">
        <v>-722</v>
      </c>
      <c r="G705" t="s">
        <v>1945</v>
      </c>
      <c r="H705" t="s">
        <v>2114</v>
      </c>
      <c r="I705" t="s">
        <v>2103</v>
      </c>
      <c r="J705" t="s">
        <v>1110</v>
      </c>
      <c r="K705" t="s">
        <v>1033</v>
      </c>
      <c r="L705" t="s">
        <v>1982</v>
      </c>
      <c r="M705" t="s">
        <v>980</v>
      </c>
      <c r="N705" t="s">
        <v>1034</v>
      </c>
      <c r="O705" t="s">
        <v>1983</v>
      </c>
      <c r="P705" t="s">
        <v>1031</v>
      </c>
      <c r="Q705" t="b">
        <v>1</v>
      </c>
      <c r="R705" t="b">
        <v>0</v>
      </c>
      <c r="S705" t="s">
        <v>1950</v>
      </c>
      <c r="T705" t="s">
        <v>446</v>
      </c>
      <c r="U705" t="s">
        <v>1951</v>
      </c>
      <c r="V705" t="s">
        <v>1093</v>
      </c>
      <c r="W705" t="s">
        <v>1952</v>
      </c>
      <c r="X705" t="s">
        <v>2104</v>
      </c>
      <c r="Y705" t="s">
        <v>2105</v>
      </c>
      <c r="Z705" t="s">
        <v>446</v>
      </c>
      <c r="AA705" t="s">
        <v>281</v>
      </c>
      <c r="AB705" t="s">
        <v>446</v>
      </c>
      <c r="AC705" t="b">
        <v>0</v>
      </c>
      <c r="AD705" t="b">
        <v>1</v>
      </c>
    </row>
    <row r="706" spans="1:30" x14ac:dyDescent="0.25">
      <c r="A706" t="s">
        <v>42</v>
      </c>
      <c r="B706" t="s">
        <v>1288</v>
      </c>
      <c r="C706" t="s">
        <v>281</v>
      </c>
      <c r="D706" t="s">
        <v>427</v>
      </c>
      <c r="E706" t="s">
        <v>1035</v>
      </c>
      <c r="F706">
        <v>-993</v>
      </c>
      <c r="G706" t="s">
        <v>1945</v>
      </c>
      <c r="H706" t="s">
        <v>2115</v>
      </c>
      <c r="I706" t="s">
        <v>2103</v>
      </c>
      <c r="J706" t="s">
        <v>1110</v>
      </c>
      <c r="K706" t="s">
        <v>1038</v>
      </c>
      <c r="L706" t="s">
        <v>1985</v>
      </c>
      <c r="M706" t="s">
        <v>980</v>
      </c>
      <c r="N706" t="s">
        <v>1039</v>
      </c>
      <c r="O706" t="s">
        <v>1986</v>
      </c>
      <c r="P706" t="s">
        <v>1037</v>
      </c>
      <c r="Q706" t="b">
        <v>1</v>
      </c>
      <c r="R706" t="b">
        <v>0</v>
      </c>
      <c r="S706" t="s">
        <v>1950</v>
      </c>
      <c r="T706" t="s">
        <v>446</v>
      </c>
      <c r="U706" t="s">
        <v>1951</v>
      </c>
      <c r="V706" t="s">
        <v>1093</v>
      </c>
      <c r="W706" t="s">
        <v>1952</v>
      </c>
      <c r="X706" t="s">
        <v>2104</v>
      </c>
      <c r="Y706" t="s">
        <v>2105</v>
      </c>
      <c r="Z706" t="s">
        <v>446</v>
      </c>
      <c r="AA706" t="s">
        <v>281</v>
      </c>
      <c r="AB706" t="s">
        <v>446</v>
      </c>
      <c r="AC706" t="b">
        <v>0</v>
      </c>
      <c r="AD706" t="b">
        <v>1</v>
      </c>
    </row>
    <row r="707" spans="1:30" x14ac:dyDescent="0.25">
      <c r="A707" t="s">
        <v>42</v>
      </c>
      <c r="B707" t="s">
        <v>1290</v>
      </c>
      <c r="C707" t="s">
        <v>281</v>
      </c>
      <c r="D707" t="s">
        <v>427</v>
      </c>
      <c r="E707" t="s">
        <v>1040</v>
      </c>
      <c r="F707">
        <v>-500</v>
      </c>
      <c r="G707" t="s">
        <v>1945</v>
      </c>
      <c r="H707" t="s">
        <v>2116</v>
      </c>
      <c r="I707" t="s">
        <v>2103</v>
      </c>
      <c r="J707" t="s">
        <v>1110</v>
      </c>
      <c r="K707" t="s">
        <v>1043</v>
      </c>
      <c r="L707" t="s">
        <v>1988</v>
      </c>
      <c r="M707" t="s">
        <v>980</v>
      </c>
      <c r="N707" t="s">
        <v>1044</v>
      </c>
      <c r="O707" t="s">
        <v>1989</v>
      </c>
      <c r="P707" t="s">
        <v>1042</v>
      </c>
      <c r="Q707" t="b">
        <v>1</v>
      </c>
      <c r="R707" t="b">
        <v>0</v>
      </c>
      <c r="S707" t="s">
        <v>1950</v>
      </c>
      <c r="T707" t="s">
        <v>446</v>
      </c>
      <c r="U707" t="s">
        <v>1951</v>
      </c>
      <c r="V707" t="s">
        <v>1093</v>
      </c>
      <c r="W707" t="s">
        <v>1952</v>
      </c>
      <c r="X707" t="s">
        <v>2104</v>
      </c>
      <c r="Y707" t="s">
        <v>2105</v>
      </c>
      <c r="Z707" t="s">
        <v>446</v>
      </c>
      <c r="AA707" t="s">
        <v>281</v>
      </c>
      <c r="AB707" t="s">
        <v>446</v>
      </c>
      <c r="AC707" t="b">
        <v>0</v>
      </c>
      <c r="AD707" t="b">
        <v>1</v>
      </c>
    </row>
    <row r="708" spans="1:30" x14ac:dyDescent="0.25">
      <c r="A708" t="s">
        <v>42</v>
      </c>
      <c r="B708" t="s">
        <v>1292</v>
      </c>
      <c r="C708" t="s">
        <v>281</v>
      </c>
      <c r="D708" t="s">
        <v>427</v>
      </c>
      <c r="E708" t="s">
        <v>1045</v>
      </c>
      <c r="F708">
        <v>-646</v>
      </c>
      <c r="G708" t="s">
        <v>1945</v>
      </c>
      <c r="H708" t="s">
        <v>2117</v>
      </c>
      <c r="I708" t="s">
        <v>2113</v>
      </c>
      <c r="J708" t="s">
        <v>1110</v>
      </c>
      <c r="K708" t="s">
        <v>1048</v>
      </c>
      <c r="L708" t="s">
        <v>1991</v>
      </c>
      <c r="M708" t="s">
        <v>1000</v>
      </c>
      <c r="N708" t="s">
        <v>1049</v>
      </c>
      <c r="O708" t="s">
        <v>1983</v>
      </c>
      <c r="P708" t="s">
        <v>1047</v>
      </c>
      <c r="Q708" t="b">
        <v>1</v>
      </c>
      <c r="R708" t="b">
        <v>0</v>
      </c>
      <c r="S708" t="s">
        <v>1950</v>
      </c>
      <c r="T708" t="s">
        <v>446</v>
      </c>
      <c r="U708" t="s">
        <v>1951</v>
      </c>
      <c r="V708" t="s">
        <v>1980</v>
      </c>
      <c r="W708" t="s">
        <v>1952</v>
      </c>
      <c r="X708" t="s">
        <v>446</v>
      </c>
      <c r="Y708" t="s">
        <v>446</v>
      </c>
      <c r="Z708" t="s">
        <v>446</v>
      </c>
      <c r="AA708" t="s">
        <v>281</v>
      </c>
      <c r="AB708" t="s">
        <v>446</v>
      </c>
      <c r="AC708" t="b">
        <v>0</v>
      </c>
      <c r="AD708" t="b">
        <v>1</v>
      </c>
    </row>
    <row r="709" spans="1:30" x14ac:dyDescent="0.25">
      <c r="A709" t="s">
        <v>42</v>
      </c>
      <c r="B709" t="s">
        <v>1294</v>
      </c>
      <c r="C709" t="s">
        <v>281</v>
      </c>
      <c r="D709" t="s">
        <v>427</v>
      </c>
      <c r="E709" t="s">
        <v>1051</v>
      </c>
      <c r="F709">
        <v>-645</v>
      </c>
      <c r="G709" t="s">
        <v>1945</v>
      </c>
      <c r="H709" t="s">
        <v>2118</v>
      </c>
      <c r="I709" t="s">
        <v>2103</v>
      </c>
      <c r="J709" t="s">
        <v>1110</v>
      </c>
      <c r="K709" t="s">
        <v>1055</v>
      </c>
      <c r="L709" t="s">
        <v>1993</v>
      </c>
      <c r="M709" t="s">
        <v>980</v>
      </c>
      <c r="N709" t="s">
        <v>1056</v>
      </c>
      <c r="O709" t="s">
        <v>1994</v>
      </c>
      <c r="P709" t="s">
        <v>1053</v>
      </c>
      <c r="Q709" t="b">
        <v>1</v>
      </c>
      <c r="R709" t="b">
        <v>0</v>
      </c>
      <c r="S709" t="s">
        <v>1950</v>
      </c>
      <c r="T709" t="s">
        <v>446</v>
      </c>
      <c r="U709" t="s">
        <v>1951</v>
      </c>
      <c r="V709" t="s">
        <v>1093</v>
      </c>
      <c r="W709" t="s">
        <v>1952</v>
      </c>
      <c r="X709" t="s">
        <v>2104</v>
      </c>
      <c r="Y709" t="s">
        <v>2105</v>
      </c>
      <c r="Z709" t="s">
        <v>446</v>
      </c>
      <c r="AA709" t="s">
        <v>281</v>
      </c>
      <c r="AB709" t="s">
        <v>446</v>
      </c>
      <c r="AC709" t="b">
        <v>0</v>
      </c>
      <c r="AD709" t="b">
        <v>1</v>
      </c>
    </row>
    <row r="710" spans="1:30" x14ac:dyDescent="0.25">
      <c r="A710" t="s">
        <v>42</v>
      </c>
      <c r="B710" t="s">
        <v>1296</v>
      </c>
      <c r="C710" t="s">
        <v>283</v>
      </c>
      <c r="D710" t="s">
        <v>446</v>
      </c>
      <c r="E710" t="s">
        <v>978</v>
      </c>
      <c r="F710">
        <v>0</v>
      </c>
      <c r="G710" t="s">
        <v>2012</v>
      </c>
      <c r="H710" t="s">
        <v>2119</v>
      </c>
      <c r="I710" t="s">
        <v>2120</v>
      </c>
      <c r="J710" t="s">
        <v>1110</v>
      </c>
      <c r="K710" t="s">
        <v>446</v>
      </c>
      <c r="L710" t="s">
        <v>446</v>
      </c>
      <c r="M710" t="s">
        <v>446</v>
      </c>
      <c r="N710" t="s">
        <v>446</v>
      </c>
      <c r="O710" t="s">
        <v>446</v>
      </c>
      <c r="P710" t="s">
        <v>446</v>
      </c>
      <c r="Q710" t="b">
        <v>1</v>
      </c>
      <c r="R710" t="b">
        <v>0</v>
      </c>
      <c r="S710" t="s">
        <v>1950</v>
      </c>
      <c r="T710" t="s">
        <v>446</v>
      </c>
      <c r="U710" t="s">
        <v>1951</v>
      </c>
      <c r="V710" t="s">
        <v>1980</v>
      </c>
      <c r="W710" t="s">
        <v>2015</v>
      </c>
      <c r="X710" t="s">
        <v>446</v>
      </c>
      <c r="Y710" t="s">
        <v>446</v>
      </c>
      <c r="Z710" t="s">
        <v>446</v>
      </c>
      <c r="AA710" t="s">
        <v>283</v>
      </c>
      <c r="AB710" t="s">
        <v>446</v>
      </c>
      <c r="AC710" t="b">
        <v>0</v>
      </c>
      <c r="AD710" t="b">
        <v>1</v>
      </c>
    </row>
    <row r="711" spans="1:30" x14ac:dyDescent="0.25">
      <c r="A711" t="s">
        <v>42</v>
      </c>
      <c r="B711" t="s">
        <v>1297</v>
      </c>
      <c r="C711" t="s">
        <v>283</v>
      </c>
      <c r="D711" t="s">
        <v>446</v>
      </c>
      <c r="E711" t="s">
        <v>986</v>
      </c>
      <c r="F711">
        <v>0</v>
      </c>
      <c r="G711" t="s">
        <v>2012</v>
      </c>
      <c r="H711" t="s">
        <v>2119</v>
      </c>
      <c r="I711" t="s">
        <v>2120</v>
      </c>
      <c r="J711" t="s">
        <v>1110</v>
      </c>
      <c r="K711" t="s">
        <v>446</v>
      </c>
      <c r="L711" t="s">
        <v>446</v>
      </c>
      <c r="M711" t="s">
        <v>446</v>
      </c>
      <c r="N711" t="s">
        <v>446</v>
      </c>
      <c r="O711" t="s">
        <v>446</v>
      </c>
      <c r="P711" t="s">
        <v>446</v>
      </c>
      <c r="Q711" t="b">
        <v>1</v>
      </c>
      <c r="R711" t="b">
        <v>0</v>
      </c>
      <c r="S711" t="s">
        <v>1950</v>
      </c>
      <c r="T711" t="s">
        <v>446</v>
      </c>
      <c r="U711" t="s">
        <v>1951</v>
      </c>
      <c r="V711" t="s">
        <v>1980</v>
      </c>
      <c r="W711" t="s">
        <v>2015</v>
      </c>
      <c r="X711" t="s">
        <v>446</v>
      </c>
      <c r="Y711" t="s">
        <v>446</v>
      </c>
      <c r="Z711" t="s">
        <v>446</v>
      </c>
      <c r="AA711" t="s">
        <v>283</v>
      </c>
      <c r="AB711" t="s">
        <v>446</v>
      </c>
      <c r="AC711" t="b">
        <v>0</v>
      </c>
      <c r="AD711" t="b">
        <v>1</v>
      </c>
    </row>
    <row r="712" spans="1:30" x14ac:dyDescent="0.25">
      <c r="A712" t="s">
        <v>42</v>
      </c>
      <c r="B712" t="s">
        <v>1298</v>
      </c>
      <c r="C712" t="s">
        <v>283</v>
      </c>
      <c r="D712" t="s">
        <v>446</v>
      </c>
      <c r="E712" t="s">
        <v>992</v>
      </c>
      <c r="F712">
        <v>0</v>
      </c>
      <c r="G712" t="s">
        <v>2012</v>
      </c>
      <c r="H712" t="s">
        <v>2119</v>
      </c>
      <c r="I712" t="s">
        <v>2120</v>
      </c>
      <c r="J712" t="s">
        <v>1110</v>
      </c>
      <c r="K712" t="s">
        <v>446</v>
      </c>
      <c r="L712" t="s">
        <v>446</v>
      </c>
      <c r="M712" t="s">
        <v>446</v>
      </c>
      <c r="N712" t="s">
        <v>446</v>
      </c>
      <c r="O712" t="s">
        <v>446</v>
      </c>
      <c r="P712" t="s">
        <v>446</v>
      </c>
      <c r="Q712" t="b">
        <v>1</v>
      </c>
      <c r="R712" t="b">
        <v>0</v>
      </c>
      <c r="S712" t="s">
        <v>1950</v>
      </c>
      <c r="T712" t="s">
        <v>446</v>
      </c>
      <c r="U712" t="s">
        <v>1951</v>
      </c>
      <c r="V712" t="s">
        <v>1980</v>
      </c>
      <c r="W712" t="s">
        <v>2015</v>
      </c>
      <c r="X712" t="s">
        <v>446</v>
      </c>
      <c r="Y712" t="s">
        <v>446</v>
      </c>
      <c r="Z712" t="s">
        <v>446</v>
      </c>
      <c r="AA712" t="s">
        <v>283</v>
      </c>
      <c r="AB712" t="s">
        <v>446</v>
      </c>
      <c r="AC712" t="b">
        <v>0</v>
      </c>
      <c r="AD712" t="b">
        <v>1</v>
      </c>
    </row>
    <row r="713" spans="1:30" x14ac:dyDescent="0.25">
      <c r="A713" t="s">
        <v>42</v>
      </c>
      <c r="B713" t="s">
        <v>1299</v>
      </c>
      <c r="C713" t="s">
        <v>283</v>
      </c>
      <c r="D713" t="s">
        <v>446</v>
      </c>
      <c r="E713" t="s">
        <v>998</v>
      </c>
      <c r="F713">
        <v>0</v>
      </c>
      <c r="G713" t="s">
        <v>2012</v>
      </c>
      <c r="H713" t="s">
        <v>2119</v>
      </c>
      <c r="I713" t="s">
        <v>2120</v>
      </c>
      <c r="J713" t="s">
        <v>1110</v>
      </c>
      <c r="K713" t="s">
        <v>446</v>
      </c>
      <c r="L713" t="s">
        <v>446</v>
      </c>
      <c r="M713" t="s">
        <v>446</v>
      </c>
      <c r="N713" t="s">
        <v>446</v>
      </c>
      <c r="O713" t="s">
        <v>446</v>
      </c>
      <c r="P713" t="s">
        <v>446</v>
      </c>
      <c r="Q713" t="b">
        <v>1</v>
      </c>
      <c r="R713" t="b">
        <v>0</v>
      </c>
      <c r="S713" t="s">
        <v>1950</v>
      </c>
      <c r="T713" t="s">
        <v>446</v>
      </c>
      <c r="U713" t="s">
        <v>1951</v>
      </c>
      <c r="V713" t="s">
        <v>1980</v>
      </c>
      <c r="W713" t="s">
        <v>2015</v>
      </c>
      <c r="X713" t="s">
        <v>446</v>
      </c>
      <c r="Y713" t="s">
        <v>446</v>
      </c>
      <c r="Z713" t="s">
        <v>446</v>
      </c>
      <c r="AA713" t="s">
        <v>283</v>
      </c>
      <c r="AB713" t="s">
        <v>446</v>
      </c>
      <c r="AC713" t="b">
        <v>0</v>
      </c>
      <c r="AD713" t="b">
        <v>1</v>
      </c>
    </row>
    <row r="714" spans="1:30" x14ac:dyDescent="0.25">
      <c r="A714" t="s">
        <v>42</v>
      </c>
      <c r="B714" t="s">
        <v>1300</v>
      </c>
      <c r="C714" t="s">
        <v>283</v>
      </c>
      <c r="D714" t="s">
        <v>446</v>
      </c>
      <c r="E714" t="s">
        <v>1006</v>
      </c>
      <c r="F714">
        <v>0</v>
      </c>
      <c r="G714" t="s">
        <v>2012</v>
      </c>
      <c r="H714" t="s">
        <v>2119</v>
      </c>
      <c r="I714" t="s">
        <v>2120</v>
      </c>
      <c r="J714" t="s">
        <v>1110</v>
      </c>
      <c r="K714" t="s">
        <v>446</v>
      </c>
      <c r="L714" t="s">
        <v>446</v>
      </c>
      <c r="M714" t="s">
        <v>446</v>
      </c>
      <c r="N714" t="s">
        <v>446</v>
      </c>
      <c r="O714" t="s">
        <v>446</v>
      </c>
      <c r="P714" t="s">
        <v>446</v>
      </c>
      <c r="Q714" t="b">
        <v>1</v>
      </c>
      <c r="R714" t="b">
        <v>0</v>
      </c>
      <c r="S714" t="s">
        <v>1950</v>
      </c>
      <c r="T714" t="s">
        <v>446</v>
      </c>
      <c r="U714" t="s">
        <v>1951</v>
      </c>
      <c r="V714" t="s">
        <v>1980</v>
      </c>
      <c r="W714" t="s">
        <v>2015</v>
      </c>
      <c r="X714" t="s">
        <v>446</v>
      </c>
      <c r="Y714" t="s">
        <v>446</v>
      </c>
      <c r="Z714" t="s">
        <v>446</v>
      </c>
      <c r="AA714" t="s">
        <v>283</v>
      </c>
      <c r="AB714" t="s">
        <v>446</v>
      </c>
      <c r="AC714" t="b">
        <v>0</v>
      </c>
      <c r="AD714" t="b">
        <v>1</v>
      </c>
    </row>
    <row r="715" spans="1:30" x14ac:dyDescent="0.25">
      <c r="A715" t="s">
        <v>42</v>
      </c>
      <c r="B715" t="s">
        <v>1301</v>
      </c>
      <c r="C715" t="s">
        <v>283</v>
      </c>
      <c r="D715" t="s">
        <v>446</v>
      </c>
      <c r="E715" t="s">
        <v>1013</v>
      </c>
      <c r="F715">
        <v>0</v>
      </c>
      <c r="G715" t="s">
        <v>2012</v>
      </c>
      <c r="H715" t="s">
        <v>2119</v>
      </c>
      <c r="I715" t="s">
        <v>2120</v>
      </c>
      <c r="J715" t="s">
        <v>1110</v>
      </c>
      <c r="K715" t="s">
        <v>446</v>
      </c>
      <c r="L715" t="s">
        <v>446</v>
      </c>
      <c r="M715" t="s">
        <v>446</v>
      </c>
      <c r="N715" t="s">
        <v>446</v>
      </c>
      <c r="O715" t="s">
        <v>446</v>
      </c>
      <c r="P715" t="s">
        <v>446</v>
      </c>
      <c r="Q715" t="b">
        <v>1</v>
      </c>
      <c r="R715" t="b">
        <v>0</v>
      </c>
      <c r="S715" t="s">
        <v>1950</v>
      </c>
      <c r="T715" t="s">
        <v>446</v>
      </c>
      <c r="U715" t="s">
        <v>1951</v>
      </c>
      <c r="V715" t="s">
        <v>1980</v>
      </c>
      <c r="W715" t="s">
        <v>2015</v>
      </c>
      <c r="X715" t="s">
        <v>446</v>
      </c>
      <c r="Y715" t="s">
        <v>446</v>
      </c>
      <c r="Z715" t="s">
        <v>446</v>
      </c>
      <c r="AA715" t="s">
        <v>283</v>
      </c>
      <c r="AB715" t="s">
        <v>446</v>
      </c>
      <c r="AC715" t="b">
        <v>0</v>
      </c>
      <c r="AD715" t="b">
        <v>1</v>
      </c>
    </row>
    <row r="716" spans="1:30" x14ac:dyDescent="0.25">
      <c r="A716" t="s">
        <v>42</v>
      </c>
      <c r="B716" t="s">
        <v>1302</v>
      </c>
      <c r="C716" t="s">
        <v>283</v>
      </c>
      <c r="D716" t="s">
        <v>446</v>
      </c>
      <c r="E716" t="s">
        <v>1018</v>
      </c>
      <c r="F716">
        <v>0</v>
      </c>
      <c r="G716" t="s">
        <v>2012</v>
      </c>
      <c r="H716" t="s">
        <v>2119</v>
      </c>
      <c r="I716" t="s">
        <v>2120</v>
      </c>
      <c r="J716" t="s">
        <v>1110</v>
      </c>
      <c r="K716" t="s">
        <v>446</v>
      </c>
      <c r="L716" t="s">
        <v>446</v>
      </c>
      <c r="M716" t="s">
        <v>446</v>
      </c>
      <c r="N716" t="s">
        <v>446</v>
      </c>
      <c r="O716" t="s">
        <v>446</v>
      </c>
      <c r="P716" t="s">
        <v>446</v>
      </c>
      <c r="Q716" t="b">
        <v>1</v>
      </c>
      <c r="R716" t="b">
        <v>0</v>
      </c>
      <c r="S716" t="s">
        <v>1950</v>
      </c>
      <c r="T716" t="s">
        <v>446</v>
      </c>
      <c r="U716" t="s">
        <v>1951</v>
      </c>
      <c r="V716" t="s">
        <v>1980</v>
      </c>
      <c r="W716" t="s">
        <v>2015</v>
      </c>
      <c r="X716" t="s">
        <v>446</v>
      </c>
      <c r="Y716" t="s">
        <v>446</v>
      </c>
      <c r="Z716" t="s">
        <v>446</v>
      </c>
      <c r="AA716" t="s">
        <v>283</v>
      </c>
      <c r="AB716" t="s">
        <v>446</v>
      </c>
      <c r="AC716" t="b">
        <v>0</v>
      </c>
      <c r="AD716" t="b">
        <v>1</v>
      </c>
    </row>
    <row r="717" spans="1:30" x14ac:dyDescent="0.25">
      <c r="A717" t="s">
        <v>42</v>
      </c>
      <c r="B717" t="s">
        <v>1303</v>
      </c>
      <c r="C717" t="s">
        <v>283</v>
      </c>
      <c r="D717" t="s">
        <v>446</v>
      </c>
      <c r="E717" t="s">
        <v>1023</v>
      </c>
      <c r="F717">
        <v>0</v>
      </c>
      <c r="G717" t="s">
        <v>2012</v>
      </c>
      <c r="H717" t="s">
        <v>2119</v>
      </c>
      <c r="I717" t="s">
        <v>2120</v>
      </c>
      <c r="J717" t="s">
        <v>1110</v>
      </c>
      <c r="K717" t="s">
        <v>446</v>
      </c>
      <c r="L717" t="s">
        <v>446</v>
      </c>
      <c r="M717" t="s">
        <v>446</v>
      </c>
      <c r="N717" t="s">
        <v>446</v>
      </c>
      <c r="O717" t="s">
        <v>446</v>
      </c>
      <c r="P717" t="s">
        <v>446</v>
      </c>
      <c r="Q717" t="b">
        <v>1</v>
      </c>
      <c r="R717" t="b">
        <v>0</v>
      </c>
      <c r="S717" t="s">
        <v>1950</v>
      </c>
      <c r="T717" t="s">
        <v>446</v>
      </c>
      <c r="U717" t="s">
        <v>1951</v>
      </c>
      <c r="V717" t="s">
        <v>1980</v>
      </c>
      <c r="W717" t="s">
        <v>2015</v>
      </c>
      <c r="X717" t="s">
        <v>446</v>
      </c>
      <c r="Y717" t="s">
        <v>446</v>
      </c>
      <c r="Z717" t="s">
        <v>446</v>
      </c>
      <c r="AA717" t="s">
        <v>283</v>
      </c>
      <c r="AB717" t="s">
        <v>446</v>
      </c>
      <c r="AC717" t="b">
        <v>0</v>
      </c>
      <c r="AD717" t="b">
        <v>1</v>
      </c>
    </row>
    <row r="718" spans="1:30" x14ac:dyDescent="0.25">
      <c r="A718" t="s">
        <v>42</v>
      </c>
      <c r="B718" t="s">
        <v>1304</v>
      </c>
      <c r="C718" t="s">
        <v>283</v>
      </c>
      <c r="D718" t="s">
        <v>446</v>
      </c>
      <c r="E718" t="s">
        <v>1029</v>
      </c>
      <c r="F718">
        <v>0</v>
      </c>
      <c r="G718" t="s">
        <v>2012</v>
      </c>
      <c r="H718" t="s">
        <v>2119</v>
      </c>
      <c r="I718" t="s">
        <v>2120</v>
      </c>
      <c r="J718" t="s">
        <v>1110</v>
      </c>
      <c r="K718" t="s">
        <v>446</v>
      </c>
      <c r="L718" t="s">
        <v>446</v>
      </c>
      <c r="M718" t="s">
        <v>446</v>
      </c>
      <c r="N718" t="s">
        <v>446</v>
      </c>
      <c r="O718" t="s">
        <v>446</v>
      </c>
      <c r="P718" t="s">
        <v>446</v>
      </c>
      <c r="Q718" t="b">
        <v>1</v>
      </c>
      <c r="R718" t="b">
        <v>0</v>
      </c>
      <c r="S718" t="s">
        <v>1950</v>
      </c>
      <c r="T718" t="s">
        <v>446</v>
      </c>
      <c r="U718" t="s">
        <v>1951</v>
      </c>
      <c r="V718" t="s">
        <v>1980</v>
      </c>
      <c r="W718" t="s">
        <v>2015</v>
      </c>
      <c r="X718" t="s">
        <v>446</v>
      </c>
      <c r="Y718" t="s">
        <v>446</v>
      </c>
      <c r="Z718" t="s">
        <v>446</v>
      </c>
      <c r="AA718" t="s">
        <v>283</v>
      </c>
      <c r="AB718" t="s">
        <v>446</v>
      </c>
      <c r="AC718" t="b">
        <v>0</v>
      </c>
      <c r="AD718" t="b">
        <v>1</v>
      </c>
    </row>
    <row r="719" spans="1:30" x14ac:dyDescent="0.25">
      <c r="A719" t="s">
        <v>42</v>
      </c>
      <c r="B719" t="s">
        <v>1305</v>
      </c>
      <c r="C719" t="s">
        <v>283</v>
      </c>
      <c r="D719" t="s">
        <v>446</v>
      </c>
      <c r="E719" t="s">
        <v>1035</v>
      </c>
      <c r="F719">
        <v>0</v>
      </c>
      <c r="G719" t="s">
        <v>2012</v>
      </c>
      <c r="H719" t="s">
        <v>2119</v>
      </c>
      <c r="I719" t="s">
        <v>2120</v>
      </c>
      <c r="J719" t="s">
        <v>1110</v>
      </c>
      <c r="K719" t="s">
        <v>446</v>
      </c>
      <c r="L719" t="s">
        <v>446</v>
      </c>
      <c r="M719" t="s">
        <v>446</v>
      </c>
      <c r="N719" t="s">
        <v>446</v>
      </c>
      <c r="O719" t="s">
        <v>446</v>
      </c>
      <c r="P719" t="s">
        <v>446</v>
      </c>
      <c r="Q719" t="b">
        <v>1</v>
      </c>
      <c r="R719" t="b">
        <v>0</v>
      </c>
      <c r="S719" t="s">
        <v>1950</v>
      </c>
      <c r="T719" t="s">
        <v>446</v>
      </c>
      <c r="U719" t="s">
        <v>1951</v>
      </c>
      <c r="V719" t="s">
        <v>1980</v>
      </c>
      <c r="W719" t="s">
        <v>2015</v>
      </c>
      <c r="X719" t="s">
        <v>446</v>
      </c>
      <c r="Y719" t="s">
        <v>446</v>
      </c>
      <c r="Z719" t="s">
        <v>446</v>
      </c>
      <c r="AA719" t="s">
        <v>283</v>
      </c>
      <c r="AB719" t="s">
        <v>446</v>
      </c>
      <c r="AC719" t="b">
        <v>0</v>
      </c>
      <c r="AD719" t="b">
        <v>1</v>
      </c>
    </row>
    <row r="720" spans="1:30" x14ac:dyDescent="0.25">
      <c r="A720" t="s">
        <v>42</v>
      </c>
      <c r="B720" t="s">
        <v>1306</v>
      </c>
      <c r="C720" t="s">
        <v>283</v>
      </c>
      <c r="D720" t="s">
        <v>446</v>
      </c>
      <c r="E720" t="s">
        <v>1040</v>
      </c>
      <c r="F720">
        <v>0</v>
      </c>
      <c r="G720" t="s">
        <v>2012</v>
      </c>
      <c r="H720" t="s">
        <v>2119</v>
      </c>
      <c r="I720" t="s">
        <v>2120</v>
      </c>
      <c r="J720" t="s">
        <v>1110</v>
      </c>
      <c r="K720" t="s">
        <v>446</v>
      </c>
      <c r="L720" t="s">
        <v>446</v>
      </c>
      <c r="M720" t="s">
        <v>446</v>
      </c>
      <c r="N720" t="s">
        <v>446</v>
      </c>
      <c r="O720" t="s">
        <v>446</v>
      </c>
      <c r="P720" t="s">
        <v>446</v>
      </c>
      <c r="Q720" t="b">
        <v>1</v>
      </c>
      <c r="R720" t="b">
        <v>0</v>
      </c>
      <c r="S720" t="s">
        <v>1950</v>
      </c>
      <c r="T720" t="s">
        <v>446</v>
      </c>
      <c r="U720" t="s">
        <v>1951</v>
      </c>
      <c r="V720" t="s">
        <v>1980</v>
      </c>
      <c r="W720" t="s">
        <v>2015</v>
      </c>
      <c r="X720" t="s">
        <v>446</v>
      </c>
      <c r="Y720" t="s">
        <v>446</v>
      </c>
      <c r="Z720" t="s">
        <v>446</v>
      </c>
      <c r="AA720" t="s">
        <v>283</v>
      </c>
      <c r="AB720" t="s">
        <v>446</v>
      </c>
      <c r="AC720" t="b">
        <v>0</v>
      </c>
      <c r="AD720" t="b">
        <v>1</v>
      </c>
    </row>
    <row r="721" spans="1:30" x14ac:dyDescent="0.25">
      <c r="A721" t="s">
        <v>42</v>
      </c>
      <c r="B721" t="s">
        <v>1307</v>
      </c>
      <c r="C721" t="s">
        <v>283</v>
      </c>
      <c r="D721" t="s">
        <v>446</v>
      </c>
      <c r="E721" t="s">
        <v>1045</v>
      </c>
      <c r="F721">
        <v>0</v>
      </c>
      <c r="G721" t="s">
        <v>2012</v>
      </c>
      <c r="H721" t="s">
        <v>2119</v>
      </c>
      <c r="I721" t="s">
        <v>2120</v>
      </c>
      <c r="J721" t="s">
        <v>1110</v>
      </c>
      <c r="K721" t="s">
        <v>446</v>
      </c>
      <c r="L721" t="s">
        <v>446</v>
      </c>
      <c r="M721" t="s">
        <v>446</v>
      </c>
      <c r="N721" t="s">
        <v>446</v>
      </c>
      <c r="O721" t="s">
        <v>446</v>
      </c>
      <c r="P721" t="s">
        <v>446</v>
      </c>
      <c r="Q721" t="b">
        <v>1</v>
      </c>
      <c r="R721" t="b">
        <v>0</v>
      </c>
      <c r="S721" t="s">
        <v>1950</v>
      </c>
      <c r="T721" t="s">
        <v>446</v>
      </c>
      <c r="U721" t="s">
        <v>1951</v>
      </c>
      <c r="V721" t="s">
        <v>1980</v>
      </c>
      <c r="W721" t="s">
        <v>2015</v>
      </c>
      <c r="X721" t="s">
        <v>446</v>
      </c>
      <c r="Y721" t="s">
        <v>446</v>
      </c>
      <c r="Z721" t="s">
        <v>446</v>
      </c>
      <c r="AA721" t="s">
        <v>283</v>
      </c>
      <c r="AB721" t="s">
        <v>446</v>
      </c>
      <c r="AC721" t="b">
        <v>0</v>
      </c>
      <c r="AD721" t="b">
        <v>1</v>
      </c>
    </row>
    <row r="722" spans="1:30" x14ac:dyDescent="0.25">
      <c r="A722" t="s">
        <v>42</v>
      </c>
      <c r="B722" t="s">
        <v>1308</v>
      </c>
      <c r="C722" t="s">
        <v>283</v>
      </c>
      <c r="D722" t="s">
        <v>446</v>
      </c>
      <c r="E722" t="s">
        <v>1051</v>
      </c>
      <c r="F722">
        <v>0</v>
      </c>
      <c r="G722" t="s">
        <v>2012</v>
      </c>
      <c r="H722" t="s">
        <v>2119</v>
      </c>
      <c r="I722" t="s">
        <v>2120</v>
      </c>
      <c r="J722" t="s">
        <v>1110</v>
      </c>
      <c r="K722" t="s">
        <v>446</v>
      </c>
      <c r="L722" t="s">
        <v>446</v>
      </c>
      <c r="M722" t="s">
        <v>446</v>
      </c>
      <c r="N722" t="s">
        <v>446</v>
      </c>
      <c r="O722" t="s">
        <v>446</v>
      </c>
      <c r="P722" t="s">
        <v>446</v>
      </c>
      <c r="Q722" t="b">
        <v>1</v>
      </c>
      <c r="R722" t="b">
        <v>0</v>
      </c>
      <c r="S722" t="s">
        <v>1950</v>
      </c>
      <c r="T722" t="s">
        <v>446</v>
      </c>
      <c r="U722" t="s">
        <v>1951</v>
      </c>
      <c r="V722" t="s">
        <v>1980</v>
      </c>
      <c r="W722" t="s">
        <v>2015</v>
      </c>
      <c r="X722" t="s">
        <v>446</v>
      </c>
      <c r="Y722" t="s">
        <v>446</v>
      </c>
      <c r="Z722" t="s">
        <v>446</v>
      </c>
      <c r="AA722" t="s">
        <v>283</v>
      </c>
      <c r="AB722" t="s">
        <v>446</v>
      </c>
      <c r="AC722" t="b">
        <v>0</v>
      </c>
      <c r="AD722" t="b">
        <v>1</v>
      </c>
    </row>
    <row r="723" spans="1:30" x14ac:dyDescent="0.25">
      <c r="A723" t="s">
        <v>42</v>
      </c>
      <c r="B723" t="s">
        <v>1309</v>
      </c>
      <c r="C723" t="s">
        <v>284</v>
      </c>
      <c r="D723" t="s">
        <v>446</v>
      </c>
      <c r="E723" t="s">
        <v>978</v>
      </c>
      <c r="F723">
        <v>275</v>
      </c>
      <c r="G723" t="s">
        <v>1945</v>
      </c>
      <c r="H723" t="s">
        <v>2121</v>
      </c>
      <c r="I723" t="s">
        <v>2122</v>
      </c>
      <c r="J723" t="s">
        <v>1110</v>
      </c>
      <c r="K723" t="s">
        <v>984</v>
      </c>
      <c r="L723" t="s">
        <v>1948</v>
      </c>
      <c r="M723" t="s">
        <v>980</v>
      </c>
      <c r="N723" t="s">
        <v>985</v>
      </c>
      <c r="O723" t="s">
        <v>1949</v>
      </c>
      <c r="P723" t="s">
        <v>981</v>
      </c>
      <c r="Q723" t="b">
        <v>1</v>
      </c>
      <c r="R723" t="b">
        <v>0</v>
      </c>
      <c r="S723" t="s">
        <v>1950</v>
      </c>
      <c r="T723" t="s">
        <v>446</v>
      </c>
      <c r="U723" t="s">
        <v>1951</v>
      </c>
      <c r="V723" t="s">
        <v>1093</v>
      </c>
      <c r="W723" t="s">
        <v>1952</v>
      </c>
      <c r="X723" t="s">
        <v>2123</v>
      </c>
      <c r="Y723" t="s">
        <v>2124</v>
      </c>
      <c r="Z723" t="s">
        <v>446</v>
      </c>
      <c r="AA723" t="s">
        <v>284</v>
      </c>
      <c r="AB723" t="s">
        <v>446</v>
      </c>
      <c r="AC723" t="b">
        <v>0</v>
      </c>
      <c r="AD723" t="b">
        <v>1</v>
      </c>
    </row>
    <row r="724" spans="1:30" x14ac:dyDescent="0.25">
      <c r="A724" t="s">
        <v>42</v>
      </c>
      <c r="B724" t="s">
        <v>1310</v>
      </c>
      <c r="C724" t="s">
        <v>284</v>
      </c>
      <c r="D724" t="s">
        <v>446</v>
      </c>
      <c r="E724" t="s">
        <v>986</v>
      </c>
      <c r="F724">
        <v>538</v>
      </c>
      <c r="G724" t="s">
        <v>1945</v>
      </c>
      <c r="H724" t="s">
        <v>2125</v>
      </c>
      <c r="I724" t="s">
        <v>2122</v>
      </c>
      <c r="J724" t="s">
        <v>1110</v>
      </c>
      <c r="K724" t="s">
        <v>990</v>
      </c>
      <c r="L724" t="s">
        <v>1955</v>
      </c>
      <c r="M724" t="s">
        <v>980</v>
      </c>
      <c r="N724" t="s">
        <v>991</v>
      </c>
      <c r="O724" t="s">
        <v>1956</v>
      </c>
      <c r="P724" t="s">
        <v>988</v>
      </c>
      <c r="Q724" t="b">
        <v>1</v>
      </c>
      <c r="R724" t="b">
        <v>0</v>
      </c>
      <c r="S724" t="s">
        <v>1950</v>
      </c>
      <c r="T724" t="s">
        <v>446</v>
      </c>
      <c r="U724" t="s">
        <v>1951</v>
      </c>
      <c r="V724" t="s">
        <v>1093</v>
      </c>
      <c r="W724" t="s">
        <v>1952</v>
      </c>
      <c r="X724" t="s">
        <v>2123</v>
      </c>
      <c r="Y724" t="s">
        <v>2124</v>
      </c>
      <c r="Z724" t="s">
        <v>446</v>
      </c>
      <c r="AA724" t="s">
        <v>284</v>
      </c>
      <c r="AB724" t="s">
        <v>446</v>
      </c>
      <c r="AC724" t="b">
        <v>0</v>
      </c>
      <c r="AD724" t="b">
        <v>1</v>
      </c>
    </row>
    <row r="725" spans="1:24" x14ac:dyDescent="0.25">
      <c r="A725" t="s">
        <v>42</v>
      </c>
      <c r="B725" t="s">
        <v>2126</v>
      </c>
      <c r="C725" t="s">
        <v>284</v>
      </c>
      <c r="D725" t="s">
        <v>446</v>
      </c>
      <c r="E725" t="s">
        <v>992</v>
      </c>
      <c r="F725">
        <v>209.82</v>
      </c>
      <c r="G725" t="s">
        <v>1074</v>
      </c>
      <c r="H725" t="s">
        <v>446</v>
      </c>
      <c r="I725" t="s">
        <v>446</v>
      </c>
      <c r="J725" t="s">
        <v>1110</v>
      </c>
      <c r="K725" t="s">
        <v>446</v>
      </c>
      <c r="L725" t="s">
        <v>446</v>
      </c>
      <c r="M725" t="s">
        <v>446</v>
      </c>
      <c r="N725" t="s">
        <v>446</v>
      </c>
      <c r="O725" t="s">
        <v>446</v>
      </c>
      <c r="P725" t="s">
        <v>446</v>
      </c>
      <c r="Q725" t="b">
        <v>0</v>
      </c>
      <c r="R725" t="b">
        <v>1</v>
      </c>
      <c r="S725" t="s">
        <v>1961</v>
      </c>
      <c r="T725" t="s">
        <v>1962</v>
      </c>
      <c r="U725" t="s">
        <v>1963</v>
      </c>
      <c r="V725" t="s">
        <v>1964</v>
      </c>
      <c r="W725" t="s">
        <v>1965</v>
      </c>
      <c r="X725" t="s">
        <v>446</v>
      </c>
    </row>
    <row r="726" spans="1:30" x14ac:dyDescent="0.25">
      <c r="A726" t="s">
        <v>42</v>
      </c>
      <c r="B726" t="s">
        <v>1312</v>
      </c>
      <c r="C726" t="s">
        <v>284</v>
      </c>
      <c r="D726" t="s">
        <v>446</v>
      </c>
      <c r="E726" t="s">
        <v>998</v>
      </c>
      <c r="F726">
        <v>361</v>
      </c>
      <c r="G726" t="s">
        <v>1945</v>
      </c>
      <c r="H726" t="s">
        <v>2127</v>
      </c>
      <c r="I726" t="s">
        <v>2128</v>
      </c>
      <c r="J726" t="s">
        <v>1110</v>
      </c>
      <c r="K726" t="s">
        <v>1003</v>
      </c>
      <c r="L726" t="s">
        <v>2031</v>
      </c>
      <c r="M726" t="s">
        <v>1000</v>
      </c>
      <c r="N726" t="s">
        <v>1004</v>
      </c>
      <c r="O726" t="s">
        <v>1949</v>
      </c>
      <c r="P726" t="s">
        <v>1001</v>
      </c>
      <c r="Q726" t="b">
        <v>1</v>
      </c>
      <c r="R726" t="b">
        <v>0</v>
      </c>
      <c r="S726" t="s">
        <v>1950</v>
      </c>
      <c r="T726" t="s">
        <v>446</v>
      </c>
      <c r="U726" t="s">
        <v>1951</v>
      </c>
      <c r="V726" t="s">
        <v>1980</v>
      </c>
      <c r="W726" t="s">
        <v>1952</v>
      </c>
      <c r="X726" t="s">
        <v>446</v>
      </c>
      <c r="Y726" t="s">
        <v>446</v>
      </c>
      <c r="Z726" t="s">
        <v>446</v>
      </c>
      <c r="AA726" t="s">
        <v>284</v>
      </c>
      <c r="AB726" t="s">
        <v>446</v>
      </c>
      <c r="AC726" t="b">
        <v>0</v>
      </c>
      <c r="AD726" t="b">
        <v>1</v>
      </c>
    </row>
    <row r="727" spans="1:30" x14ac:dyDescent="0.25">
      <c r="A727" t="s">
        <v>42</v>
      </c>
      <c r="B727" t="s">
        <v>1314</v>
      </c>
      <c r="C727" t="s">
        <v>284</v>
      </c>
      <c r="D727" t="s">
        <v>446</v>
      </c>
      <c r="E727" t="s">
        <v>1006</v>
      </c>
      <c r="F727">
        <v>354</v>
      </c>
      <c r="G727" t="s">
        <v>1945</v>
      </c>
      <c r="H727" t="s">
        <v>2129</v>
      </c>
      <c r="I727" t="s">
        <v>2122</v>
      </c>
      <c r="J727" t="s">
        <v>1110</v>
      </c>
      <c r="K727" t="s">
        <v>1967</v>
      </c>
      <c r="L727" t="s">
        <v>1968</v>
      </c>
      <c r="M727" t="s">
        <v>980</v>
      </c>
      <c r="N727" t="s">
        <v>1969</v>
      </c>
      <c r="O727" t="s">
        <v>1970</v>
      </c>
      <c r="P727" t="s">
        <v>1009</v>
      </c>
      <c r="Q727" t="b">
        <v>1</v>
      </c>
      <c r="R727" t="b">
        <v>0</v>
      </c>
      <c r="S727" t="s">
        <v>1950</v>
      </c>
      <c r="T727" t="s">
        <v>446</v>
      </c>
      <c r="U727" t="s">
        <v>1951</v>
      </c>
      <c r="V727" t="s">
        <v>1093</v>
      </c>
      <c r="W727" t="s">
        <v>1952</v>
      </c>
      <c r="X727" t="s">
        <v>2123</v>
      </c>
      <c r="Y727" t="s">
        <v>2124</v>
      </c>
      <c r="Z727" t="s">
        <v>446</v>
      </c>
      <c r="AA727" t="s">
        <v>284</v>
      </c>
      <c r="AB727" t="s">
        <v>446</v>
      </c>
      <c r="AC727" t="b">
        <v>0</v>
      </c>
      <c r="AD727" t="b">
        <v>1</v>
      </c>
    </row>
    <row r="728" spans="1:30" x14ac:dyDescent="0.25">
      <c r="A728" t="s">
        <v>42</v>
      </c>
      <c r="B728" t="s">
        <v>1316</v>
      </c>
      <c r="C728" t="s">
        <v>284</v>
      </c>
      <c r="D728" t="s">
        <v>446</v>
      </c>
      <c r="E728" t="s">
        <v>1013</v>
      </c>
      <c r="F728">
        <v>537</v>
      </c>
      <c r="G728" t="s">
        <v>1945</v>
      </c>
      <c r="H728" t="s">
        <v>2130</v>
      </c>
      <c r="I728" t="s">
        <v>2122</v>
      </c>
      <c r="J728" t="s">
        <v>1110</v>
      </c>
      <c r="K728" t="s">
        <v>1016</v>
      </c>
      <c r="L728" t="s">
        <v>1972</v>
      </c>
      <c r="M728" t="s">
        <v>980</v>
      </c>
      <c r="N728" t="s">
        <v>1017</v>
      </c>
      <c r="O728" t="s">
        <v>1973</v>
      </c>
      <c r="P728" t="s">
        <v>1015</v>
      </c>
      <c r="Q728" t="b">
        <v>1</v>
      </c>
      <c r="R728" t="b">
        <v>0</v>
      </c>
      <c r="S728" t="s">
        <v>1950</v>
      </c>
      <c r="T728" t="s">
        <v>446</v>
      </c>
      <c r="U728" t="s">
        <v>1951</v>
      </c>
      <c r="V728" t="s">
        <v>1093</v>
      </c>
      <c r="W728" t="s">
        <v>1952</v>
      </c>
      <c r="X728" t="s">
        <v>2123</v>
      </c>
      <c r="Y728" t="s">
        <v>2124</v>
      </c>
      <c r="Z728" t="s">
        <v>446</v>
      </c>
      <c r="AA728" t="s">
        <v>284</v>
      </c>
      <c r="AB728" t="s">
        <v>446</v>
      </c>
      <c r="AC728" t="b">
        <v>0</v>
      </c>
      <c r="AD728" t="b">
        <v>1</v>
      </c>
    </row>
    <row r="729" spans="1:30" x14ac:dyDescent="0.25">
      <c r="A729" t="s">
        <v>42</v>
      </c>
      <c r="B729" t="s">
        <v>1318</v>
      </c>
      <c r="C729" t="s">
        <v>284</v>
      </c>
      <c r="D729" t="s">
        <v>446</v>
      </c>
      <c r="E729" t="s">
        <v>1018</v>
      </c>
      <c r="F729">
        <v>541</v>
      </c>
      <c r="G729" t="s">
        <v>1945</v>
      </c>
      <c r="H729" t="s">
        <v>2131</v>
      </c>
      <c r="I729" t="s">
        <v>2122</v>
      </c>
      <c r="J729" t="s">
        <v>1110</v>
      </c>
      <c r="K729" t="s">
        <v>1021</v>
      </c>
      <c r="L729" t="s">
        <v>1975</v>
      </c>
      <c r="M729" t="s">
        <v>980</v>
      </c>
      <c r="N729" t="s">
        <v>1022</v>
      </c>
      <c r="O729" t="s">
        <v>1976</v>
      </c>
      <c r="P729" t="s">
        <v>1020</v>
      </c>
      <c r="Q729" t="b">
        <v>1</v>
      </c>
      <c r="R729" t="b">
        <v>0</v>
      </c>
      <c r="S729" t="s">
        <v>1950</v>
      </c>
      <c r="T729" t="s">
        <v>446</v>
      </c>
      <c r="U729" t="s">
        <v>1951</v>
      </c>
      <c r="V729" t="s">
        <v>1093</v>
      </c>
      <c r="W729" t="s">
        <v>1952</v>
      </c>
      <c r="X729" t="s">
        <v>2123</v>
      </c>
      <c r="Y729" t="s">
        <v>2124</v>
      </c>
      <c r="Z729" t="s">
        <v>446</v>
      </c>
      <c r="AA729" t="s">
        <v>284</v>
      </c>
      <c r="AB729" t="s">
        <v>446</v>
      </c>
      <c r="AC729" t="b">
        <v>0</v>
      </c>
      <c r="AD729" t="b">
        <v>1</v>
      </c>
    </row>
    <row r="730" spans="1:30" x14ac:dyDescent="0.25">
      <c r="A730" t="s">
        <v>42</v>
      </c>
      <c r="B730" t="s">
        <v>1320</v>
      </c>
      <c r="C730" t="s">
        <v>284</v>
      </c>
      <c r="D730" t="s">
        <v>446</v>
      </c>
      <c r="E730" t="s">
        <v>1023</v>
      </c>
      <c r="F730">
        <v>338</v>
      </c>
      <c r="G730" t="s">
        <v>1945</v>
      </c>
      <c r="H730" t="s">
        <v>2132</v>
      </c>
      <c r="I730" t="s">
        <v>2128</v>
      </c>
      <c r="J730" t="s">
        <v>1110</v>
      </c>
      <c r="K730" t="s">
        <v>1026</v>
      </c>
      <c r="L730" t="s">
        <v>1979</v>
      </c>
      <c r="M730" t="s">
        <v>1000</v>
      </c>
      <c r="N730" t="s">
        <v>1027</v>
      </c>
      <c r="O730" t="s">
        <v>1970</v>
      </c>
      <c r="P730" t="s">
        <v>1025</v>
      </c>
      <c r="Q730" t="b">
        <v>1</v>
      </c>
      <c r="R730" t="b">
        <v>0</v>
      </c>
      <c r="S730" t="s">
        <v>1950</v>
      </c>
      <c r="T730" t="s">
        <v>446</v>
      </c>
      <c r="U730" t="s">
        <v>1951</v>
      </c>
      <c r="V730" t="s">
        <v>1980</v>
      </c>
      <c r="W730" t="s">
        <v>1952</v>
      </c>
      <c r="X730" t="s">
        <v>446</v>
      </c>
      <c r="Y730" t="s">
        <v>446</v>
      </c>
      <c r="Z730" t="s">
        <v>446</v>
      </c>
      <c r="AA730" t="s">
        <v>284</v>
      </c>
      <c r="AB730" t="s">
        <v>446</v>
      </c>
      <c r="AC730" t="b">
        <v>0</v>
      </c>
      <c r="AD730" t="b">
        <v>1</v>
      </c>
    </row>
    <row r="731" spans="1:30" x14ac:dyDescent="0.25">
      <c r="A731" t="s">
        <v>42</v>
      </c>
      <c r="B731" t="s">
        <v>1322</v>
      </c>
      <c r="C731" t="s">
        <v>284</v>
      </c>
      <c r="D731" t="s">
        <v>446</v>
      </c>
      <c r="E731" t="s">
        <v>1029</v>
      </c>
      <c r="F731">
        <v>351</v>
      </c>
      <c r="G731" t="s">
        <v>1945</v>
      </c>
      <c r="H731" t="s">
        <v>2133</v>
      </c>
      <c r="I731" t="s">
        <v>2122</v>
      </c>
      <c r="J731" t="s">
        <v>1110</v>
      </c>
      <c r="K731" t="s">
        <v>1033</v>
      </c>
      <c r="L731" t="s">
        <v>1982</v>
      </c>
      <c r="M731" t="s">
        <v>980</v>
      </c>
      <c r="N731" t="s">
        <v>1034</v>
      </c>
      <c r="O731" t="s">
        <v>1983</v>
      </c>
      <c r="P731" t="s">
        <v>1031</v>
      </c>
      <c r="Q731" t="b">
        <v>1</v>
      </c>
      <c r="R731" t="b">
        <v>0</v>
      </c>
      <c r="S731" t="s">
        <v>1950</v>
      </c>
      <c r="T731" t="s">
        <v>446</v>
      </c>
      <c r="U731" t="s">
        <v>1951</v>
      </c>
      <c r="V731" t="s">
        <v>1093</v>
      </c>
      <c r="W731" t="s">
        <v>1952</v>
      </c>
      <c r="X731" t="s">
        <v>2123</v>
      </c>
      <c r="Y731" t="s">
        <v>2124</v>
      </c>
      <c r="Z731" t="s">
        <v>446</v>
      </c>
      <c r="AA731" t="s">
        <v>284</v>
      </c>
      <c r="AB731" t="s">
        <v>446</v>
      </c>
      <c r="AC731" t="b">
        <v>0</v>
      </c>
      <c r="AD731" t="b">
        <v>1</v>
      </c>
    </row>
    <row r="732" spans="1:30" x14ac:dyDescent="0.25">
      <c r="A732" t="s">
        <v>42</v>
      </c>
      <c r="B732" t="s">
        <v>1324</v>
      </c>
      <c r="C732" t="s">
        <v>284</v>
      </c>
      <c r="D732" t="s">
        <v>446</v>
      </c>
      <c r="E732" t="s">
        <v>1035</v>
      </c>
      <c r="F732">
        <v>561</v>
      </c>
      <c r="G732" t="s">
        <v>1945</v>
      </c>
      <c r="H732" t="s">
        <v>2134</v>
      </c>
      <c r="I732" t="s">
        <v>2122</v>
      </c>
      <c r="J732" t="s">
        <v>1110</v>
      </c>
      <c r="K732" t="s">
        <v>1038</v>
      </c>
      <c r="L732" t="s">
        <v>1985</v>
      </c>
      <c r="M732" t="s">
        <v>980</v>
      </c>
      <c r="N732" t="s">
        <v>1039</v>
      </c>
      <c r="O732" t="s">
        <v>1986</v>
      </c>
      <c r="P732" t="s">
        <v>1037</v>
      </c>
      <c r="Q732" t="b">
        <v>1</v>
      </c>
      <c r="R732" t="b">
        <v>0</v>
      </c>
      <c r="S732" t="s">
        <v>1950</v>
      </c>
      <c r="T732" t="s">
        <v>446</v>
      </c>
      <c r="U732" t="s">
        <v>1951</v>
      </c>
      <c r="V732" t="s">
        <v>1093</v>
      </c>
      <c r="W732" t="s">
        <v>1952</v>
      </c>
      <c r="X732" t="s">
        <v>2123</v>
      </c>
      <c r="Y732" t="s">
        <v>2124</v>
      </c>
      <c r="Z732" t="s">
        <v>446</v>
      </c>
      <c r="AA732" t="s">
        <v>284</v>
      </c>
      <c r="AB732" t="s">
        <v>446</v>
      </c>
      <c r="AC732" t="b">
        <v>0</v>
      </c>
      <c r="AD732" t="b">
        <v>1</v>
      </c>
    </row>
    <row r="733" spans="1:30" x14ac:dyDescent="0.25">
      <c r="A733" t="s">
        <v>42</v>
      </c>
      <c r="B733" t="s">
        <v>1326</v>
      </c>
      <c r="C733" t="s">
        <v>284</v>
      </c>
      <c r="D733" t="s">
        <v>446</v>
      </c>
      <c r="E733" t="s">
        <v>1040</v>
      </c>
      <c r="F733">
        <v>644</v>
      </c>
      <c r="G733" t="s">
        <v>1945</v>
      </c>
      <c r="H733" t="s">
        <v>2135</v>
      </c>
      <c r="I733" t="s">
        <v>2122</v>
      </c>
      <c r="J733" t="s">
        <v>1110</v>
      </c>
      <c r="K733" t="s">
        <v>1043</v>
      </c>
      <c r="L733" t="s">
        <v>1988</v>
      </c>
      <c r="M733" t="s">
        <v>980</v>
      </c>
      <c r="N733" t="s">
        <v>1044</v>
      </c>
      <c r="O733" t="s">
        <v>1989</v>
      </c>
      <c r="P733" t="s">
        <v>1042</v>
      </c>
      <c r="Q733" t="b">
        <v>1</v>
      </c>
      <c r="R733" t="b">
        <v>0</v>
      </c>
      <c r="S733" t="s">
        <v>1950</v>
      </c>
      <c r="T733" t="s">
        <v>446</v>
      </c>
      <c r="U733" t="s">
        <v>1951</v>
      </c>
      <c r="V733" t="s">
        <v>1093</v>
      </c>
      <c r="W733" t="s">
        <v>1952</v>
      </c>
      <c r="X733" t="s">
        <v>2123</v>
      </c>
      <c r="Y733" t="s">
        <v>2124</v>
      </c>
      <c r="Z733" t="s">
        <v>446</v>
      </c>
      <c r="AA733" t="s">
        <v>284</v>
      </c>
      <c r="AB733" t="s">
        <v>446</v>
      </c>
      <c r="AC733" t="b">
        <v>0</v>
      </c>
      <c r="AD733" t="b">
        <v>1</v>
      </c>
    </row>
    <row r="734" spans="1:30" x14ac:dyDescent="0.25">
      <c r="A734" t="s">
        <v>42</v>
      </c>
      <c r="B734" t="s">
        <v>1328</v>
      </c>
      <c r="C734" t="s">
        <v>284</v>
      </c>
      <c r="D734" t="s">
        <v>446</v>
      </c>
      <c r="E734" t="s">
        <v>1045</v>
      </c>
      <c r="F734">
        <v>475</v>
      </c>
      <c r="G734" t="s">
        <v>1945</v>
      </c>
      <c r="H734" t="s">
        <v>2136</v>
      </c>
      <c r="I734" t="s">
        <v>2128</v>
      </c>
      <c r="J734" t="s">
        <v>1110</v>
      </c>
      <c r="K734" t="s">
        <v>1048</v>
      </c>
      <c r="L734" t="s">
        <v>1991</v>
      </c>
      <c r="M734" t="s">
        <v>1000</v>
      </c>
      <c r="N734" t="s">
        <v>1049</v>
      </c>
      <c r="O734" t="s">
        <v>1983</v>
      </c>
      <c r="P734" t="s">
        <v>1047</v>
      </c>
      <c r="Q734" t="b">
        <v>1</v>
      </c>
      <c r="R734" t="b">
        <v>0</v>
      </c>
      <c r="S734" t="s">
        <v>1950</v>
      </c>
      <c r="T734" t="s">
        <v>446</v>
      </c>
      <c r="U734" t="s">
        <v>1951</v>
      </c>
      <c r="V734" t="s">
        <v>1980</v>
      </c>
      <c r="W734" t="s">
        <v>1952</v>
      </c>
      <c r="X734" t="s">
        <v>446</v>
      </c>
      <c r="Y734" t="s">
        <v>446</v>
      </c>
      <c r="Z734" t="s">
        <v>446</v>
      </c>
      <c r="AA734" t="s">
        <v>284</v>
      </c>
      <c r="AB734" t="s">
        <v>446</v>
      </c>
      <c r="AC734" t="b">
        <v>0</v>
      </c>
      <c r="AD734" t="b">
        <v>1</v>
      </c>
    </row>
    <row r="735" spans="1:30" x14ac:dyDescent="0.25">
      <c r="A735" t="s">
        <v>42</v>
      </c>
      <c r="B735" t="s">
        <v>1329</v>
      </c>
      <c r="C735" t="s">
        <v>284</v>
      </c>
      <c r="D735" t="s">
        <v>446</v>
      </c>
      <c r="E735" t="s">
        <v>1051</v>
      </c>
      <c r="F735">
        <v>384</v>
      </c>
      <c r="G735" t="s">
        <v>1945</v>
      </c>
      <c r="H735" t="s">
        <v>2137</v>
      </c>
      <c r="I735" t="s">
        <v>2122</v>
      </c>
      <c r="J735" t="s">
        <v>1110</v>
      </c>
      <c r="K735" t="s">
        <v>1055</v>
      </c>
      <c r="L735" t="s">
        <v>1993</v>
      </c>
      <c r="M735" t="s">
        <v>980</v>
      </c>
      <c r="N735" t="s">
        <v>1056</v>
      </c>
      <c r="O735" t="s">
        <v>1994</v>
      </c>
      <c r="P735" t="s">
        <v>1053</v>
      </c>
      <c r="Q735" t="b">
        <v>1</v>
      </c>
      <c r="R735" t="b">
        <v>0</v>
      </c>
      <c r="S735" t="s">
        <v>1950</v>
      </c>
      <c r="T735" t="s">
        <v>446</v>
      </c>
      <c r="U735" t="s">
        <v>1951</v>
      </c>
      <c r="V735" t="s">
        <v>1093</v>
      </c>
      <c r="W735" t="s">
        <v>1952</v>
      </c>
      <c r="X735" t="s">
        <v>2123</v>
      </c>
      <c r="Y735" t="s">
        <v>2124</v>
      </c>
      <c r="Z735" t="s">
        <v>446</v>
      </c>
      <c r="AA735" t="s">
        <v>284</v>
      </c>
      <c r="AB735" t="s">
        <v>446</v>
      </c>
      <c r="AC735" t="b">
        <v>0</v>
      </c>
      <c r="AD735" t="b">
        <v>1</v>
      </c>
    </row>
    <row r="736" spans="1:30" x14ac:dyDescent="0.25">
      <c r="A736" t="s">
        <v>42</v>
      </c>
      <c r="B736" t="s">
        <v>1330</v>
      </c>
      <c r="C736" t="s">
        <v>285</v>
      </c>
      <c r="D736" t="s">
        <v>446</v>
      </c>
      <c r="E736" t="s">
        <v>978</v>
      </c>
      <c r="F736">
        <v>0</v>
      </c>
      <c r="G736" t="s">
        <v>2012</v>
      </c>
      <c r="H736" t="s">
        <v>2138</v>
      </c>
      <c r="I736" t="s">
        <v>2139</v>
      </c>
      <c r="J736" t="s">
        <v>1110</v>
      </c>
      <c r="K736" t="s">
        <v>446</v>
      </c>
      <c r="L736" t="s">
        <v>446</v>
      </c>
      <c r="M736" t="s">
        <v>446</v>
      </c>
      <c r="N736" t="s">
        <v>446</v>
      </c>
      <c r="O736" t="s">
        <v>446</v>
      </c>
      <c r="P736" t="s">
        <v>446</v>
      </c>
      <c r="Q736" t="b">
        <v>1</v>
      </c>
      <c r="R736" t="b">
        <v>0</v>
      </c>
      <c r="S736" t="s">
        <v>1950</v>
      </c>
      <c r="T736" t="s">
        <v>446</v>
      </c>
      <c r="U736" t="s">
        <v>1951</v>
      </c>
      <c r="V736" t="s">
        <v>1980</v>
      </c>
      <c r="W736" t="s">
        <v>2015</v>
      </c>
      <c r="X736" t="s">
        <v>446</v>
      </c>
      <c r="Y736" t="s">
        <v>446</v>
      </c>
      <c r="Z736" t="s">
        <v>446</v>
      </c>
      <c r="AA736" t="s">
        <v>285</v>
      </c>
      <c r="AB736" t="s">
        <v>446</v>
      </c>
      <c r="AC736" t="b">
        <v>0</v>
      </c>
      <c r="AD736" t="b">
        <v>1</v>
      </c>
    </row>
    <row r="737" spans="1:30" x14ac:dyDescent="0.25">
      <c r="A737" t="s">
        <v>42</v>
      </c>
      <c r="B737" t="s">
        <v>1331</v>
      </c>
      <c r="C737" t="s">
        <v>285</v>
      </c>
      <c r="D737" t="s">
        <v>446</v>
      </c>
      <c r="E737" t="s">
        <v>986</v>
      </c>
      <c r="F737">
        <v>0</v>
      </c>
      <c r="G737" t="s">
        <v>2012</v>
      </c>
      <c r="H737" t="s">
        <v>2138</v>
      </c>
      <c r="I737" t="s">
        <v>2139</v>
      </c>
      <c r="J737" t="s">
        <v>1110</v>
      </c>
      <c r="K737" t="s">
        <v>446</v>
      </c>
      <c r="L737" t="s">
        <v>446</v>
      </c>
      <c r="M737" t="s">
        <v>446</v>
      </c>
      <c r="N737" t="s">
        <v>446</v>
      </c>
      <c r="O737" t="s">
        <v>446</v>
      </c>
      <c r="P737" t="s">
        <v>446</v>
      </c>
      <c r="Q737" t="b">
        <v>1</v>
      </c>
      <c r="R737" t="b">
        <v>0</v>
      </c>
      <c r="S737" t="s">
        <v>1950</v>
      </c>
      <c r="T737" t="s">
        <v>446</v>
      </c>
      <c r="U737" t="s">
        <v>1951</v>
      </c>
      <c r="V737" t="s">
        <v>1980</v>
      </c>
      <c r="W737" t="s">
        <v>2015</v>
      </c>
      <c r="X737" t="s">
        <v>446</v>
      </c>
      <c r="Y737" t="s">
        <v>446</v>
      </c>
      <c r="Z737" t="s">
        <v>446</v>
      </c>
      <c r="AA737" t="s">
        <v>285</v>
      </c>
      <c r="AB737" t="s">
        <v>446</v>
      </c>
      <c r="AC737" t="b">
        <v>0</v>
      </c>
      <c r="AD737" t="b">
        <v>1</v>
      </c>
    </row>
    <row r="738" spans="1:30" x14ac:dyDescent="0.25">
      <c r="A738" t="s">
        <v>42</v>
      </c>
      <c r="B738" t="s">
        <v>1332</v>
      </c>
      <c r="C738" t="s">
        <v>285</v>
      </c>
      <c r="D738" t="s">
        <v>446</v>
      </c>
      <c r="E738" t="s">
        <v>992</v>
      </c>
      <c r="F738">
        <v>0</v>
      </c>
      <c r="G738" t="s">
        <v>2012</v>
      </c>
      <c r="H738" t="s">
        <v>2138</v>
      </c>
      <c r="I738" t="s">
        <v>2139</v>
      </c>
      <c r="J738" t="s">
        <v>1110</v>
      </c>
      <c r="K738" t="s">
        <v>446</v>
      </c>
      <c r="L738" t="s">
        <v>446</v>
      </c>
      <c r="M738" t="s">
        <v>446</v>
      </c>
      <c r="N738" t="s">
        <v>446</v>
      </c>
      <c r="O738" t="s">
        <v>446</v>
      </c>
      <c r="P738" t="s">
        <v>446</v>
      </c>
      <c r="Q738" t="b">
        <v>1</v>
      </c>
      <c r="R738" t="b">
        <v>0</v>
      </c>
      <c r="S738" t="s">
        <v>1950</v>
      </c>
      <c r="T738" t="s">
        <v>446</v>
      </c>
      <c r="U738" t="s">
        <v>1951</v>
      </c>
      <c r="V738" t="s">
        <v>1980</v>
      </c>
      <c r="W738" t="s">
        <v>2015</v>
      </c>
      <c r="X738" t="s">
        <v>446</v>
      </c>
      <c r="Y738" t="s">
        <v>446</v>
      </c>
      <c r="Z738" t="s">
        <v>446</v>
      </c>
      <c r="AA738" t="s">
        <v>285</v>
      </c>
      <c r="AB738" t="s">
        <v>446</v>
      </c>
      <c r="AC738" t="b">
        <v>0</v>
      </c>
      <c r="AD738" t="b">
        <v>1</v>
      </c>
    </row>
    <row r="739" spans="1:30" x14ac:dyDescent="0.25">
      <c r="A739" t="s">
        <v>42</v>
      </c>
      <c r="B739" t="s">
        <v>1333</v>
      </c>
      <c r="C739" t="s">
        <v>285</v>
      </c>
      <c r="D739" t="s">
        <v>446</v>
      </c>
      <c r="E739" t="s">
        <v>998</v>
      </c>
      <c r="F739">
        <v>0</v>
      </c>
      <c r="G739" t="s">
        <v>2012</v>
      </c>
      <c r="H739" t="s">
        <v>2138</v>
      </c>
      <c r="I739" t="s">
        <v>2139</v>
      </c>
      <c r="J739" t="s">
        <v>1110</v>
      </c>
      <c r="K739" t="s">
        <v>446</v>
      </c>
      <c r="L739" t="s">
        <v>446</v>
      </c>
      <c r="M739" t="s">
        <v>446</v>
      </c>
      <c r="N739" t="s">
        <v>446</v>
      </c>
      <c r="O739" t="s">
        <v>446</v>
      </c>
      <c r="P739" t="s">
        <v>446</v>
      </c>
      <c r="Q739" t="b">
        <v>1</v>
      </c>
      <c r="R739" t="b">
        <v>0</v>
      </c>
      <c r="S739" t="s">
        <v>1950</v>
      </c>
      <c r="T739" t="s">
        <v>446</v>
      </c>
      <c r="U739" t="s">
        <v>1951</v>
      </c>
      <c r="V739" t="s">
        <v>1980</v>
      </c>
      <c r="W739" t="s">
        <v>2015</v>
      </c>
      <c r="X739" t="s">
        <v>446</v>
      </c>
      <c r="Y739" t="s">
        <v>446</v>
      </c>
      <c r="Z739" t="s">
        <v>446</v>
      </c>
      <c r="AA739" t="s">
        <v>285</v>
      </c>
      <c r="AB739" t="s">
        <v>446</v>
      </c>
      <c r="AC739" t="b">
        <v>0</v>
      </c>
      <c r="AD739" t="b">
        <v>1</v>
      </c>
    </row>
    <row r="740" spans="1:30" x14ac:dyDescent="0.25">
      <c r="A740" t="s">
        <v>42</v>
      </c>
      <c r="B740" t="s">
        <v>1334</v>
      </c>
      <c r="C740" t="s">
        <v>285</v>
      </c>
      <c r="D740" t="s">
        <v>446</v>
      </c>
      <c r="E740" t="s">
        <v>1006</v>
      </c>
      <c r="F740">
        <v>0</v>
      </c>
      <c r="G740" t="s">
        <v>2012</v>
      </c>
      <c r="H740" t="s">
        <v>2138</v>
      </c>
      <c r="I740" t="s">
        <v>2139</v>
      </c>
      <c r="J740" t="s">
        <v>1110</v>
      </c>
      <c r="K740" t="s">
        <v>446</v>
      </c>
      <c r="L740" t="s">
        <v>446</v>
      </c>
      <c r="M740" t="s">
        <v>446</v>
      </c>
      <c r="N740" t="s">
        <v>446</v>
      </c>
      <c r="O740" t="s">
        <v>446</v>
      </c>
      <c r="P740" t="s">
        <v>446</v>
      </c>
      <c r="Q740" t="b">
        <v>1</v>
      </c>
      <c r="R740" t="b">
        <v>0</v>
      </c>
      <c r="S740" t="s">
        <v>1950</v>
      </c>
      <c r="T740" t="s">
        <v>446</v>
      </c>
      <c r="U740" t="s">
        <v>1951</v>
      </c>
      <c r="V740" t="s">
        <v>1980</v>
      </c>
      <c r="W740" t="s">
        <v>2015</v>
      </c>
      <c r="X740" t="s">
        <v>446</v>
      </c>
      <c r="Y740" t="s">
        <v>446</v>
      </c>
      <c r="Z740" t="s">
        <v>446</v>
      </c>
      <c r="AA740" t="s">
        <v>285</v>
      </c>
      <c r="AB740" t="s">
        <v>446</v>
      </c>
      <c r="AC740" t="b">
        <v>0</v>
      </c>
      <c r="AD740" t="b">
        <v>1</v>
      </c>
    </row>
    <row r="741" spans="1:30" x14ac:dyDescent="0.25">
      <c r="A741" t="s">
        <v>42</v>
      </c>
      <c r="B741" t="s">
        <v>1335</v>
      </c>
      <c r="C741" t="s">
        <v>285</v>
      </c>
      <c r="D741" t="s">
        <v>446</v>
      </c>
      <c r="E741" t="s">
        <v>1013</v>
      </c>
      <c r="F741">
        <v>0</v>
      </c>
      <c r="G741" t="s">
        <v>2012</v>
      </c>
      <c r="H741" t="s">
        <v>2138</v>
      </c>
      <c r="I741" t="s">
        <v>2139</v>
      </c>
      <c r="J741" t="s">
        <v>1110</v>
      </c>
      <c r="K741" t="s">
        <v>446</v>
      </c>
      <c r="L741" t="s">
        <v>446</v>
      </c>
      <c r="M741" t="s">
        <v>446</v>
      </c>
      <c r="N741" t="s">
        <v>446</v>
      </c>
      <c r="O741" t="s">
        <v>446</v>
      </c>
      <c r="P741" t="s">
        <v>446</v>
      </c>
      <c r="Q741" t="b">
        <v>1</v>
      </c>
      <c r="R741" t="b">
        <v>0</v>
      </c>
      <c r="S741" t="s">
        <v>1950</v>
      </c>
      <c r="T741" t="s">
        <v>446</v>
      </c>
      <c r="U741" t="s">
        <v>1951</v>
      </c>
      <c r="V741" t="s">
        <v>1980</v>
      </c>
      <c r="W741" t="s">
        <v>2015</v>
      </c>
      <c r="X741" t="s">
        <v>446</v>
      </c>
      <c r="Y741" t="s">
        <v>446</v>
      </c>
      <c r="Z741" t="s">
        <v>446</v>
      </c>
      <c r="AA741" t="s">
        <v>285</v>
      </c>
      <c r="AB741" t="s">
        <v>446</v>
      </c>
      <c r="AC741" t="b">
        <v>0</v>
      </c>
      <c r="AD741" t="b">
        <v>1</v>
      </c>
    </row>
    <row r="742" spans="1:30" x14ac:dyDescent="0.25">
      <c r="A742" t="s">
        <v>42</v>
      </c>
      <c r="B742" t="s">
        <v>1336</v>
      </c>
      <c r="C742" t="s">
        <v>285</v>
      </c>
      <c r="D742" t="s">
        <v>446</v>
      </c>
      <c r="E742" t="s">
        <v>1018</v>
      </c>
      <c r="F742">
        <v>0</v>
      </c>
      <c r="G742" t="s">
        <v>2012</v>
      </c>
      <c r="H742" t="s">
        <v>2138</v>
      </c>
      <c r="I742" t="s">
        <v>2139</v>
      </c>
      <c r="J742" t="s">
        <v>1110</v>
      </c>
      <c r="K742" t="s">
        <v>446</v>
      </c>
      <c r="L742" t="s">
        <v>446</v>
      </c>
      <c r="M742" t="s">
        <v>446</v>
      </c>
      <c r="N742" t="s">
        <v>446</v>
      </c>
      <c r="O742" t="s">
        <v>446</v>
      </c>
      <c r="P742" t="s">
        <v>446</v>
      </c>
      <c r="Q742" t="b">
        <v>1</v>
      </c>
      <c r="R742" t="b">
        <v>0</v>
      </c>
      <c r="S742" t="s">
        <v>1950</v>
      </c>
      <c r="T742" t="s">
        <v>446</v>
      </c>
      <c r="U742" t="s">
        <v>1951</v>
      </c>
      <c r="V742" t="s">
        <v>1980</v>
      </c>
      <c r="W742" t="s">
        <v>2015</v>
      </c>
      <c r="X742" t="s">
        <v>446</v>
      </c>
      <c r="Y742" t="s">
        <v>446</v>
      </c>
      <c r="Z742" t="s">
        <v>446</v>
      </c>
      <c r="AA742" t="s">
        <v>285</v>
      </c>
      <c r="AB742" t="s">
        <v>446</v>
      </c>
      <c r="AC742" t="b">
        <v>0</v>
      </c>
      <c r="AD742" t="b">
        <v>1</v>
      </c>
    </row>
    <row r="743" spans="1:30" x14ac:dyDescent="0.25">
      <c r="A743" t="s">
        <v>42</v>
      </c>
      <c r="B743" t="s">
        <v>1337</v>
      </c>
      <c r="C743" t="s">
        <v>285</v>
      </c>
      <c r="D743" t="s">
        <v>446</v>
      </c>
      <c r="E743" t="s">
        <v>1023</v>
      </c>
      <c r="F743">
        <v>0</v>
      </c>
      <c r="G743" t="s">
        <v>2012</v>
      </c>
      <c r="H743" t="s">
        <v>2138</v>
      </c>
      <c r="I743" t="s">
        <v>2139</v>
      </c>
      <c r="J743" t="s">
        <v>1110</v>
      </c>
      <c r="K743" t="s">
        <v>446</v>
      </c>
      <c r="L743" t="s">
        <v>446</v>
      </c>
      <c r="M743" t="s">
        <v>446</v>
      </c>
      <c r="N743" t="s">
        <v>446</v>
      </c>
      <c r="O743" t="s">
        <v>446</v>
      </c>
      <c r="P743" t="s">
        <v>446</v>
      </c>
      <c r="Q743" t="b">
        <v>1</v>
      </c>
      <c r="R743" t="b">
        <v>0</v>
      </c>
      <c r="S743" t="s">
        <v>1950</v>
      </c>
      <c r="T743" t="s">
        <v>446</v>
      </c>
      <c r="U743" t="s">
        <v>1951</v>
      </c>
      <c r="V743" t="s">
        <v>1980</v>
      </c>
      <c r="W743" t="s">
        <v>2015</v>
      </c>
      <c r="X743" t="s">
        <v>446</v>
      </c>
      <c r="Y743" t="s">
        <v>446</v>
      </c>
      <c r="Z743" t="s">
        <v>446</v>
      </c>
      <c r="AA743" t="s">
        <v>285</v>
      </c>
      <c r="AB743" t="s">
        <v>446</v>
      </c>
      <c r="AC743" t="b">
        <v>0</v>
      </c>
      <c r="AD743" t="b">
        <v>1</v>
      </c>
    </row>
    <row r="744" spans="1:30" x14ac:dyDescent="0.25">
      <c r="A744" t="s">
        <v>42</v>
      </c>
      <c r="B744" t="s">
        <v>1338</v>
      </c>
      <c r="C744" t="s">
        <v>285</v>
      </c>
      <c r="D744" t="s">
        <v>446</v>
      </c>
      <c r="E744" t="s">
        <v>1029</v>
      </c>
      <c r="F744">
        <v>0</v>
      </c>
      <c r="G744" t="s">
        <v>2012</v>
      </c>
      <c r="H744" t="s">
        <v>2138</v>
      </c>
      <c r="I744" t="s">
        <v>2139</v>
      </c>
      <c r="J744" t="s">
        <v>1110</v>
      </c>
      <c r="K744" t="s">
        <v>446</v>
      </c>
      <c r="L744" t="s">
        <v>446</v>
      </c>
      <c r="M744" t="s">
        <v>446</v>
      </c>
      <c r="N744" t="s">
        <v>446</v>
      </c>
      <c r="O744" t="s">
        <v>446</v>
      </c>
      <c r="P744" t="s">
        <v>446</v>
      </c>
      <c r="Q744" t="b">
        <v>1</v>
      </c>
      <c r="R744" t="b">
        <v>0</v>
      </c>
      <c r="S744" t="s">
        <v>1950</v>
      </c>
      <c r="T744" t="s">
        <v>446</v>
      </c>
      <c r="U744" t="s">
        <v>1951</v>
      </c>
      <c r="V744" t="s">
        <v>1980</v>
      </c>
      <c r="W744" t="s">
        <v>2015</v>
      </c>
      <c r="X744" t="s">
        <v>446</v>
      </c>
      <c r="Y744" t="s">
        <v>446</v>
      </c>
      <c r="Z744" t="s">
        <v>446</v>
      </c>
      <c r="AA744" t="s">
        <v>285</v>
      </c>
      <c r="AB744" t="s">
        <v>446</v>
      </c>
      <c r="AC744" t="b">
        <v>0</v>
      </c>
      <c r="AD744" t="b">
        <v>1</v>
      </c>
    </row>
    <row r="745" spans="1:30" x14ac:dyDescent="0.25">
      <c r="A745" t="s">
        <v>42</v>
      </c>
      <c r="B745" t="s">
        <v>1339</v>
      </c>
      <c r="C745" t="s">
        <v>285</v>
      </c>
      <c r="D745" t="s">
        <v>446</v>
      </c>
      <c r="E745" t="s">
        <v>1035</v>
      </c>
      <c r="F745">
        <v>0</v>
      </c>
      <c r="G745" t="s">
        <v>2012</v>
      </c>
      <c r="H745" t="s">
        <v>2138</v>
      </c>
      <c r="I745" t="s">
        <v>2139</v>
      </c>
      <c r="J745" t="s">
        <v>1110</v>
      </c>
      <c r="K745" t="s">
        <v>446</v>
      </c>
      <c r="L745" t="s">
        <v>446</v>
      </c>
      <c r="M745" t="s">
        <v>446</v>
      </c>
      <c r="N745" t="s">
        <v>446</v>
      </c>
      <c r="O745" t="s">
        <v>446</v>
      </c>
      <c r="P745" t="s">
        <v>446</v>
      </c>
      <c r="Q745" t="b">
        <v>1</v>
      </c>
      <c r="R745" t="b">
        <v>0</v>
      </c>
      <c r="S745" t="s">
        <v>1950</v>
      </c>
      <c r="T745" t="s">
        <v>446</v>
      </c>
      <c r="U745" t="s">
        <v>1951</v>
      </c>
      <c r="V745" t="s">
        <v>1980</v>
      </c>
      <c r="W745" t="s">
        <v>2015</v>
      </c>
      <c r="X745" t="s">
        <v>446</v>
      </c>
      <c r="Y745" t="s">
        <v>446</v>
      </c>
      <c r="Z745" t="s">
        <v>446</v>
      </c>
      <c r="AA745" t="s">
        <v>285</v>
      </c>
      <c r="AB745" t="s">
        <v>446</v>
      </c>
      <c r="AC745" t="b">
        <v>0</v>
      </c>
      <c r="AD745" t="b">
        <v>1</v>
      </c>
    </row>
    <row r="746" spans="1:30" x14ac:dyDescent="0.25">
      <c r="A746" t="s">
        <v>42</v>
      </c>
      <c r="B746" t="s">
        <v>1340</v>
      </c>
      <c r="C746" t="s">
        <v>285</v>
      </c>
      <c r="D746" t="s">
        <v>446</v>
      </c>
      <c r="E746" t="s">
        <v>1040</v>
      </c>
      <c r="F746">
        <v>0</v>
      </c>
      <c r="G746" t="s">
        <v>2012</v>
      </c>
      <c r="H746" t="s">
        <v>2138</v>
      </c>
      <c r="I746" t="s">
        <v>2139</v>
      </c>
      <c r="J746" t="s">
        <v>1110</v>
      </c>
      <c r="K746" t="s">
        <v>446</v>
      </c>
      <c r="L746" t="s">
        <v>446</v>
      </c>
      <c r="M746" t="s">
        <v>446</v>
      </c>
      <c r="N746" t="s">
        <v>446</v>
      </c>
      <c r="O746" t="s">
        <v>446</v>
      </c>
      <c r="P746" t="s">
        <v>446</v>
      </c>
      <c r="Q746" t="b">
        <v>1</v>
      </c>
      <c r="R746" t="b">
        <v>0</v>
      </c>
      <c r="S746" t="s">
        <v>1950</v>
      </c>
      <c r="T746" t="s">
        <v>446</v>
      </c>
      <c r="U746" t="s">
        <v>1951</v>
      </c>
      <c r="V746" t="s">
        <v>1980</v>
      </c>
      <c r="W746" t="s">
        <v>2015</v>
      </c>
      <c r="X746" t="s">
        <v>446</v>
      </c>
      <c r="Y746" t="s">
        <v>446</v>
      </c>
      <c r="Z746" t="s">
        <v>446</v>
      </c>
      <c r="AA746" t="s">
        <v>285</v>
      </c>
      <c r="AB746" t="s">
        <v>446</v>
      </c>
      <c r="AC746" t="b">
        <v>0</v>
      </c>
      <c r="AD746" t="b">
        <v>1</v>
      </c>
    </row>
    <row r="747" spans="1:30" x14ac:dyDescent="0.25">
      <c r="A747" t="s">
        <v>42</v>
      </c>
      <c r="B747" t="s">
        <v>1341</v>
      </c>
      <c r="C747" t="s">
        <v>285</v>
      </c>
      <c r="D747" t="s">
        <v>446</v>
      </c>
      <c r="E747" t="s">
        <v>1045</v>
      </c>
      <c r="F747">
        <v>0</v>
      </c>
      <c r="G747" t="s">
        <v>2012</v>
      </c>
      <c r="H747" t="s">
        <v>2138</v>
      </c>
      <c r="I747" t="s">
        <v>2139</v>
      </c>
      <c r="J747" t="s">
        <v>1110</v>
      </c>
      <c r="K747" t="s">
        <v>446</v>
      </c>
      <c r="L747" t="s">
        <v>446</v>
      </c>
      <c r="M747" t="s">
        <v>446</v>
      </c>
      <c r="N747" t="s">
        <v>446</v>
      </c>
      <c r="O747" t="s">
        <v>446</v>
      </c>
      <c r="P747" t="s">
        <v>446</v>
      </c>
      <c r="Q747" t="b">
        <v>1</v>
      </c>
      <c r="R747" t="b">
        <v>0</v>
      </c>
      <c r="S747" t="s">
        <v>1950</v>
      </c>
      <c r="T747" t="s">
        <v>446</v>
      </c>
      <c r="U747" t="s">
        <v>1951</v>
      </c>
      <c r="V747" t="s">
        <v>1980</v>
      </c>
      <c r="W747" t="s">
        <v>2015</v>
      </c>
      <c r="X747" t="s">
        <v>446</v>
      </c>
      <c r="Y747" t="s">
        <v>446</v>
      </c>
      <c r="Z747" t="s">
        <v>446</v>
      </c>
      <c r="AA747" t="s">
        <v>285</v>
      </c>
      <c r="AB747" t="s">
        <v>446</v>
      </c>
      <c r="AC747" t="b">
        <v>0</v>
      </c>
      <c r="AD747" t="b">
        <v>1</v>
      </c>
    </row>
    <row r="748" spans="1:30" x14ac:dyDescent="0.25">
      <c r="A748" t="s">
        <v>42</v>
      </c>
      <c r="B748" t="s">
        <v>1343</v>
      </c>
      <c r="C748" t="s">
        <v>286</v>
      </c>
      <c r="D748" t="s">
        <v>446</v>
      </c>
      <c r="E748" t="s">
        <v>978</v>
      </c>
      <c r="F748">
        <v>-6</v>
      </c>
      <c r="G748" t="s">
        <v>2012</v>
      </c>
      <c r="H748" t="s">
        <v>2140</v>
      </c>
      <c r="I748" t="s">
        <v>2141</v>
      </c>
      <c r="J748" t="s">
        <v>1110</v>
      </c>
      <c r="K748" t="s">
        <v>984</v>
      </c>
      <c r="L748" t="s">
        <v>1948</v>
      </c>
      <c r="M748" t="s">
        <v>980</v>
      </c>
      <c r="N748" t="s">
        <v>985</v>
      </c>
      <c r="O748" t="s">
        <v>1949</v>
      </c>
      <c r="P748" t="s">
        <v>981</v>
      </c>
      <c r="Q748" t="b">
        <v>1</v>
      </c>
      <c r="R748" t="b">
        <v>0</v>
      </c>
      <c r="S748" t="s">
        <v>1950</v>
      </c>
      <c r="T748" t="s">
        <v>446</v>
      </c>
      <c r="U748" t="s">
        <v>1951</v>
      </c>
      <c r="V748" t="s">
        <v>1093</v>
      </c>
      <c r="W748" t="s">
        <v>1952</v>
      </c>
      <c r="X748" t="s">
        <v>2142</v>
      </c>
      <c r="Y748" t="s">
        <v>2143</v>
      </c>
      <c r="Z748" t="s">
        <v>446</v>
      </c>
      <c r="AA748" t="s">
        <v>286</v>
      </c>
      <c r="AB748" t="s">
        <v>446</v>
      </c>
      <c r="AC748" t="b">
        <v>0</v>
      </c>
      <c r="AD748" t="b">
        <v>1</v>
      </c>
    </row>
    <row r="749" spans="1:30" x14ac:dyDescent="0.25">
      <c r="A749" t="s">
        <v>42</v>
      </c>
      <c r="B749" t="s">
        <v>1344</v>
      </c>
      <c r="C749" t="s">
        <v>286</v>
      </c>
      <c r="D749" t="s">
        <v>446</v>
      </c>
      <c r="E749" t="s">
        <v>986</v>
      </c>
      <c r="F749">
        <v>26</v>
      </c>
      <c r="G749" t="s">
        <v>2012</v>
      </c>
      <c r="H749" t="s">
        <v>2144</v>
      </c>
      <c r="I749" t="s">
        <v>2141</v>
      </c>
      <c r="J749" t="s">
        <v>1110</v>
      </c>
      <c r="K749" t="s">
        <v>990</v>
      </c>
      <c r="L749" t="s">
        <v>1955</v>
      </c>
      <c r="M749" t="s">
        <v>980</v>
      </c>
      <c r="N749" t="s">
        <v>991</v>
      </c>
      <c r="O749" t="s">
        <v>1956</v>
      </c>
      <c r="P749" t="s">
        <v>988</v>
      </c>
      <c r="Q749" t="b">
        <v>1</v>
      </c>
      <c r="R749" t="b">
        <v>0</v>
      </c>
      <c r="S749" t="s">
        <v>1950</v>
      </c>
      <c r="T749" t="s">
        <v>446</v>
      </c>
      <c r="U749" t="s">
        <v>1951</v>
      </c>
      <c r="V749" t="s">
        <v>1093</v>
      </c>
      <c r="W749" t="s">
        <v>1952</v>
      </c>
      <c r="X749" t="s">
        <v>2142</v>
      </c>
      <c r="Y749" t="s">
        <v>2143</v>
      </c>
      <c r="Z749" t="s">
        <v>446</v>
      </c>
      <c r="AA749" t="s">
        <v>286</v>
      </c>
      <c r="AB749" t="s">
        <v>446</v>
      </c>
      <c r="AC749" t="b">
        <v>0</v>
      </c>
      <c r="AD749" t="b">
        <v>1</v>
      </c>
    </row>
    <row r="750" spans="1:30" x14ac:dyDescent="0.25">
      <c r="A750" t="s">
        <v>42</v>
      </c>
      <c r="B750" t="s">
        <v>1345</v>
      </c>
      <c r="C750" t="s">
        <v>286</v>
      </c>
      <c r="D750" t="s">
        <v>446</v>
      </c>
      <c r="E750" t="s">
        <v>992</v>
      </c>
      <c r="F750">
        <v>4</v>
      </c>
      <c r="G750" t="s">
        <v>2012</v>
      </c>
      <c r="H750" t="s">
        <v>2145</v>
      </c>
      <c r="I750" t="s">
        <v>2141</v>
      </c>
      <c r="J750" t="s">
        <v>1110</v>
      </c>
      <c r="K750" t="s">
        <v>996</v>
      </c>
      <c r="L750" t="s">
        <v>1958</v>
      </c>
      <c r="M750" t="s">
        <v>980</v>
      </c>
      <c r="N750" t="s">
        <v>997</v>
      </c>
      <c r="O750" t="s">
        <v>1959</v>
      </c>
      <c r="P750" t="s">
        <v>994</v>
      </c>
      <c r="Q750" t="b">
        <v>1</v>
      </c>
      <c r="R750" t="b">
        <v>0</v>
      </c>
      <c r="S750" t="s">
        <v>1950</v>
      </c>
      <c r="T750" t="s">
        <v>446</v>
      </c>
      <c r="U750" t="s">
        <v>1951</v>
      </c>
      <c r="V750" t="s">
        <v>1093</v>
      </c>
      <c r="W750" t="s">
        <v>1952</v>
      </c>
      <c r="X750" t="s">
        <v>2142</v>
      </c>
      <c r="Y750" t="s">
        <v>2143</v>
      </c>
      <c r="Z750" t="s">
        <v>446</v>
      </c>
      <c r="AA750" t="s">
        <v>286</v>
      </c>
      <c r="AB750" t="s">
        <v>446</v>
      </c>
      <c r="AC750" t="b">
        <v>0</v>
      </c>
      <c r="AD750" t="b">
        <v>1</v>
      </c>
    </row>
    <row r="751" spans="1:30" x14ac:dyDescent="0.25">
      <c r="A751" t="s">
        <v>42</v>
      </c>
      <c r="B751" t="s">
        <v>1346</v>
      </c>
      <c r="C751" t="s">
        <v>286</v>
      </c>
      <c r="D751" t="s">
        <v>446</v>
      </c>
      <c r="E751" t="s">
        <v>998</v>
      </c>
      <c r="F751">
        <v>-13</v>
      </c>
      <c r="G751" t="s">
        <v>2012</v>
      </c>
      <c r="H751" t="s">
        <v>2146</v>
      </c>
      <c r="I751" t="s">
        <v>2147</v>
      </c>
      <c r="J751" t="s">
        <v>1110</v>
      </c>
      <c r="K751" t="s">
        <v>1003</v>
      </c>
      <c r="L751" t="s">
        <v>2031</v>
      </c>
      <c r="M751" t="s">
        <v>1000</v>
      </c>
      <c r="N751" t="s">
        <v>1004</v>
      </c>
      <c r="O751" t="s">
        <v>1949</v>
      </c>
      <c r="P751" t="s">
        <v>1001</v>
      </c>
      <c r="Q751" t="b">
        <v>1</v>
      </c>
      <c r="R751" t="b">
        <v>0</v>
      </c>
      <c r="S751" t="s">
        <v>1950</v>
      </c>
      <c r="T751" t="s">
        <v>446</v>
      </c>
      <c r="U751" t="s">
        <v>1951</v>
      </c>
      <c r="V751" t="s">
        <v>1980</v>
      </c>
      <c r="W751" t="s">
        <v>1952</v>
      </c>
      <c r="X751" t="s">
        <v>446</v>
      </c>
      <c r="Y751" t="s">
        <v>446</v>
      </c>
      <c r="Z751" t="s">
        <v>446</v>
      </c>
      <c r="AA751" t="s">
        <v>286</v>
      </c>
      <c r="AB751" t="s">
        <v>446</v>
      </c>
      <c r="AC751" t="b">
        <v>0</v>
      </c>
      <c r="AD751" t="b">
        <v>1</v>
      </c>
    </row>
    <row r="752" spans="1:30" x14ac:dyDescent="0.25">
      <c r="A752" t="s">
        <v>42</v>
      </c>
      <c r="B752" t="s">
        <v>1347</v>
      </c>
      <c r="C752" t="s">
        <v>286</v>
      </c>
      <c r="D752" t="s">
        <v>446</v>
      </c>
      <c r="E752" t="s">
        <v>1006</v>
      </c>
      <c r="F752">
        <v>-8</v>
      </c>
      <c r="G752" t="s">
        <v>2012</v>
      </c>
      <c r="H752" t="s">
        <v>2148</v>
      </c>
      <c r="I752" t="s">
        <v>2141</v>
      </c>
      <c r="J752" t="s">
        <v>1110</v>
      </c>
      <c r="K752" t="s">
        <v>1967</v>
      </c>
      <c r="L752" t="s">
        <v>1968</v>
      </c>
      <c r="M752" t="s">
        <v>980</v>
      </c>
      <c r="N752" t="s">
        <v>1969</v>
      </c>
      <c r="O752" t="s">
        <v>1970</v>
      </c>
      <c r="P752" t="s">
        <v>1009</v>
      </c>
      <c r="Q752" t="b">
        <v>1</v>
      </c>
      <c r="R752" t="b">
        <v>0</v>
      </c>
      <c r="S752" t="s">
        <v>1950</v>
      </c>
      <c r="T752" t="s">
        <v>446</v>
      </c>
      <c r="U752" t="s">
        <v>1951</v>
      </c>
      <c r="V752" t="s">
        <v>1093</v>
      </c>
      <c r="W752" t="s">
        <v>1952</v>
      </c>
      <c r="X752" t="s">
        <v>2142</v>
      </c>
      <c r="Y752" t="s">
        <v>2143</v>
      </c>
      <c r="Z752" t="s">
        <v>446</v>
      </c>
      <c r="AA752" t="s">
        <v>286</v>
      </c>
      <c r="AB752" t="s">
        <v>446</v>
      </c>
      <c r="AC752" t="b">
        <v>0</v>
      </c>
      <c r="AD752" t="b">
        <v>1</v>
      </c>
    </row>
    <row r="753" spans="1:30" x14ac:dyDescent="0.25">
      <c r="A753" t="s">
        <v>42</v>
      </c>
      <c r="B753" t="s">
        <v>1348</v>
      </c>
      <c r="C753" t="s">
        <v>286</v>
      </c>
      <c r="D753" t="s">
        <v>446</v>
      </c>
      <c r="E753" t="s">
        <v>1013</v>
      </c>
      <c r="F753">
        <v>10</v>
      </c>
      <c r="G753" t="s">
        <v>2012</v>
      </c>
      <c r="H753" t="s">
        <v>2149</v>
      </c>
      <c r="I753" t="s">
        <v>2141</v>
      </c>
      <c r="J753" t="s">
        <v>1110</v>
      </c>
      <c r="K753" t="s">
        <v>1016</v>
      </c>
      <c r="L753" t="s">
        <v>1972</v>
      </c>
      <c r="M753" t="s">
        <v>980</v>
      </c>
      <c r="N753" t="s">
        <v>1017</v>
      </c>
      <c r="O753" t="s">
        <v>1973</v>
      </c>
      <c r="P753" t="s">
        <v>1015</v>
      </c>
      <c r="Q753" t="b">
        <v>1</v>
      </c>
      <c r="R753" t="b">
        <v>0</v>
      </c>
      <c r="S753" t="s">
        <v>1950</v>
      </c>
      <c r="T753" t="s">
        <v>446</v>
      </c>
      <c r="U753" t="s">
        <v>1951</v>
      </c>
      <c r="V753" t="s">
        <v>1093</v>
      </c>
      <c r="W753" t="s">
        <v>1952</v>
      </c>
      <c r="X753" t="s">
        <v>2142</v>
      </c>
      <c r="Y753" t="s">
        <v>2143</v>
      </c>
      <c r="Z753" t="s">
        <v>446</v>
      </c>
      <c r="AA753" t="s">
        <v>286</v>
      </c>
      <c r="AB753" t="s">
        <v>446</v>
      </c>
      <c r="AC753" t="b">
        <v>0</v>
      </c>
      <c r="AD753" t="b">
        <v>1</v>
      </c>
    </row>
    <row r="754" spans="1:30" x14ac:dyDescent="0.25">
      <c r="A754" t="s">
        <v>42</v>
      </c>
      <c r="B754" t="s">
        <v>1349</v>
      </c>
      <c r="C754" t="s">
        <v>286</v>
      </c>
      <c r="D754" t="s">
        <v>446</v>
      </c>
      <c r="E754" t="s">
        <v>1018</v>
      </c>
      <c r="F754">
        <v>-2</v>
      </c>
      <c r="G754" t="s">
        <v>2012</v>
      </c>
      <c r="H754" t="s">
        <v>2150</v>
      </c>
      <c r="I754" t="s">
        <v>2141</v>
      </c>
      <c r="J754" t="s">
        <v>1110</v>
      </c>
      <c r="K754" t="s">
        <v>1021</v>
      </c>
      <c r="L754" t="s">
        <v>1975</v>
      </c>
      <c r="M754" t="s">
        <v>980</v>
      </c>
      <c r="N754" t="s">
        <v>1022</v>
      </c>
      <c r="O754" t="s">
        <v>1976</v>
      </c>
      <c r="P754" t="s">
        <v>1020</v>
      </c>
      <c r="Q754" t="b">
        <v>1</v>
      </c>
      <c r="R754" t="b">
        <v>0</v>
      </c>
      <c r="S754" t="s">
        <v>1950</v>
      </c>
      <c r="T754" t="s">
        <v>446</v>
      </c>
      <c r="U754" t="s">
        <v>1951</v>
      </c>
      <c r="V754" t="s">
        <v>1093</v>
      </c>
      <c r="W754" t="s">
        <v>1952</v>
      </c>
      <c r="X754" t="s">
        <v>2142</v>
      </c>
      <c r="Y754" t="s">
        <v>2143</v>
      </c>
      <c r="Z754" t="s">
        <v>446</v>
      </c>
      <c r="AA754" t="s">
        <v>286</v>
      </c>
      <c r="AB754" t="s">
        <v>446</v>
      </c>
      <c r="AC754" t="b">
        <v>0</v>
      </c>
      <c r="AD754" t="b">
        <v>1</v>
      </c>
    </row>
    <row r="755" spans="1:30" x14ac:dyDescent="0.25">
      <c r="A755" t="s">
        <v>42</v>
      </c>
      <c r="B755" t="s">
        <v>1350</v>
      </c>
      <c r="C755" t="s">
        <v>286</v>
      </c>
      <c r="D755" t="s">
        <v>446</v>
      </c>
      <c r="E755" t="s">
        <v>1023</v>
      </c>
      <c r="F755">
        <v>-18</v>
      </c>
      <c r="G755" t="s">
        <v>2012</v>
      </c>
      <c r="H755" t="s">
        <v>2151</v>
      </c>
      <c r="I755" t="s">
        <v>2147</v>
      </c>
      <c r="J755" t="s">
        <v>1110</v>
      </c>
      <c r="K755" t="s">
        <v>1026</v>
      </c>
      <c r="L755" t="s">
        <v>1979</v>
      </c>
      <c r="M755" t="s">
        <v>1000</v>
      </c>
      <c r="N755" t="s">
        <v>1027</v>
      </c>
      <c r="O755" t="s">
        <v>1970</v>
      </c>
      <c r="P755" t="s">
        <v>1025</v>
      </c>
      <c r="Q755" t="b">
        <v>1</v>
      </c>
      <c r="R755" t="b">
        <v>0</v>
      </c>
      <c r="S755" t="s">
        <v>1950</v>
      </c>
      <c r="T755" t="s">
        <v>446</v>
      </c>
      <c r="U755" t="s">
        <v>1951</v>
      </c>
      <c r="V755" t="s">
        <v>1980</v>
      </c>
      <c r="W755" t="s">
        <v>1952</v>
      </c>
      <c r="X755" t="s">
        <v>446</v>
      </c>
      <c r="Y755" t="s">
        <v>446</v>
      </c>
      <c r="Z755" t="s">
        <v>446</v>
      </c>
      <c r="AA755" t="s">
        <v>286</v>
      </c>
      <c r="AB755" t="s">
        <v>446</v>
      </c>
      <c r="AC755" t="b">
        <v>0</v>
      </c>
      <c r="AD755" t="b">
        <v>1</v>
      </c>
    </row>
    <row r="756" spans="1:30" x14ac:dyDescent="0.25">
      <c r="A756" t="s">
        <v>42</v>
      </c>
      <c r="B756" t="s">
        <v>1351</v>
      </c>
      <c r="C756" t="s">
        <v>286</v>
      </c>
      <c r="D756" t="s">
        <v>446</v>
      </c>
      <c r="E756" t="s">
        <v>1029</v>
      </c>
      <c r="F756">
        <v>-5</v>
      </c>
      <c r="G756" t="s">
        <v>1945</v>
      </c>
      <c r="H756" t="s">
        <v>2152</v>
      </c>
      <c r="I756" t="s">
        <v>2141</v>
      </c>
      <c r="J756" t="s">
        <v>1110</v>
      </c>
      <c r="K756" t="s">
        <v>1033</v>
      </c>
      <c r="L756" t="s">
        <v>1982</v>
      </c>
      <c r="M756" t="s">
        <v>980</v>
      </c>
      <c r="N756" t="s">
        <v>1034</v>
      </c>
      <c r="O756" t="s">
        <v>1983</v>
      </c>
      <c r="P756" t="s">
        <v>1031</v>
      </c>
      <c r="Q756" t="b">
        <v>1</v>
      </c>
      <c r="R756" t="b">
        <v>0</v>
      </c>
      <c r="S756" t="s">
        <v>1950</v>
      </c>
      <c r="T756" t="s">
        <v>446</v>
      </c>
      <c r="U756" t="s">
        <v>1951</v>
      </c>
      <c r="V756" t="s">
        <v>1093</v>
      </c>
      <c r="W756" t="s">
        <v>1952</v>
      </c>
      <c r="X756" t="s">
        <v>2142</v>
      </c>
      <c r="Y756" t="s">
        <v>2143</v>
      </c>
      <c r="Z756" t="s">
        <v>446</v>
      </c>
      <c r="AA756" t="s">
        <v>286</v>
      </c>
      <c r="AB756" t="s">
        <v>446</v>
      </c>
      <c r="AC756" t="b">
        <v>0</v>
      </c>
      <c r="AD756" t="b">
        <v>1</v>
      </c>
    </row>
    <row r="757" spans="1:30" x14ac:dyDescent="0.25">
      <c r="A757" t="s">
        <v>42</v>
      </c>
      <c r="B757" t="s">
        <v>1352</v>
      </c>
      <c r="C757" t="s">
        <v>286</v>
      </c>
      <c r="D757" t="s">
        <v>446</v>
      </c>
      <c r="E757" t="s">
        <v>1035</v>
      </c>
      <c r="F757">
        <v>7</v>
      </c>
      <c r="G757" t="s">
        <v>1945</v>
      </c>
      <c r="H757" t="s">
        <v>2153</v>
      </c>
      <c r="I757" t="s">
        <v>2141</v>
      </c>
      <c r="J757" t="s">
        <v>1110</v>
      </c>
      <c r="K757" t="s">
        <v>1038</v>
      </c>
      <c r="L757" t="s">
        <v>1985</v>
      </c>
      <c r="M757" t="s">
        <v>980</v>
      </c>
      <c r="N757" t="s">
        <v>1039</v>
      </c>
      <c r="O757" t="s">
        <v>1986</v>
      </c>
      <c r="P757" t="s">
        <v>1037</v>
      </c>
      <c r="Q757" t="b">
        <v>1</v>
      </c>
      <c r="R757" t="b">
        <v>0</v>
      </c>
      <c r="S757" t="s">
        <v>1950</v>
      </c>
      <c r="T757" t="s">
        <v>446</v>
      </c>
      <c r="U757" t="s">
        <v>1951</v>
      </c>
      <c r="V757" t="s">
        <v>1093</v>
      </c>
      <c r="W757" t="s">
        <v>1952</v>
      </c>
      <c r="X757" t="s">
        <v>2142</v>
      </c>
      <c r="Y757" t="s">
        <v>2143</v>
      </c>
      <c r="Z757" t="s">
        <v>446</v>
      </c>
      <c r="AA757" t="s">
        <v>286</v>
      </c>
      <c r="AB757" t="s">
        <v>446</v>
      </c>
      <c r="AC757" t="b">
        <v>0</v>
      </c>
      <c r="AD757" t="b">
        <v>1</v>
      </c>
    </row>
    <row r="758" spans="1:30" x14ac:dyDescent="0.25">
      <c r="A758" t="s">
        <v>42</v>
      </c>
      <c r="B758" t="s">
        <v>1353</v>
      </c>
      <c r="C758" t="s">
        <v>286</v>
      </c>
      <c r="D758" t="s">
        <v>446</v>
      </c>
      <c r="E758" t="s">
        <v>1040</v>
      </c>
      <c r="F758">
        <v>13</v>
      </c>
      <c r="G758" t="s">
        <v>1945</v>
      </c>
      <c r="H758" t="s">
        <v>2154</v>
      </c>
      <c r="I758" t="s">
        <v>2141</v>
      </c>
      <c r="J758" t="s">
        <v>1110</v>
      </c>
      <c r="K758" t="s">
        <v>1043</v>
      </c>
      <c r="L758" t="s">
        <v>1988</v>
      </c>
      <c r="M758" t="s">
        <v>980</v>
      </c>
      <c r="N758" t="s">
        <v>1044</v>
      </c>
      <c r="O758" t="s">
        <v>1989</v>
      </c>
      <c r="P758" t="s">
        <v>1042</v>
      </c>
      <c r="Q758" t="b">
        <v>1</v>
      </c>
      <c r="R758" t="b">
        <v>0</v>
      </c>
      <c r="S758" t="s">
        <v>1950</v>
      </c>
      <c r="T758" t="s">
        <v>446</v>
      </c>
      <c r="U758" t="s">
        <v>1951</v>
      </c>
      <c r="V758" t="s">
        <v>1093</v>
      </c>
      <c r="W758" t="s">
        <v>1952</v>
      </c>
      <c r="X758" t="s">
        <v>2142</v>
      </c>
      <c r="Y758" t="s">
        <v>2143</v>
      </c>
      <c r="Z758" t="s">
        <v>446</v>
      </c>
      <c r="AA758" t="s">
        <v>286</v>
      </c>
      <c r="AB758" t="s">
        <v>446</v>
      </c>
      <c r="AC758" t="b">
        <v>0</v>
      </c>
      <c r="AD758" t="b">
        <v>1</v>
      </c>
    </row>
    <row r="759" spans="1:30" x14ac:dyDescent="0.25">
      <c r="A759" t="s">
        <v>42</v>
      </c>
      <c r="B759" t="s">
        <v>1354</v>
      </c>
      <c r="C759" t="s">
        <v>286</v>
      </c>
      <c r="D759" t="s">
        <v>446</v>
      </c>
      <c r="E759" t="s">
        <v>1045</v>
      </c>
      <c r="F759">
        <v>-45</v>
      </c>
      <c r="G759" t="s">
        <v>1945</v>
      </c>
      <c r="H759" t="s">
        <v>2155</v>
      </c>
      <c r="I759" t="s">
        <v>2147</v>
      </c>
      <c r="J759" t="s">
        <v>1110</v>
      </c>
      <c r="K759" t="s">
        <v>1048</v>
      </c>
      <c r="L759" t="s">
        <v>1991</v>
      </c>
      <c r="M759" t="s">
        <v>1000</v>
      </c>
      <c r="N759" t="s">
        <v>1049</v>
      </c>
      <c r="O759" t="s">
        <v>1983</v>
      </c>
      <c r="P759" t="s">
        <v>1047</v>
      </c>
      <c r="Q759" t="b">
        <v>1</v>
      </c>
      <c r="R759" t="b">
        <v>0</v>
      </c>
      <c r="S759" t="s">
        <v>1950</v>
      </c>
      <c r="T759" t="s">
        <v>446</v>
      </c>
      <c r="U759" t="s">
        <v>1951</v>
      </c>
      <c r="V759" t="s">
        <v>1980</v>
      </c>
      <c r="W759" t="s">
        <v>1952</v>
      </c>
      <c r="X759" t="s">
        <v>446</v>
      </c>
      <c r="Y759" t="s">
        <v>446</v>
      </c>
      <c r="Z759" t="s">
        <v>446</v>
      </c>
      <c r="AA759" t="s">
        <v>286</v>
      </c>
      <c r="AB759" t="s">
        <v>446</v>
      </c>
      <c r="AC759" t="b">
        <v>0</v>
      </c>
      <c r="AD759" t="b">
        <v>1</v>
      </c>
    </row>
    <row r="760" spans="1:30" x14ac:dyDescent="0.25">
      <c r="A760" t="s">
        <v>42</v>
      </c>
      <c r="B760" t="s">
        <v>1355</v>
      </c>
      <c r="C760" t="s">
        <v>286</v>
      </c>
      <c r="D760" t="s">
        <v>446</v>
      </c>
      <c r="E760" t="s">
        <v>1051</v>
      </c>
      <c r="F760">
        <v>-42</v>
      </c>
      <c r="G760" t="s">
        <v>2012</v>
      </c>
      <c r="H760" t="s">
        <v>2156</v>
      </c>
      <c r="I760" t="s">
        <v>2141</v>
      </c>
      <c r="J760" t="s">
        <v>1110</v>
      </c>
      <c r="K760" t="s">
        <v>1055</v>
      </c>
      <c r="L760" t="s">
        <v>1993</v>
      </c>
      <c r="M760" t="s">
        <v>980</v>
      </c>
      <c r="N760" t="s">
        <v>1056</v>
      </c>
      <c r="O760" t="s">
        <v>1994</v>
      </c>
      <c r="P760" t="s">
        <v>1053</v>
      </c>
      <c r="Q760" t="b">
        <v>1</v>
      </c>
      <c r="R760" t="b">
        <v>0</v>
      </c>
      <c r="S760" t="s">
        <v>1950</v>
      </c>
      <c r="T760" t="s">
        <v>446</v>
      </c>
      <c r="U760" t="s">
        <v>1951</v>
      </c>
      <c r="V760" t="s">
        <v>1093</v>
      </c>
      <c r="W760" t="s">
        <v>1952</v>
      </c>
      <c r="X760" t="s">
        <v>2142</v>
      </c>
      <c r="Y760" t="s">
        <v>2143</v>
      </c>
      <c r="Z760" t="s">
        <v>446</v>
      </c>
      <c r="AA760" t="s">
        <v>286</v>
      </c>
      <c r="AB760" t="s">
        <v>446</v>
      </c>
      <c r="AC760" t="b">
        <v>0</v>
      </c>
      <c r="AD760" t="b">
        <v>1</v>
      </c>
    </row>
    <row r="761" spans="1:30" x14ac:dyDescent="0.25">
      <c r="A761" t="s">
        <v>42</v>
      </c>
      <c r="B761" t="s">
        <v>2157</v>
      </c>
      <c r="C761" t="s">
        <v>330</v>
      </c>
      <c r="D761" t="s">
        <v>323</v>
      </c>
      <c r="E761" t="s">
        <v>978</v>
      </c>
      <c r="F761">
        <v>13170</v>
      </c>
      <c r="G761" t="s">
        <v>2012</v>
      </c>
      <c r="H761" t="s">
        <v>2158</v>
      </c>
      <c r="I761" t="s">
        <v>2159</v>
      </c>
      <c r="J761" t="s">
        <v>1089</v>
      </c>
      <c r="K761" t="s">
        <v>984</v>
      </c>
      <c r="L761" t="s">
        <v>1948</v>
      </c>
      <c r="M761" t="s">
        <v>980</v>
      </c>
      <c r="N761" t="s">
        <v>985</v>
      </c>
      <c r="O761" t="s">
        <v>446</v>
      </c>
      <c r="P761" t="s">
        <v>981</v>
      </c>
      <c r="Q761" t="b">
        <v>1</v>
      </c>
      <c r="R761" t="b">
        <v>1</v>
      </c>
      <c r="S761" t="s">
        <v>2160</v>
      </c>
      <c r="T761" t="s">
        <v>446</v>
      </c>
      <c r="U761" t="s">
        <v>1951</v>
      </c>
      <c r="V761" t="s">
        <v>1980</v>
      </c>
      <c r="W761" t="s">
        <v>1952</v>
      </c>
      <c r="X761" t="s">
        <v>2161</v>
      </c>
      <c r="Y761" t="s">
        <v>2162</v>
      </c>
      <c r="Z761" t="s">
        <v>2163</v>
      </c>
      <c r="AA761" t="s">
        <v>330</v>
      </c>
      <c r="AB761" t="s">
        <v>2164</v>
      </c>
      <c r="AC761" t="b">
        <v>0</v>
      </c>
      <c r="AD761" t="b">
        <v>1</v>
      </c>
    </row>
    <row r="762" spans="1:30" x14ac:dyDescent="0.25">
      <c r="A762" t="s">
        <v>42</v>
      </c>
      <c r="B762" t="s">
        <v>2165</v>
      </c>
      <c r="C762" t="s">
        <v>330</v>
      </c>
      <c r="D762" t="s">
        <v>323</v>
      </c>
      <c r="E762" t="s">
        <v>986</v>
      </c>
      <c r="F762">
        <v>14431</v>
      </c>
      <c r="G762" t="s">
        <v>2012</v>
      </c>
      <c r="H762" t="s">
        <v>2166</v>
      </c>
      <c r="I762" t="s">
        <v>2159</v>
      </c>
      <c r="J762" t="s">
        <v>1089</v>
      </c>
      <c r="K762" t="s">
        <v>990</v>
      </c>
      <c r="L762" t="s">
        <v>1955</v>
      </c>
      <c r="M762" t="s">
        <v>980</v>
      </c>
      <c r="N762" t="s">
        <v>991</v>
      </c>
      <c r="O762" t="s">
        <v>446</v>
      </c>
      <c r="P762" t="s">
        <v>988</v>
      </c>
      <c r="Q762" t="b">
        <v>1</v>
      </c>
      <c r="R762" t="b">
        <v>1</v>
      </c>
      <c r="S762" t="s">
        <v>2160</v>
      </c>
      <c r="T762" t="s">
        <v>446</v>
      </c>
      <c r="U762" t="s">
        <v>1951</v>
      </c>
      <c r="V762" t="s">
        <v>1980</v>
      </c>
      <c r="W762" t="s">
        <v>1952</v>
      </c>
      <c r="X762" t="s">
        <v>2161</v>
      </c>
      <c r="Y762" t="s">
        <v>2162</v>
      </c>
      <c r="Z762" t="s">
        <v>2163</v>
      </c>
      <c r="AA762" t="s">
        <v>330</v>
      </c>
      <c r="AB762" t="s">
        <v>2164</v>
      </c>
      <c r="AC762" t="b">
        <v>0</v>
      </c>
      <c r="AD762" t="b">
        <v>1</v>
      </c>
    </row>
    <row r="763" spans="1:30" x14ac:dyDescent="0.25">
      <c r="A763" t="s">
        <v>42</v>
      </c>
      <c r="B763" t="s">
        <v>2167</v>
      </c>
      <c r="C763" t="s">
        <v>330</v>
      </c>
      <c r="D763" t="s">
        <v>323</v>
      </c>
      <c r="E763" t="s">
        <v>992</v>
      </c>
      <c r="F763">
        <v>14215</v>
      </c>
      <c r="G763" t="s">
        <v>2012</v>
      </c>
      <c r="H763" t="s">
        <v>2168</v>
      </c>
      <c r="I763" t="s">
        <v>2159</v>
      </c>
      <c r="J763" t="s">
        <v>1089</v>
      </c>
      <c r="K763" t="s">
        <v>996</v>
      </c>
      <c r="L763" t="s">
        <v>1958</v>
      </c>
      <c r="M763" t="s">
        <v>980</v>
      </c>
      <c r="N763" t="s">
        <v>997</v>
      </c>
      <c r="O763" t="s">
        <v>446</v>
      </c>
      <c r="P763" t="s">
        <v>994</v>
      </c>
      <c r="Q763" t="b">
        <v>1</v>
      </c>
      <c r="R763" t="b">
        <v>1</v>
      </c>
      <c r="S763" t="s">
        <v>2160</v>
      </c>
      <c r="T763" t="s">
        <v>446</v>
      </c>
      <c r="U763" t="s">
        <v>1951</v>
      </c>
      <c r="V763" t="s">
        <v>1980</v>
      </c>
      <c r="W763" t="s">
        <v>1952</v>
      </c>
      <c r="X763" t="s">
        <v>2161</v>
      </c>
      <c r="Y763" t="s">
        <v>2162</v>
      </c>
      <c r="Z763" t="s">
        <v>2163</v>
      </c>
      <c r="AA763" t="s">
        <v>330</v>
      </c>
      <c r="AB763" t="s">
        <v>2164</v>
      </c>
      <c r="AC763" t="b">
        <v>0</v>
      </c>
      <c r="AD763" t="b">
        <v>1</v>
      </c>
    </row>
    <row r="764" spans="1:30" x14ac:dyDescent="0.25">
      <c r="A764" t="s">
        <v>42</v>
      </c>
      <c r="B764" t="s">
        <v>2169</v>
      </c>
      <c r="C764" t="s">
        <v>330</v>
      </c>
      <c r="D764" t="s">
        <v>323</v>
      </c>
      <c r="E764" t="s">
        <v>998</v>
      </c>
      <c r="F764">
        <v>12363</v>
      </c>
      <c r="G764" t="s">
        <v>2012</v>
      </c>
      <c r="H764" t="s">
        <v>2170</v>
      </c>
      <c r="I764" t="s">
        <v>2159</v>
      </c>
      <c r="J764" t="s">
        <v>1089</v>
      </c>
      <c r="K764" t="s">
        <v>1003</v>
      </c>
      <c r="L764" t="s">
        <v>2031</v>
      </c>
      <c r="M764" t="s">
        <v>1000</v>
      </c>
      <c r="N764" t="s">
        <v>1004</v>
      </c>
      <c r="O764" t="s">
        <v>446</v>
      </c>
      <c r="P764" t="s">
        <v>1001</v>
      </c>
      <c r="Q764" t="b">
        <v>1</v>
      </c>
      <c r="R764" t="b">
        <v>1</v>
      </c>
      <c r="S764" t="s">
        <v>2160</v>
      </c>
      <c r="T764" t="s">
        <v>446</v>
      </c>
      <c r="U764" t="s">
        <v>1951</v>
      </c>
      <c r="V764" t="s">
        <v>1980</v>
      </c>
      <c r="W764" t="s">
        <v>1952</v>
      </c>
      <c r="X764" t="s">
        <v>2161</v>
      </c>
      <c r="Y764" t="s">
        <v>2162</v>
      </c>
      <c r="Z764" t="s">
        <v>2163</v>
      </c>
      <c r="AA764" t="s">
        <v>330</v>
      </c>
      <c r="AB764" t="s">
        <v>2164</v>
      </c>
      <c r="AC764" t="b">
        <v>0</v>
      </c>
      <c r="AD764" t="b">
        <v>1</v>
      </c>
    </row>
    <row r="765" spans="1:30" x14ac:dyDescent="0.25">
      <c r="A765" t="s">
        <v>42</v>
      </c>
      <c r="B765" t="s">
        <v>2171</v>
      </c>
      <c r="C765" t="s">
        <v>330</v>
      </c>
      <c r="D765" t="s">
        <v>323</v>
      </c>
      <c r="E765" t="s">
        <v>1006</v>
      </c>
      <c r="F765">
        <v>15203</v>
      </c>
      <c r="G765" t="s">
        <v>2012</v>
      </c>
      <c r="H765" t="s">
        <v>2172</v>
      </c>
      <c r="I765" t="s">
        <v>2159</v>
      </c>
      <c r="J765" t="s">
        <v>1089</v>
      </c>
      <c r="K765" t="s">
        <v>1967</v>
      </c>
      <c r="L765" t="s">
        <v>1968</v>
      </c>
      <c r="M765" t="s">
        <v>980</v>
      </c>
      <c r="N765" t="s">
        <v>1969</v>
      </c>
      <c r="O765" t="s">
        <v>446</v>
      </c>
      <c r="P765" t="s">
        <v>1009</v>
      </c>
      <c r="Q765" t="b">
        <v>1</v>
      </c>
      <c r="R765" t="b">
        <v>1</v>
      </c>
      <c r="S765" t="s">
        <v>2160</v>
      </c>
      <c r="T765" t="s">
        <v>446</v>
      </c>
      <c r="U765" t="s">
        <v>1951</v>
      </c>
      <c r="V765" t="s">
        <v>1980</v>
      </c>
      <c r="W765" t="s">
        <v>1952</v>
      </c>
      <c r="X765" t="s">
        <v>2161</v>
      </c>
      <c r="Y765" t="s">
        <v>2173</v>
      </c>
      <c r="Z765" t="s">
        <v>446</v>
      </c>
      <c r="AA765" t="s">
        <v>330</v>
      </c>
      <c r="AB765" t="s">
        <v>446</v>
      </c>
      <c r="AC765" t="b">
        <v>0</v>
      </c>
      <c r="AD765" t="b">
        <v>1</v>
      </c>
    </row>
    <row r="766" spans="1:30" x14ac:dyDescent="0.25">
      <c r="A766" t="s">
        <v>42</v>
      </c>
      <c r="B766" t="s">
        <v>2174</v>
      </c>
      <c r="C766" t="s">
        <v>330</v>
      </c>
      <c r="D766" t="s">
        <v>323</v>
      </c>
      <c r="E766" t="s">
        <v>1013</v>
      </c>
      <c r="F766">
        <v>17399</v>
      </c>
      <c r="G766" t="s">
        <v>2012</v>
      </c>
      <c r="H766" t="s">
        <v>2175</v>
      </c>
      <c r="I766" t="s">
        <v>2159</v>
      </c>
      <c r="J766" t="s">
        <v>1089</v>
      </c>
      <c r="K766" t="s">
        <v>1016</v>
      </c>
      <c r="L766" t="s">
        <v>1972</v>
      </c>
      <c r="M766" t="s">
        <v>980</v>
      </c>
      <c r="N766" t="s">
        <v>1017</v>
      </c>
      <c r="O766" t="s">
        <v>446</v>
      </c>
      <c r="P766" t="s">
        <v>1015</v>
      </c>
      <c r="Q766" t="b">
        <v>1</v>
      </c>
      <c r="R766" t="b">
        <v>1</v>
      </c>
      <c r="S766" t="s">
        <v>2160</v>
      </c>
      <c r="T766" t="s">
        <v>446</v>
      </c>
      <c r="U766" t="s">
        <v>1951</v>
      </c>
      <c r="V766" t="s">
        <v>1980</v>
      </c>
      <c r="W766" t="s">
        <v>1952</v>
      </c>
      <c r="X766" t="s">
        <v>2161</v>
      </c>
      <c r="Y766" t="s">
        <v>2162</v>
      </c>
      <c r="Z766" t="s">
        <v>2163</v>
      </c>
      <c r="AA766" t="s">
        <v>330</v>
      </c>
      <c r="AB766" t="s">
        <v>2164</v>
      </c>
      <c r="AC766" t="b">
        <v>0</v>
      </c>
      <c r="AD766" t="b">
        <v>1</v>
      </c>
    </row>
    <row r="767" spans="1:30" x14ac:dyDescent="0.25">
      <c r="A767" t="s">
        <v>42</v>
      </c>
      <c r="B767" t="s">
        <v>2176</v>
      </c>
      <c r="C767" t="s">
        <v>330</v>
      </c>
      <c r="D767" t="s">
        <v>323</v>
      </c>
      <c r="E767" t="s">
        <v>1018</v>
      </c>
      <c r="F767">
        <v>16377</v>
      </c>
      <c r="G767" t="s">
        <v>2012</v>
      </c>
      <c r="H767" t="s">
        <v>2177</v>
      </c>
      <c r="I767" t="s">
        <v>2159</v>
      </c>
      <c r="J767" t="s">
        <v>1089</v>
      </c>
      <c r="K767" t="s">
        <v>1021</v>
      </c>
      <c r="L767" t="s">
        <v>1975</v>
      </c>
      <c r="M767" t="s">
        <v>980</v>
      </c>
      <c r="N767" t="s">
        <v>1022</v>
      </c>
      <c r="O767" t="s">
        <v>446</v>
      </c>
      <c r="P767" t="s">
        <v>1020</v>
      </c>
      <c r="Q767" t="b">
        <v>1</v>
      </c>
      <c r="R767" t="b">
        <v>1</v>
      </c>
      <c r="S767" t="s">
        <v>2160</v>
      </c>
      <c r="T767" t="s">
        <v>446</v>
      </c>
      <c r="U767" t="s">
        <v>1951</v>
      </c>
      <c r="V767" t="s">
        <v>1980</v>
      </c>
      <c r="W767" t="s">
        <v>1952</v>
      </c>
      <c r="X767" t="s">
        <v>2161</v>
      </c>
      <c r="Y767" t="s">
        <v>2162</v>
      </c>
      <c r="Z767" t="s">
        <v>2163</v>
      </c>
      <c r="AA767" t="s">
        <v>330</v>
      </c>
      <c r="AB767" t="s">
        <v>2164</v>
      </c>
      <c r="AC767" t="b">
        <v>0</v>
      </c>
      <c r="AD767" t="b">
        <v>1</v>
      </c>
    </row>
    <row r="768" spans="1:30" x14ac:dyDescent="0.25">
      <c r="A768" t="s">
        <v>42</v>
      </c>
      <c r="B768" t="s">
        <v>2178</v>
      </c>
      <c r="C768" t="s">
        <v>330</v>
      </c>
      <c r="D768" t="s">
        <v>323</v>
      </c>
      <c r="E768" t="s">
        <v>1023</v>
      </c>
      <c r="F768">
        <v>12848</v>
      </c>
      <c r="G768" t="s">
        <v>2012</v>
      </c>
      <c r="H768" t="s">
        <v>2179</v>
      </c>
      <c r="I768" t="s">
        <v>2159</v>
      </c>
      <c r="J768" t="s">
        <v>1089</v>
      </c>
      <c r="K768" t="s">
        <v>1026</v>
      </c>
      <c r="L768" t="s">
        <v>1979</v>
      </c>
      <c r="M768" t="s">
        <v>1000</v>
      </c>
      <c r="N768" t="s">
        <v>1027</v>
      </c>
      <c r="O768" t="s">
        <v>446</v>
      </c>
      <c r="P768" t="s">
        <v>1025</v>
      </c>
      <c r="Q768" t="b">
        <v>1</v>
      </c>
      <c r="R768" t="b">
        <v>1</v>
      </c>
      <c r="S768" t="s">
        <v>2160</v>
      </c>
      <c r="T768" t="s">
        <v>446</v>
      </c>
      <c r="U768" t="s">
        <v>1951</v>
      </c>
      <c r="V768" t="s">
        <v>1980</v>
      </c>
      <c r="W768" t="s">
        <v>1952</v>
      </c>
      <c r="X768" t="s">
        <v>2161</v>
      </c>
      <c r="Y768" t="s">
        <v>2162</v>
      </c>
      <c r="Z768" t="s">
        <v>2163</v>
      </c>
      <c r="AA768" t="s">
        <v>330</v>
      </c>
      <c r="AB768" t="s">
        <v>2164</v>
      </c>
      <c r="AC768" t="b">
        <v>0</v>
      </c>
      <c r="AD768" t="b">
        <v>1</v>
      </c>
    </row>
    <row r="769" spans="1:30" x14ac:dyDescent="0.25">
      <c r="A769" t="s">
        <v>42</v>
      </c>
      <c r="B769" t="s">
        <v>1356</v>
      </c>
      <c r="C769" t="s">
        <v>330</v>
      </c>
      <c r="D769" t="s">
        <v>323</v>
      </c>
      <c r="E769" t="s">
        <v>1029</v>
      </c>
      <c r="F769">
        <v>11996</v>
      </c>
      <c r="G769" t="s">
        <v>2012</v>
      </c>
      <c r="H769" t="s">
        <v>2180</v>
      </c>
      <c r="I769" t="s">
        <v>2159</v>
      </c>
      <c r="J769" t="s">
        <v>1089</v>
      </c>
      <c r="K769" t="s">
        <v>1033</v>
      </c>
      <c r="L769" t="s">
        <v>1982</v>
      </c>
      <c r="M769" t="s">
        <v>980</v>
      </c>
      <c r="N769" t="s">
        <v>1034</v>
      </c>
      <c r="O769" t="s">
        <v>446</v>
      </c>
      <c r="P769" t="s">
        <v>1031</v>
      </c>
      <c r="Q769" t="b">
        <v>1</v>
      </c>
      <c r="R769" t="b">
        <v>0</v>
      </c>
      <c r="S769" t="s">
        <v>1950</v>
      </c>
      <c r="T769" t="s">
        <v>446</v>
      </c>
      <c r="U769" t="s">
        <v>1951</v>
      </c>
      <c r="V769" t="s">
        <v>1980</v>
      </c>
      <c r="W769" t="s">
        <v>1952</v>
      </c>
      <c r="X769" t="s">
        <v>2161</v>
      </c>
      <c r="Y769" t="s">
        <v>2162</v>
      </c>
      <c r="Z769" t="s">
        <v>2163</v>
      </c>
      <c r="AA769" t="s">
        <v>330</v>
      </c>
      <c r="AB769" t="s">
        <v>2164</v>
      </c>
      <c r="AC769" t="b">
        <v>0</v>
      </c>
      <c r="AD769" t="b">
        <v>1</v>
      </c>
    </row>
    <row r="770" spans="1:30" x14ac:dyDescent="0.25">
      <c r="A770" t="s">
        <v>42</v>
      </c>
      <c r="B770" t="s">
        <v>1358</v>
      </c>
      <c r="C770" t="s">
        <v>330</v>
      </c>
      <c r="D770" t="s">
        <v>323</v>
      </c>
      <c r="E770" t="s">
        <v>1035</v>
      </c>
      <c r="F770">
        <v>12248</v>
      </c>
      <c r="G770" t="s">
        <v>2012</v>
      </c>
      <c r="H770" t="s">
        <v>2181</v>
      </c>
      <c r="I770" t="s">
        <v>2159</v>
      </c>
      <c r="J770" t="s">
        <v>1089</v>
      </c>
      <c r="K770" t="s">
        <v>1038</v>
      </c>
      <c r="L770" t="s">
        <v>1985</v>
      </c>
      <c r="M770" t="s">
        <v>980</v>
      </c>
      <c r="N770" t="s">
        <v>1039</v>
      </c>
      <c r="O770" t="s">
        <v>446</v>
      </c>
      <c r="P770" t="s">
        <v>1037</v>
      </c>
      <c r="Q770" t="b">
        <v>1</v>
      </c>
      <c r="R770" t="b">
        <v>0</v>
      </c>
      <c r="S770" t="s">
        <v>1950</v>
      </c>
      <c r="T770" t="s">
        <v>446</v>
      </c>
      <c r="U770" t="s">
        <v>1951</v>
      </c>
      <c r="V770" t="s">
        <v>1980</v>
      </c>
      <c r="W770" t="s">
        <v>1952</v>
      </c>
      <c r="X770" t="s">
        <v>2161</v>
      </c>
      <c r="Y770" t="s">
        <v>2162</v>
      </c>
      <c r="Z770" t="s">
        <v>2163</v>
      </c>
      <c r="AA770" t="s">
        <v>330</v>
      </c>
      <c r="AB770" t="s">
        <v>2164</v>
      </c>
      <c r="AC770" t="b">
        <v>0</v>
      </c>
      <c r="AD770" t="b">
        <v>1</v>
      </c>
    </row>
    <row r="771" spans="1:30" x14ac:dyDescent="0.25">
      <c r="A771" t="s">
        <v>42</v>
      </c>
      <c r="B771" t="s">
        <v>1360</v>
      </c>
      <c r="C771" t="s">
        <v>330</v>
      </c>
      <c r="D771" t="s">
        <v>323</v>
      </c>
      <c r="E771" t="s">
        <v>1040</v>
      </c>
      <c r="F771">
        <v>13874</v>
      </c>
      <c r="G771" t="s">
        <v>2012</v>
      </c>
      <c r="H771" t="s">
        <v>2182</v>
      </c>
      <c r="I771" t="s">
        <v>2159</v>
      </c>
      <c r="J771" t="s">
        <v>1089</v>
      </c>
      <c r="K771" t="s">
        <v>1043</v>
      </c>
      <c r="L771" t="s">
        <v>1988</v>
      </c>
      <c r="M771" t="s">
        <v>980</v>
      </c>
      <c r="N771" t="s">
        <v>1044</v>
      </c>
      <c r="O771" t="s">
        <v>446</v>
      </c>
      <c r="P771" t="s">
        <v>1042</v>
      </c>
      <c r="Q771" t="b">
        <v>1</v>
      </c>
      <c r="R771" t="b">
        <v>0</v>
      </c>
      <c r="S771" t="s">
        <v>1950</v>
      </c>
      <c r="T771" t="s">
        <v>446</v>
      </c>
      <c r="U771" t="s">
        <v>1951</v>
      </c>
      <c r="V771" t="s">
        <v>1980</v>
      </c>
      <c r="W771" t="s">
        <v>1952</v>
      </c>
      <c r="X771" t="s">
        <v>2161</v>
      </c>
      <c r="Y771" t="s">
        <v>2162</v>
      </c>
      <c r="Z771" t="s">
        <v>2163</v>
      </c>
      <c r="AA771" t="s">
        <v>330</v>
      </c>
      <c r="AB771" t="s">
        <v>2164</v>
      </c>
      <c r="AC771" t="b">
        <v>0</v>
      </c>
      <c r="AD771" t="b">
        <v>1</v>
      </c>
    </row>
    <row r="772" spans="1:30" x14ac:dyDescent="0.25">
      <c r="A772" t="s">
        <v>42</v>
      </c>
      <c r="B772" t="s">
        <v>1362</v>
      </c>
      <c r="C772" t="s">
        <v>330</v>
      </c>
      <c r="D772" t="s">
        <v>323</v>
      </c>
      <c r="E772" t="s">
        <v>1045</v>
      </c>
      <c r="F772">
        <v>13872</v>
      </c>
      <c r="G772" t="s">
        <v>2012</v>
      </c>
      <c r="H772" t="s">
        <v>2183</v>
      </c>
      <c r="I772" t="s">
        <v>2159</v>
      </c>
      <c r="J772" t="s">
        <v>1089</v>
      </c>
      <c r="K772" t="s">
        <v>1048</v>
      </c>
      <c r="L772" t="s">
        <v>1991</v>
      </c>
      <c r="M772" t="s">
        <v>1000</v>
      </c>
      <c r="N772" t="s">
        <v>1049</v>
      </c>
      <c r="O772" t="s">
        <v>446</v>
      </c>
      <c r="P772" t="s">
        <v>1047</v>
      </c>
      <c r="Q772" t="b">
        <v>1</v>
      </c>
      <c r="R772" t="b">
        <v>0</v>
      </c>
      <c r="S772" t="s">
        <v>1950</v>
      </c>
      <c r="T772" t="s">
        <v>446</v>
      </c>
      <c r="U772" t="s">
        <v>1951</v>
      </c>
      <c r="V772" t="s">
        <v>1980</v>
      </c>
      <c r="W772" t="s">
        <v>1952</v>
      </c>
      <c r="X772" t="s">
        <v>2161</v>
      </c>
      <c r="Y772" t="s">
        <v>2162</v>
      </c>
      <c r="Z772" t="s">
        <v>2163</v>
      </c>
      <c r="AA772" t="s">
        <v>330</v>
      </c>
      <c r="AB772" t="s">
        <v>2164</v>
      </c>
      <c r="AC772" t="b">
        <v>0</v>
      </c>
      <c r="AD772" t="b">
        <v>1</v>
      </c>
    </row>
    <row r="773" spans="1:30" x14ac:dyDescent="0.25">
      <c r="A773" t="s">
        <v>42</v>
      </c>
      <c r="B773" t="s">
        <v>2184</v>
      </c>
      <c r="C773" t="s">
        <v>330</v>
      </c>
      <c r="D773" t="s">
        <v>323</v>
      </c>
      <c r="E773" t="s">
        <v>1051</v>
      </c>
      <c r="F773">
        <v>11083</v>
      </c>
      <c r="G773" t="s">
        <v>2012</v>
      </c>
      <c r="H773" t="s">
        <v>2185</v>
      </c>
      <c r="I773" t="s">
        <v>2159</v>
      </c>
      <c r="J773" t="s">
        <v>1089</v>
      </c>
      <c r="K773" t="s">
        <v>1055</v>
      </c>
      <c r="L773" t="s">
        <v>1993</v>
      </c>
      <c r="M773" t="s">
        <v>980</v>
      </c>
      <c r="N773" t="s">
        <v>1056</v>
      </c>
      <c r="O773" t="s">
        <v>446</v>
      </c>
      <c r="P773" t="s">
        <v>1053</v>
      </c>
      <c r="Q773" t="b">
        <v>1</v>
      </c>
      <c r="R773" t="b">
        <v>1</v>
      </c>
      <c r="S773" t="s">
        <v>2160</v>
      </c>
      <c r="T773" t="s">
        <v>446</v>
      </c>
      <c r="U773" t="s">
        <v>1951</v>
      </c>
      <c r="V773" t="s">
        <v>1980</v>
      </c>
      <c r="W773" t="s">
        <v>1952</v>
      </c>
      <c r="X773" t="s">
        <v>2161</v>
      </c>
      <c r="Y773" t="s">
        <v>2173</v>
      </c>
      <c r="Z773" t="s">
        <v>446</v>
      </c>
      <c r="AA773" t="s">
        <v>330</v>
      </c>
      <c r="AB773" t="s">
        <v>446</v>
      </c>
      <c r="AC773" t="b">
        <v>0</v>
      </c>
      <c r="AD773" t="b">
        <v>1</v>
      </c>
    </row>
    <row r="774" spans="1:30" x14ac:dyDescent="0.25">
      <c r="A774" t="s">
        <v>42</v>
      </c>
      <c r="B774" t="s">
        <v>1364</v>
      </c>
      <c r="C774" t="s">
        <v>331</v>
      </c>
      <c r="D774" t="s">
        <v>323</v>
      </c>
      <c r="E774" t="s">
        <v>978</v>
      </c>
      <c r="F774">
        <v>4599</v>
      </c>
      <c r="G774" t="s">
        <v>2019</v>
      </c>
      <c r="H774" t="s">
        <v>2186</v>
      </c>
      <c r="I774" t="s">
        <v>2187</v>
      </c>
      <c r="J774" t="s">
        <v>1089</v>
      </c>
      <c r="K774" t="s">
        <v>984</v>
      </c>
      <c r="L774" t="s">
        <v>1948</v>
      </c>
      <c r="M774" t="s">
        <v>980</v>
      </c>
      <c r="N774" t="s">
        <v>985</v>
      </c>
      <c r="O774" t="s">
        <v>446</v>
      </c>
      <c r="P774" t="s">
        <v>981</v>
      </c>
      <c r="Q774" t="b">
        <v>1</v>
      </c>
      <c r="R774" t="b">
        <v>0</v>
      </c>
      <c r="S774" t="s">
        <v>1963</v>
      </c>
      <c r="T774" t="s">
        <v>2188</v>
      </c>
      <c r="U774" t="s">
        <v>2023</v>
      </c>
      <c r="V774" t="s">
        <v>1964</v>
      </c>
      <c r="W774" t="s">
        <v>2189</v>
      </c>
      <c r="X774" t="s">
        <v>2190</v>
      </c>
      <c r="Y774" t="s">
        <v>2187</v>
      </c>
      <c r="Z774" t="s">
        <v>446</v>
      </c>
      <c r="AA774" t="s">
        <v>331</v>
      </c>
      <c r="AB774" t="s">
        <v>446</v>
      </c>
      <c r="AC774" t="b">
        <v>0</v>
      </c>
      <c r="AD774" t="b">
        <v>1</v>
      </c>
    </row>
    <row r="775" spans="1:30" x14ac:dyDescent="0.25">
      <c r="A775" t="s">
        <v>42</v>
      </c>
      <c r="B775" t="s">
        <v>1365</v>
      </c>
      <c r="C775" t="s">
        <v>331</v>
      </c>
      <c r="D775" t="s">
        <v>323</v>
      </c>
      <c r="E775" t="s">
        <v>986</v>
      </c>
      <c r="F775">
        <v>3970</v>
      </c>
      <c r="G775" t="s">
        <v>2019</v>
      </c>
      <c r="H775" t="s">
        <v>2191</v>
      </c>
      <c r="I775" t="s">
        <v>2187</v>
      </c>
      <c r="J775" t="s">
        <v>1089</v>
      </c>
      <c r="K775" t="s">
        <v>990</v>
      </c>
      <c r="L775" t="s">
        <v>1955</v>
      </c>
      <c r="M775" t="s">
        <v>980</v>
      </c>
      <c r="N775" t="s">
        <v>991</v>
      </c>
      <c r="O775" t="s">
        <v>446</v>
      </c>
      <c r="P775" t="s">
        <v>988</v>
      </c>
      <c r="Q775" t="b">
        <v>1</v>
      </c>
      <c r="R775" t="b">
        <v>0</v>
      </c>
      <c r="S775" t="s">
        <v>1963</v>
      </c>
      <c r="T775" t="s">
        <v>2188</v>
      </c>
      <c r="U775" t="s">
        <v>2023</v>
      </c>
      <c r="V775" t="s">
        <v>1964</v>
      </c>
      <c r="W775" t="s">
        <v>2189</v>
      </c>
      <c r="X775" t="s">
        <v>2190</v>
      </c>
      <c r="Y775" t="s">
        <v>2187</v>
      </c>
      <c r="Z775" t="s">
        <v>446</v>
      </c>
      <c r="AA775" t="s">
        <v>331</v>
      </c>
      <c r="AB775" t="s">
        <v>446</v>
      </c>
      <c r="AC775" t="b">
        <v>0</v>
      </c>
      <c r="AD775" t="b">
        <v>1</v>
      </c>
    </row>
    <row r="776" spans="1:30" x14ac:dyDescent="0.25">
      <c r="A776" t="s">
        <v>42</v>
      </c>
      <c r="B776" t="s">
        <v>1366</v>
      </c>
      <c r="C776" t="s">
        <v>331</v>
      </c>
      <c r="D776" t="s">
        <v>323</v>
      </c>
      <c r="E776" t="s">
        <v>992</v>
      </c>
      <c r="F776">
        <v>3495</v>
      </c>
      <c r="G776" t="s">
        <v>2019</v>
      </c>
      <c r="H776" t="s">
        <v>2192</v>
      </c>
      <c r="I776" t="s">
        <v>2187</v>
      </c>
      <c r="J776" t="s">
        <v>1089</v>
      </c>
      <c r="K776" t="s">
        <v>996</v>
      </c>
      <c r="L776" t="s">
        <v>1958</v>
      </c>
      <c r="M776" t="s">
        <v>980</v>
      </c>
      <c r="N776" t="s">
        <v>997</v>
      </c>
      <c r="O776" t="s">
        <v>446</v>
      </c>
      <c r="P776" t="s">
        <v>994</v>
      </c>
      <c r="Q776" t="b">
        <v>1</v>
      </c>
      <c r="R776" t="b">
        <v>0</v>
      </c>
      <c r="S776" t="s">
        <v>1963</v>
      </c>
      <c r="T776" t="s">
        <v>2188</v>
      </c>
      <c r="U776" t="s">
        <v>2023</v>
      </c>
      <c r="V776" t="s">
        <v>1964</v>
      </c>
      <c r="W776" t="s">
        <v>2189</v>
      </c>
      <c r="X776" t="s">
        <v>2190</v>
      </c>
      <c r="Y776" t="s">
        <v>2187</v>
      </c>
      <c r="Z776" t="s">
        <v>446</v>
      </c>
      <c r="AA776" t="s">
        <v>331</v>
      </c>
      <c r="AB776" t="s">
        <v>446</v>
      </c>
      <c r="AC776" t="b">
        <v>0</v>
      </c>
      <c r="AD776" t="b">
        <v>1</v>
      </c>
    </row>
    <row r="777" spans="1:30" x14ac:dyDescent="0.25">
      <c r="A777" t="s">
        <v>42</v>
      </c>
      <c r="B777" t="s">
        <v>1367</v>
      </c>
      <c r="C777" t="s">
        <v>331</v>
      </c>
      <c r="D777" t="s">
        <v>323</v>
      </c>
      <c r="E777" t="s">
        <v>998</v>
      </c>
      <c r="F777">
        <v>3410</v>
      </c>
      <c r="G777" t="s">
        <v>2019</v>
      </c>
      <c r="H777" t="s">
        <v>2193</v>
      </c>
      <c r="I777" t="s">
        <v>2187</v>
      </c>
      <c r="J777" t="s">
        <v>1089</v>
      </c>
      <c r="K777" t="s">
        <v>1003</v>
      </c>
      <c r="L777" t="s">
        <v>2031</v>
      </c>
      <c r="M777" t="s">
        <v>1000</v>
      </c>
      <c r="N777" t="s">
        <v>1004</v>
      </c>
      <c r="O777" t="s">
        <v>446</v>
      </c>
      <c r="P777" t="s">
        <v>1001</v>
      </c>
      <c r="Q777" t="b">
        <v>1</v>
      </c>
      <c r="R777" t="b">
        <v>0</v>
      </c>
      <c r="S777" t="s">
        <v>1963</v>
      </c>
      <c r="T777" t="s">
        <v>2188</v>
      </c>
      <c r="U777" t="s">
        <v>2023</v>
      </c>
      <c r="V777" t="s">
        <v>1964</v>
      </c>
      <c r="W777" t="s">
        <v>2189</v>
      </c>
      <c r="X777" t="s">
        <v>2190</v>
      </c>
      <c r="Y777" t="s">
        <v>2187</v>
      </c>
      <c r="Z777" t="s">
        <v>446</v>
      </c>
      <c r="AA777" t="s">
        <v>331</v>
      </c>
      <c r="AB777" t="s">
        <v>446</v>
      </c>
      <c r="AC777" t="b">
        <v>0</v>
      </c>
      <c r="AD777" t="b">
        <v>1</v>
      </c>
    </row>
    <row r="778" spans="1:30" x14ac:dyDescent="0.25">
      <c r="A778" t="s">
        <v>42</v>
      </c>
      <c r="B778" t="s">
        <v>1368</v>
      </c>
      <c r="C778" t="s">
        <v>331</v>
      </c>
      <c r="D778" t="s">
        <v>323</v>
      </c>
      <c r="E778" t="s">
        <v>1006</v>
      </c>
      <c r="F778">
        <v>4244</v>
      </c>
      <c r="G778" t="s">
        <v>2019</v>
      </c>
      <c r="H778" t="s">
        <v>2194</v>
      </c>
      <c r="I778" t="s">
        <v>2187</v>
      </c>
      <c r="J778" t="s">
        <v>1089</v>
      </c>
      <c r="K778" t="s">
        <v>1967</v>
      </c>
      <c r="L778" t="s">
        <v>1968</v>
      </c>
      <c r="M778" t="s">
        <v>980</v>
      </c>
      <c r="N778" t="s">
        <v>1969</v>
      </c>
      <c r="O778" t="s">
        <v>446</v>
      </c>
      <c r="P778" t="s">
        <v>1009</v>
      </c>
      <c r="Q778" t="b">
        <v>1</v>
      </c>
      <c r="R778" t="b">
        <v>0</v>
      </c>
      <c r="S778" t="s">
        <v>1963</v>
      </c>
      <c r="T778" t="s">
        <v>2188</v>
      </c>
      <c r="U778" t="s">
        <v>2023</v>
      </c>
      <c r="V778" t="s">
        <v>1964</v>
      </c>
      <c r="W778" t="s">
        <v>2189</v>
      </c>
      <c r="X778" t="s">
        <v>2190</v>
      </c>
      <c r="Y778" t="s">
        <v>2187</v>
      </c>
      <c r="Z778" t="s">
        <v>446</v>
      </c>
      <c r="AA778" t="s">
        <v>331</v>
      </c>
      <c r="AB778" t="s">
        <v>446</v>
      </c>
      <c r="AC778" t="b">
        <v>0</v>
      </c>
      <c r="AD778" t="b">
        <v>1</v>
      </c>
    </row>
    <row r="779" spans="1:30" x14ac:dyDescent="0.25">
      <c r="A779" t="s">
        <v>42</v>
      </c>
      <c r="B779" t="s">
        <v>1369</v>
      </c>
      <c r="C779" t="s">
        <v>331</v>
      </c>
      <c r="D779" t="s">
        <v>323</v>
      </c>
      <c r="E779" t="s">
        <v>1013</v>
      </c>
      <c r="F779">
        <v>4545</v>
      </c>
      <c r="G779" t="s">
        <v>2019</v>
      </c>
      <c r="H779" t="s">
        <v>2195</v>
      </c>
      <c r="I779" t="s">
        <v>2187</v>
      </c>
      <c r="J779" t="s">
        <v>1089</v>
      </c>
      <c r="K779" t="s">
        <v>1016</v>
      </c>
      <c r="L779" t="s">
        <v>1972</v>
      </c>
      <c r="M779" t="s">
        <v>980</v>
      </c>
      <c r="N779" t="s">
        <v>1017</v>
      </c>
      <c r="O779" t="s">
        <v>446</v>
      </c>
      <c r="P779" t="s">
        <v>1015</v>
      </c>
      <c r="Q779" t="b">
        <v>1</v>
      </c>
      <c r="R779" t="b">
        <v>0</v>
      </c>
      <c r="S779" t="s">
        <v>1963</v>
      </c>
      <c r="T779" t="s">
        <v>2188</v>
      </c>
      <c r="U779" t="s">
        <v>2023</v>
      </c>
      <c r="V779" t="s">
        <v>1964</v>
      </c>
      <c r="W779" t="s">
        <v>2189</v>
      </c>
      <c r="X779" t="s">
        <v>2190</v>
      </c>
      <c r="Y779" t="s">
        <v>2187</v>
      </c>
      <c r="Z779" t="s">
        <v>446</v>
      </c>
      <c r="AA779" t="s">
        <v>331</v>
      </c>
      <c r="AB779" t="s">
        <v>446</v>
      </c>
      <c r="AC779" t="b">
        <v>0</v>
      </c>
      <c r="AD779" t="b">
        <v>1</v>
      </c>
    </row>
    <row r="780" spans="1:30" x14ac:dyDescent="0.25">
      <c r="A780" t="s">
        <v>42</v>
      </c>
      <c r="B780" t="s">
        <v>1370</v>
      </c>
      <c r="C780" t="s">
        <v>331</v>
      </c>
      <c r="D780" t="s">
        <v>323</v>
      </c>
      <c r="E780" t="s">
        <v>1018</v>
      </c>
      <c r="F780">
        <v>4233</v>
      </c>
      <c r="G780" t="s">
        <v>2019</v>
      </c>
      <c r="H780" t="s">
        <v>2196</v>
      </c>
      <c r="I780" t="s">
        <v>2187</v>
      </c>
      <c r="J780" t="s">
        <v>1089</v>
      </c>
      <c r="K780" t="s">
        <v>1021</v>
      </c>
      <c r="L780" t="s">
        <v>1975</v>
      </c>
      <c r="M780" t="s">
        <v>980</v>
      </c>
      <c r="N780" t="s">
        <v>1022</v>
      </c>
      <c r="O780" t="s">
        <v>446</v>
      </c>
      <c r="P780" t="s">
        <v>1020</v>
      </c>
      <c r="Q780" t="b">
        <v>1</v>
      </c>
      <c r="R780" t="b">
        <v>0</v>
      </c>
      <c r="S780" t="s">
        <v>1963</v>
      </c>
      <c r="T780" t="s">
        <v>2188</v>
      </c>
      <c r="U780" t="s">
        <v>2023</v>
      </c>
      <c r="V780" t="s">
        <v>1964</v>
      </c>
      <c r="W780" t="s">
        <v>2189</v>
      </c>
      <c r="X780" t="s">
        <v>2190</v>
      </c>
      <c r="Y780" t="s">
        <v>2187</v>
      </c>
      <c r="Z780" t="s">
        <v>446</v>
      </c>
      <c r="AA780" t="s">
        <v>331</v>
      </c>
      <c r="AB780" t="s">
        <v>446</v>
      </c>
      <c r="AC780" t="b">
        <v>0</v>
      </c>
      <c r="AD780" t="b">
        <v>1</v>
      </c>
    </row>
    <row r="781" spans="1:30" x14ac:dyDescent="0.25">
      <c r="A781" t="s">
        <v>42</v>
      </c>
      <c r="B781" t="s">
        <v>1371</v>
      </c>
      <c r="C781" t="s">
        <v>331</v>
      </c>
      <c r="D781" t="s">
        <v>323</v>
      </c>
      <c r="E781" t="s">
        <v>1023</v>
      </c>
      <c r="F781">
        <v>3569</v>
      </c>
      <c r="G781" t="s">
        <v>2019</v>
      </c>
      <c r="H781" t="s">
        <v>2197</v>
      </c>
      <c r="I781" t="s">
        <v>2187</v>
      </c>
      <c r="J781" t="s">
        <v>1089</v>
      </c>
      <c r="K781" t="s">
        <v>1026</v>
      </c>
      <c r="L781" t="s">
        <v>1979</v>
      </c>
      <c r="M781" t="s">
        <v>1000</v>
      </c>
      <c r="N781" t="s">
        <v>1027</v>
      </c>
      <c r="O781" t="s">
        <v>446</v>
      </c>
      <c r="P781" t="s">
        <v>1025</v>
      </c>
      <c r="Q781" t="b">
        <v>1</v>
      </c>
      <c r="R781" t="b">
        <v>0</v>
      </c>
      <c r="S781" t="s">
        <v>1963</v>
      </c>
      <c r="T781" t="s">
        <v>2188</v>
      </c>
      <c r="U781" t="s">
        <v>2023</v>
      </c>
      <c r="V781" t="s">
        <v>1964</v>
      </c>
      <c r="W781" t="s">
        <v>2189</v>
      </c>
      <c r="X781" t="s">
        <v>2190</v>
      </c>
      <c r="Y781" t="s">
        <v>2187</v>
      </c>
      <c r="Z781" t="s">
        <v>446</v>
      </c>
      <c r="AA781" t="s">
        <v>331</v>
      </c>
      <c r="AB781" t="s">
        <v>446</v>
      </c>
      <c r="AC781" t="b">
        <v>0</v>
      </c>
      <c r="AD781" t="b">
        <v>1</v>
      </c>
    </row>
    <row r="782" spans="1:30" x14ac:dyDescent="0.25">
      <c r="A782" t="s">
        <v>42</v>
      </c>
      <c r="B782" t="s">
        <v>1372</v>
      </c>
      <c r="C782" t="s">
        <v>331</v>
      </c>
      <c r="D782" t="s">
        <v>323</v>
      </c>
      <c r="E782" t="s">
        <v>1029</v>
      </c>
      <c r="F782">
        <v>4091</v>
      </c>
      <c r="G782" t="s">
        <v>2019</v>
      </c>
      <c r="H782" t="s">
        <v>2198</v>
      </c>
      <c r="I782" t="s">
        <v>2187</v>
      </c>
      <c r="J782" t="s">
        <v>1089</v>
      </c>
      <c r="K782" t="s">
        <v>1033</v>
      </c>
      <c r="L782" t="s">
        <v>1982</v>
      </c>
      <c r="M782" t="s">
        <v>980</v>
      </c>
      <c r="N782" t="s">
        <v>1034</v>
      </c>
      <c r="O782" t="s">
        <v>446</v>
      </c>
      <c r="P782" t="s">
        <v>1031</v>
      </c>
      <c r="Q782" t="b">
        <v>1</v>
      </c>
      <c r="R782" t="b">
        <v>0</v>
      </c>
      <c r="S782" t="s">
        <v>1963</v>
      </c>
      <c r="T782" t="s">
        <v>2188</v>
      </c>
      <c r="U782" t="s">
        <v>2023</v>
      </c>
      <c r="V782" t="s">
        <v>1964</v>
      </c>
      <c r="W782" t="s">
        <v>2189</v>
      </c>
      <c r="X782" t="s">
        <v>2190</v>
      </c>
      <c r="Y782" t="s">
        <v>2187</v>
      </c>
      <c r="Z782" t="s">
        <v>446</v>
      </c>
      <c r="AA782" t="s">
        <v>331</v>
      </c>
      <c r="AB782" t="s">
        <v>446</v>
      </c>
      <c r="AC782" t="b">
        <v>0</v>
      </c>
      <c r="AD782" t="b">
        <v>1</v>
      </c>
    </row>
    <row r="783" spans="1:30" x14ac:dyDescent="0.25">
      <c r="A783" t="s">
        <v>42</v>
      </c>
      <c r="B783" t="s">
        <v>1373</v>
      </c>
      <c r="C783" t="s">
        <v>331</v>
      </c>
      <c r="D783" t="s">
        <v>323</v>
      </c>
      <c r="E783" t="s">
        <v>1035</v>
      </c>
      <c r="F783">
        <v>4168</v>
      </c>
      <c r="G783" t="s">
        <v>2019</v>
      </c>
      <c r="H783" t="s">
        <v>2199</v>
      </c>
      <c r="I783" t="s">
        <v>2187</v>
      </c>
      <c r="J783" t="s">
        <v>1089</v>
      </c>
      <c r="K783" t="s">
        <v>1038</v>
      </c>
      <c r="L783" t="s">
        <v>1985</v>
      </c>
      <c r="M783" t="s">
        <v>980</v>
      </c>
      <c r="N783" t="s">
        <v>1039</v>
      </c>
      <c r="O783" t="s">
        <v>446</v>
      </c>
      <c r="P783" t="s">
        <v>1037</v>
      </c>
      <c r="Q783" t="b">
        <v>1</v>
      </c>
      <c r="R783" t="b">
        <v>0</v>
      </c>
      <c r="S783" t="s">
        <v>1963</v>
      </c>
      <c r="T783" t="s">
        <v>2188</v>
      </c>
      <c r="U783" t="s">
        <v>2023</v>
      </c>
      <c r="V783" t="s">
        <v>1964</v>
      </c>
      <c r="W783" t="s">
        <v>2189</v>
      </c>
      <c r="X783" t="s">
        <v>2190</v>
      </c>
      <c r="Y783" t="s">
        <v>2187</v>
      </c>
      <c r="Z783" t="s">
        <v>446</v>
      </c>
      <c r="AA783" t="s">
        <v>331</v>
      </c>
      <c r="AB783" t="s">
        <v>446</v>
      </c>
      <c r="AC783" t="b">
        <v>0</v>
      </c>
      <c r="AD783" t="b">
        <v>1</v>
      </c>
    </row>
    <row r="784" spans="1:30" x14ac:dyDescent="0.25">
      <c r="A784" t="s">
        <v>42</v>
      </c>
      <c r="B784" t="s">
        <v>1374</v>
      </c>
      <c r="C784" t="s">
        <v>331</v>
      </c>
      <c r="D784" t="s">
        <v>323</v>
      </c>
      <c r="E784" t="s">
        <v>1040</v>
      </c>
      <c r="F784">
        <v>3946</v>
      </c>
      <c r="G784" t="s">
        <v>2019</v>
      </c>
      <c r="H784" t="s">
        <v>2200</v>
      </c>
      <c r="I784" t="s">
        <v>2187</v>
      </c>
      <c r="J784" t="s">
        <v>1089</v>
      </c>
      <c r="K784" t="s">
        <v>1043</v>
      </c>
      <c r="L784" t="s">
        <v>1988</v>
      </c>
      <c r="M784" t="s">
        <v>980</v>
      </c>
      <c r="N784" t="s">
        <v>1044</v>
      </c>
      <c r="O784" t="s">
        <v>446</v>
      </c>
      <c r="P784" t="s">
        <v>1042</v>
      </c>
      <c r="Q784" t="b">
        <v>1</v>
      </c>
      <c r="R784" t="b">
        <v>0</v>
      </c>
      <c r="S784" t="s">
        <v>1963</v>
      </c>
      <c r="T784" t="s">
        <v>2188</v>
      </c>
      <c r="U784" t="s">
        <v>2023</v>
      </c>
      <c r="V784" t="s">
        <v>1964</v>
      </c>
      <c r="W784" t="s">
        <v>2189</v>
      </c>
      <c r="X784" t="s">
        <v>2190</v>
      </c>
      <c r="Y784" t="s">
        <v>2187</v>
      </c>
      <c r="Z784" t="s">
        <v>446</v>
      </c>
      <c r="AA784" t="s">
        <v>331</v>
      </c>
      <c r="AB784" t="s">
        <v>446</v>
      </c>
      <c r="AC784" t="b">
        <v>0</v>
      </c>
      <c r="AD784" t="b">
        <v>1</v>
      </c>
    </row>
    <row r="785" spans="1:30" x14ac:dyDescent="0.25">
      <c r="A785" t="s">
        <v>42</v>
      </c>
      <c r="B785" t="s">
        <v>1375</v>
      </c>
      <c r="C785" t="s">
        <v>331</v>
      </c>
      <c r="D785" t="s">
        <v>323</v>
      </c>
      <c r="E785" t="s">
        <v>1045</v>
      </c>
      <c r="F785">
        <v>3038</v>
      </c>
      <c r="G785" t="s">
        <v>2019</v>
      </c>
      <c r="H785" t="s">
        <v>2201</v>
      </c>
      <c r="I785" t="s">
        <v>2187</v>
      </c>
      <c r="J785" t="s">
        <v>1089</v>
      </c>
      <c r="K785" t="s">
        <v>1048</v>
      </c>
      <c r="L785" t="s">
        <v>1991</v>
      </c>
      <c r="M785" t="s">
        <v>1000</v>
      </c>
      <c r="N785" t="s">
        <v>1049</v>
      </c>
      <c r="O785" t="s">
        <v>446</v>
      </c>
      <c r="P785" t="s">
        <v>1047</v>
      </c>
      <c r="Q785" t="b">
        <v>1</v>
      </c>
      <c r="R785" t="b">
        <v>0</v>
      </c>
      <c r="S785" t="s">
        <v>1963</v>
      </c>
      <c r="T785" t="s">
        <v>2188</v>
      </c>
      <c r="U785" t="s">
        <v>2023</v>
      </c>
      <c r="V785" t="s">
        <v>1964</v>
      </c>
      <c r="W785" t="s">
        <v>2189</v>
      </c>
      <c r="X785" t="s">
        <v>2190</v>
      </c>
      <c r="Y785" t="s">
        <v>2187</v>
      </c>
      <c r="Z785" t="s">
        <v>446</v>
      </c>
      <c r="AA785" t="s">
        <v>331</v>
      </c>
      <c r="AB785" t="s">
        <v>446</v>
      </c>
      <c r="AC785" t="b">
        <v>0</v>
      </c>
      <c r="AD785" t="b">
        <v>1</v>
      </c>
    </row>
    <row r="786" spans="1:30" x14ac:dyDescent="0.25">
      <c r="A786" t="s">
        <v>42</v>
      </c>
      <c r="B786" t="s">
        <v>1376</v>
      </c>
      <c r="C786" t="s">
        <v>331</v>
      </c>
      <c r="D786" t="s">
        <v>323</v>
      </c>
      <c r="E786" t="s">
        <v>1051</v>
      </c>
      <c r="F786">
        <v>3675</v>
      </c>
      <c r="G786" t="s">
        <v>2019</v>
      </c>
      <c r="H786" t="s">
        <v>2202</v>
      </c>
      <c r="I786" t="s">
        <v>2187</v>
      </c>
      <c r="J786" t="s">
        <v>1089</v>
      </c>
      <c r="K786" t="s">
        <v>1055</v>
      </c>
      <c r="L786" t="s">
        <v>1993</v>
      </c>
      <c r="M786" t="s">
        <v>980</v>
      </c>
      <c r="N786" t="s">
        <v>1056</v>
      </c>
      <c r="O786" t="s">
        <v>446</v>
      </c>
      <c r="P786" t="s">
        <v>1053</v>
      </c>
      <c r="Q786" t="b">
        <v>1</v>
      </c>
      <c r="R786" t="b">
        <v>0</v>
      </c>
      <c r="S786" t="s">
        <v>1963</v>
      </c>
      <c r="T786" t="s">
        <v>2188</v>
      </c>
      <c r="U786" t="s">
        <v>2023</v>
      </c>
      <c r="V786" t="s">
        <v>1964</v>
      </c>
      <c r="W786" t="s">
        <v>2189</v>
      </c>
      <c r="X786" t="s">
        <v>2190</v>
      </c>
      <c r="Y786" t="s">
        <v>2187</v>
      </c>
      <c r="Z786" t="s">
        <v>446</v>
      </c>
      <c r="AA786" t="s">
        <v>331</v>
      </c>
      <c r="AB786" t="s">
        <v>446</v>
      </c>
      <c r="AC786" t="b">
        <v>0</v>
      </c>
      <c r="AD786" t="b">
        <v>1</v>
      </c>
    </row>
    <row r="787" spans="1:30" x14ac:dyDescent="0.25">
      <c r="A787" t="s">
        <v>42</v>
      </c>
      <c r="B787" t="s">
        <v>1377</v>
      </c>
      <c r="C787" t="s">
        <v>332</v>
      </c>
      <c r="D787" t="s">
        <v>323</v>
      </c>
      <c r="E787" t="s">
        <v>978</v>
      </c>
      <c r="F787">
        <v>4727</v>
      </c>
      <c r="G787" t="s">
        <v>1945</v>
      </c>
      <c r="H787" t="s">
        <v>2203</v>
      </c>
      <c r="I787" t="s">
        <v>2204</v>
      </c>
      <c r="J787" t="s">
        <v>1089</v>
      </c>
      <c r="K787" t="s">
        <v>984</v>
      </c>
      <c r="L787" t="s">
        <v>1948</v>
      </c>
      <c r="M787" t="s">
        <v>980</v>
      </c>
      <c r="N787" t="s">
        <v>985</v>
      </c>
      <c r="O787" t="s">
        <v>446</v>
      </c>
      <c r="P787" t="s">
        <v>981</v>
      </c>
      <c r="Q787" t="b">
        <v>1</v>
      </c>
      <c r="R787" t="b">
        <v>0</v>
      </c>
      <c r="S787" t="s">
        <v>1950</v>
      </c>
      <c r="T787" t="s">
        <v>446</v>
      </c>
      <c r="U787" t="s">
        <v>1951</v>
      </c>
      <c r="V787" t="s">
        <v>1093</v>
      </c>
      <c r="W787" t="s">
        <v>1952</v>
      </c>
      <c r="X787" t="s">
        <v>2205</v>
      </c>
      <c r="Y787" t="s">
        <v>2206</v>
      </c>
      <c r="Z787" t="s">
        <v>2163</v>
      </c>
      <c r="AA787" t="s">
        <v>332</v>
      </c>
      <c r="AB787" t="s">
        <v>2207</v>
      </c>
      <c r="AC787" t="b">
        <v>0</v>
      </c>
      <c r="AD787" t="b">
        <v>1</v>
      </c>
    </row>
    <row r="788" spans="1:30" x14ac:dyDescent="0.25">
      <c r="A788" t="s">
        <v>42</v>
      </c>
      <c r="B788" t="s">
        <v>1379</v>
      </c>
      <c r="C788" t="s">
        <v>332</v>
      </c>
      <c r="D788" t="s">
        <v>323</v>
      </c>
      <c r="E788" t="s">
        <v>986</v>
      </c>
      <c r="F788">
        <v>4646</v>
      </c>
      <c r="G788" t="s">
        <v>1945</v>
      </c>
      <c r="H788" t="s">
        <v>2208</v>
      </c>
      <c r="I788" t="s">
        <v>2204</v>
      </c>
      <c r="J788" t="s">
        <v>1089</v>
      </c>
      <c r="K788" t="s">
        <v>990</v>
      </c>
      <c r="L788" t="s">
        <v>1955</v>
      </c>
      <c r="M788" t="s">
        <v>980</v>
      </c>
      <c r="N788" t="s">
        <v>991</v>
      </c>
      <c r="O788" t="s">
        <v>446</v>
      </c>
      <c r="P788" t="s">
        <v>988</v>
      </c>
      <c r="Q788" t="b">
        <v>1</v>
      </c>
      <c r="R788" t="b">
        <v>0</v>
      </c>
      <c r="S788" t="s">
        <v>1950</v>
      </c>
      <c r="T788" t="s">
        <v>446</v>
      </c>
      <c r="U788" t="s">
        <v>1951</v>
      </c>
      <c r="V788" t="s">
        <v>1093</v>
      </c>
      <c r="W788" t="s">
        <v>1952</v>
      </c>
      <c r="X788" t="s">
        <v>2205</v>
      </c>
      <c r="Y788" t="s">
        <v>2206</v>
      </c>
      <c r="Z788" t="s">
        <v>2163</v>
      </c>
      <c r="AA788" t="s">
        <v>332</v>
      </c>
      <c r="AB788" t="s">
        <v>2207</v>
      </c>
      <c r="AC788" t="b">
        <v>0</v>
      </c>
      <c r="AD788" t="b">
        <v>1</v>
      </c>
    </row>
    <row r="789" spans="1:30" x14ac:dyDescent="0.25">
      <c r="A789" t="s">
        <v>42</v>
      </c>
      <c r="B789" t="s">
        <v>1381</v>
      </c>
      <c r="C789" t="s">
        <v>332</v>
      </c>
      <c r="D789" t="s">
        <v>323</v>
      </c>
      <c r="E789" t="s">
        <v>992</v>
      </c>
      <c r="F789">
        <v>4252</v>
      </c>
      <c r="G789" t="s">
        <v>1945</v>
      </c>
      <c r="H789" t="s">
        <v>2209</v>
      </c>
      <c r="I789" t="s">
        <v>2204</v>
      </c>
      <c r="J789" t="s">
        <v>1089</v>
      </c>
      <c r="K789" t="s">
        <v>996</v>
      </c>
      <c r="L789" t="s">
        <v>1958</v>
      </c>
      <c r="M789" t="s">
        <v>980</v>
      </c>
      <c r="N789" t="s">
        <v>997</v>
      </c>
      <c r="O789" t="s">
        <v>446</v>
      </c>
      <c r="P789" t="s">
        <v>994</v>
      </c>
      <c r="Q789" t="b">
        <v>1</v>
      </c>
      <c r="R789" t="b">
        <v>0</v>
      </c>
      <c r="S789" t="s">
        <v>1950</v>
      </c>
      <c r="T789" t="s">
        <v>446</v>
      </c>
      <c r="U789" t="s">
        <v>1951</v>
      </c>
      <c r="V789" t="s">
        <v>1093</v>
      </c>
      <c r="W789" t="s">
        <v>1952</v>
      </c>
      <c r="X789" t="s">
        <v>2205</v>
      </c>
      <c r="Y789" t="s">
        <v>2206</v>
      </c>
      <c r="Z789" t="s">
        <v>2163</v>
      </c>
      <c r="AA789" t="s">
        <v>332</v>
      </c>
      <c r="AB789" t="s">
        <v>2207</v>
      </c>
      <c r="AC789" t="b">
        <v>0</v>
      </c>
      <c r="AD789" t="b">
        <v>1</v>
      </c>
    </row>
    <row r="790" spans="1:30" x14ac:dyDescent="0.25">
      <c r="A790" t="s">
        <v>42</v>
      </c>
      <c r="B790" t="s">
        <v>1383</v>
      </c>
      <c r="C790" t="s">
        <v>332</v>
      </c>
      <c r="D790" t="s">
        <v>323</v>
      </c>
      <c r="E790" t="s">
        <v>998</v>
      </c>
      <c r="F790">
        <v>4424</v>
      </c>
      <c r="G790" t="s">
        <v>1945</v>
      </c>
      <c r="H790" t="s">
        <v>2210</v>
      </c>
      <c r="I790" t="s">
        <v>2204</v>
      </c>
      <c r="J790" t="s">
        <v>1089</v>
      </c>
      <c r="K790" t="s">
        <v>1003</v>
      </c>
      <c r="L790" t="s">
        <v>2031</v>
      </c>
      <c r="M790" t="s">
        <v>1000</v>
      </c>
      <c r="N790" t="s">
        <v>1004</v>
      </c>
      <c r="O790" t="s">
        <v>446</v>
      </c>
      <c r="P790" t="s">
        <v>1001</v>
      </c>
      <c r="Q790" t="b">
        <v>1</v>
      </c>
      <c r="R790" t="b">
        <v>0</v>
      </c>
      <c r="S790" t="s">
        <v>1950</v>
      </c>
      <c r="T790" t="s">
        <v>446</v>
      </c>
      <c r="U790" t="s">
        <v>1951</v>
      </c>
      <c r="V790" t="s">
        <v>1093</v>
      </c>
      <c r="W790" t="s">
        <v>1952</v>
      </c>
      <c r="X790" t="s">
        <v>2205</v>
      </c>
      <c r="Y790" t="s">
        <v>2206</v>
      </c>
      <c r="Z790" t="s">
        <v>2163</v>
      </c>
      <c r="AA790" t="s">
        <v>332</v>
      </c>
      <c r="AB790" t="s">
        <v>2207</v>
      </c>
      <c r="AC790" t="b">
        <v>0</v>
      </c>
      <c r="AD790" t="b">
        <v>1</v>
      </c>
    </row>
    <row r="791" spans="1:30" x14ac:dyDescent="0.25">
      <c r="A791" t="s">
        <v>42</v>
      </c>
      <c r="B791" t="s">
        <v>1385</v>
      </c>
      <c r="C791" t="s">
        <v>332</v>
      </c>
      <c r="D791" t="s">
        <v>323</v>
      </c>
      <c r="E791" t="s">
        <v>1006</v>
      </c>
      <c r="F791">
        <v>4961</v>
      </c>
      <c r="G791" t="s">
        <v>1945</v>
      </c>
      <c r="H791" t="s">
        <v>2211</v>
      </c>
      <c r="I791" t="s">
        <v>2204</v>
      </c>
      <c r="J791" t="s">
        <v>1089</v>
      </c>
      <c r="K791" t="s">
        <v>1967</v>
      </c>
      <c r="L791" t="s">
        <v>1968</v>
      </c>
      <c r="M791" t="s">
        <v>980</v>
      </c>
      <c r="N791" t="s">
        <v>1969</v>
      </c>
      <c r="O791" t="s">
        <v>446</v>
      </c>
      <c r="P791" t="s">
        <v>1009</v>
      </c>
      <c r="Q791" t="b">
        <v>1</v>
      </c>
      <c r="R791" t="b">
        <v>0</v>
      </c>
      <c r="S791" t="s">
        <v>1950</v>
      </c>
      <c r="T791" t="s">
        <v>446</v>
      </c>
      <c r="U791" t="s">
        <v>1951</v>
      </c>
      <c r="V791" t="s">
        <v>1093</v>
      </c>
      <c r="W791" t="s">
        <v>1952</v>
      </c>
      <c r="X791" t="s">
        <v>2205</v>
      </c>
      <c r="Y791" t="s">
        <v>2212</v>
      </c>
      <c r="Z791" t="s">
        <v>446</v>
      </c>
      <c r="AA791" t="s">
        <v>332</v>
      </c>
      <c r="AB791" t="s">
        <v>446</v>
      </c>
      <c r="AC791" t="b">
        <v>0</v>
      </c>
      <c r="AD791" t="b">
        <v>1</v>
      </c>
    </row>
    <row r="792" spans="1:30" x14ac:dyDescent="0.25">
      <c r="A792" t="s">
        <v>42</v>
      </c>
      <c r="B792" t="s">
        <v>1387</v>
      </c>
      <c r="C792" t="s">
        <v>332</v>
      </c>
      <c r="D792" t="s">
        <v>323</v>
      </c>
      <c r="E792" t="s">
        <v>1013</v>
      </c>
      <c r="F792">
        <v>4763</v>
      </c>
      <c r="G792" t="s">
        <v>1945</v>
      </c>
      <c r="H792" t="s">
        <v>2213</v>
      </c>
      <c r="I792" t="s">
        <v>2204</v>
      </c>
      <c r="J792" t="s">
        <v>1089</v>
      </c>
      <c r="K792" t="s">
        <v>1016</v>
      </c>
      <c r="L792" t="s">
        <v>1972</v>
      </c>
      <c r="M792" t="s">
        <v>980</v>
      </c>
      <c r="N792" t="s">
        <v>1017</v>
      </c>
      <c r="O792" t="s">
        <v>446</v>
      </c>
      <c r="P792" t="s">
        <v>1015</v>
      </c>
      <c r="Q792" t="b">
        <v>1</v>
      </c>
      <c r="R792" t="b">
        <v>0</v>
      </c>
      <c r="S792" t="s">
        <v>1950</v>
      </c>
      <c r="T792" t="s">
        <v>446</v>
      </c>
      <c r="U792" t="s">
        <v>1951</v>
      </c>
      <c r="V792" t="s">
        <v>1093</v>
      </c>
      <c r="W792" t="s">
        <v>1952</v>
      </c>
      <c r="X792" t="s">
        <v>2205</v>
      </c>
      <c r="Y792" t="s">
        <v>2206</v>
      </c>
      <c r="Z792" t="s">
        <v>2163</v>
      </c>
      <c r="AA792" t="s">
        <v>332</v>
      </c>
      <c r="AB792" t="s">
        <v>2207</v>
      </c>
      <c r="AC792" t="b">
        <v>0</v>
      </c>
      <c r="AD792" t="b">
        <v>1</v>
      </c>
    </row>
    <row r="793" spans="1:30" x14ac:dyDescent="0.25">
      <c r="A793" t="s">
        <v>42</v>
      </c>
      <c r="B793" t="s">
        <v>1389</v>
      </c>
      <c r="C793" t="s">
        <v>332</v>
      </c>
      <c r="D793" t="s">
        <v>323</v>
      </c>
      <c r="E793" t="s">
        <v>1018</v>
      </c>
      <c r="F793">
        <v>4714</v>
      </c>
      <c r="G793" t="s">
        <v>1945</v>
      </c>
      <c r="H793" t="s">
        <v>2214</v>
      </c>
      <c r="I793" t="s">
        <v>2204</v>
      </c>
      <c r="J793" t="s">
        <v>1089</v>
      </c>
      <c r="K793" t="s">
        <v>1021</v>
      </c>
      <c r="L793" t="s">
        <v>1975</v>
      </c>
      <c r="M793" t="s">
        <v>980</v>
      </c>
      <c r="N793" t="s">
        <v>1022</v>
      </c>
      <c r="O793" t="s">
        <v>446</v>
      </c>
      <c r="P793" t="s">
        <v>1020</v>
      </c>
      <c r="Q793" t="b">
        <v>1</v>
      </c>
      <c r="R793" t="b">
        <v>0</v>
      </c>
      <c r="S793" t="s">
        <v>1950</v>
      </c>
      <c r="T793" t="s">
        <v>446</v>
      </c>
      <c r="U793" t="s">
        <v>1951</v>
      </c>
      <c r="V793" t="s">
        <v>1093</v>
      </c>
      <c r="W793" t="s">
        <v>1952</v>
      </c>
      <c r="X793" t="s">
        <v>2205</v>
      </c>
      <c r="Y793" t="s">
        <v>2206</v>
      </c>
      <c r="Z793" t="s">
        <v>2163</v>
      </c>
      <c r="AA793" t="s">
        <v>332</v>
      </c>
      <c r="AB793" t="s">
        <v>2207</v>
      </c>
      <c r="AC793" t="b">
        <v>0</v>
      </c>
      <c r="AD793" t="b">
        <v>1</v>
      </c>
    </row>
    <row r="794" spans="1:30" x14ac:dyDescent="0.25">
      <c r="A794" t="s">
        <v>42</v>
      </c>
      <c r="B794" t="s">
        <v>1391</v>
      </c>
      <c r="C794" t="s">
        <v>332</v>
      </c>
      <c r="D794" t="s">
        <v>323</v>
      </c>
      <c r="E794" t="s">
        <v>1023</v>
      </c>
      <c r="F794">
        <v>4728</v>
      </c>
      <c r="G794" t="s">
        <v>1945</v>
      </c>
      <c r="H794" t="s">
        <v>2215</v>
      </c>
      <c r="I794" t="s">
        <v>2204</v>
      </c>
      <c r="J794" t="s">
        <v>1089</v>
      </c>
      <c r="K794" t="s">
        <v>1026</v>
      </c>
      <c r="L794" t="s">
        <v>1979</v>
      </c>
      <c r="M794" t="s">
        <v>1000</v>
      </c>
      <c r="N794" t="s">
        <v>1027</v>
      </c>
      <c r="O794" t="s">
        <v>446</v>
      </c>
      <c r="P794" t="s">
        <v>1025</v>
      </c>
      <c r="Q794" t="b">
        <v>1</v>
      </c>
      <c r="R794" t="b">
        <v>0</v>
      </c>
      <c r="S794" t="s">
        <v>1950</v>
      </c>
      <c r="T794" t="s">
        <v>446</v>
      </c>
      <c r="U794" t="s">
        <v>1951</v>
      </c>
      <c r="V794" t="s">
        <v>1093</v>
      </c>
      <c r="W794" t="s">
        <v>1952</v>
      </c>
      <c r="X794" t="s">
        <v>2205</v>
      </c>
      <c r="Y794" t="s">
        <v>2206</v>
      </c>
      <c r="Z794" t="s">
        <v>2163</v>
      </c>
      <c r="AA794" t="s">
        <v>332</v>
      </c>
      <c r="AB794" t="s">
        <v>2207</v>
      </c>
      <c r="AC794" t="b">
        <v>0</v>
      </c>
      <c r="AD794" t="b">
        <v>1</v>
      </c>
    </row>
    <row r="795" spans="1:30" x14ac:dyDescent="0.25">
      <c r="A795" t="s">
        <v>42</v>
      </c>
      <c r="B795" t="s">
        <v>1393</v>
      </c>
      <c r="C795" t="s">
        <v>332</v>
      </c>
      <c r="D795" t="s">
        <v>323</v>
      </c>
      <c r="E795" t="s">
        <v>1029</v>
      </c>
      <c r="F795">
        <v>5102</v>
      </c>
      <c r="G795" t="s">
        <v>1945</v>
      </c>
      <c r="H795" t="s">
        <v>2216</v>
      </c>
      <c r="I795" t="s">
        <v>2204</v>
      </c>
      <c r="J795" t="s">
        <v>1089</v>
      </c>
      <c r="K795" t="s">
        <v>1033</v>
      </c>
      <c r="L795" t="s">
        <v>1982</v>
      </c>
      <c r="M795" t="s">
        <v>980</v>
      </c>
      <c r="N795" t="s">
        <v>1034</v>
      </c>
      <c r="O795" t="s">
        <v>446</v>
      </c>
      <c r="P795" t="s">
        <v>1031</v>
      </c>
      <c r="Q795" t="b">
        <v>1</v>
      </c>
      <c r="R795" t="b">
        <v>0</v>
      </c>
      <c r="S795" t="s">
        <v>1950</v>
      </c>
      <c r="T795" t="s">
        <v>446</v>
      </c>
      <c r="U795" t="s">
        <v>1951</v>
      </c>
      <c r="V795" t="s">
        <v>1093</v>
      </c>
      <c r="W795" t="s">
        <v>1952</v>
      </c>
      <c r="X795" t="s">
        <v>2205</v>
      </c>
      <c r="Y795" t="s">
        <v>2206</v>
      </c>
      <c r="Z795" t="s">
        <v>2163</v>
      </c>
      <c r="AA795" t="s">
        <v>332</v>
      </c>
      <c r="AB795" t="s">
        <v>2207</v>
      </c>
      <c r="AC795" t="b">
        <v>0</v>
      </c>
      <c r="AD795" t="b">
        <v>1</v>
      </c>
    </row>
    <row r="796" spans="1:30" x14ac:dyDescent="0.25">
      <c r="A796" t="s">
        <v>42</v>
      </c>
      <c r="B796" t="s">
        <v>1395</v>
      </c>
      <c r="C796" t="s">
        <v>332</v>
      </c>
      <c r="D796" t="s">
        <v>323</v>
      </c>
      <c r="E796" t="s">
        <v>1035</v>
      </c>
      <c r="F796">
        <v>5082</v>
      </c>
      <c r="G796" t="s">
        <v>1945</v>
      </c>
      <c r="H796" t="s">
        <v>2217</v>
      </c>
      <c r="I796" t="s">
        <v>2204</v>
      </c>
      <c r="J796" t="s">
        <v>1089</v>
      </c>
      <c r="K796" t="s">
        <v>1038</v>
      </c>
      <c r="L796" t="s">
        <v>1985</v>
      </c>
      <c r="M796" t="s">
        <v>980</v>
      </c>
      <c r="N796" t="s">
        <v>1039</v>
      </c>
      <c r="O796" t="s">
        <v>446</v>
      </c>
      <c r="P796" t="s">
        <v>1037</v>
      </c>
      <c r="Q796" t="b">
        <v>1</v>
      </c>
      <c r="R796" t="b">
        <v>0</v>
      </c>
      <c r="S796" t="s">
        <v>1950</v>
      </c>
      <c r="T796" t="s">
        <v>446</v>
      </c>
      <c r="U796" t="s">
        <v>1951</v>
      </c>
      <c r="V796" t="s">
        <v>1093</v>
      </c>
      <c r="W796" t="s">
        <v>1952</v>
      </c>
      <c r="X796" t="s">
        <v>2205</v>
      </c>
      <c r="Y796" t="s">
        <v>2206</v>
      </c>
      <c r="Z796" t="s">
        <v>2163</v>
      </c>
      <c r="AA796" t="s">
        <v>332</v>
      </c>
      <c r="AB796" t="s">
        <v>2207</v>
      </c>
      <c r="AC796" t="b">
        <v>0</v>
      </c>
      <c r="AD796" t="b">
        <v>1</v>
      </c>
    </row>
    <row r="797" spans="1:30" x14ac:dyDescent="0.25">
      <c r="A797" t="s">
        <v>42</v>
      </c>
      <c r="B797" t="s">
        <v>1397</v>
      </c>
      <c r="C797" t="s">
        <v>332</v>
      </c>
      <c r="D797" t="s">
        <v>323</v>
      </c>
      <c r="E797" t="s">
        <v>1040</v>
      </c>
      <c r="F797">
        <v>4802</v>
      </c>
      <c r="G797" t="s">
        <v>1945</v>
      </c>
      <c r="H797" t="s">
        <v>2218</v>
      </c>
      <c r="I797" t="s">
        <v>2204</v>
      </c>
      <c r="J797" t="s">
        <v>1089</v>
      </c>
      <c r="K797" t="s">
        <v>1043</v>
      </c>
      <c r="L797" t="s">
        <v>1988</v>
      </c>
      <c r="M797" t="s">
        <v>980</v>
      </c>
      <c r="N797" t="s">
        <v>1044</v>
      </c>
      <c r="O797" t="s">
        <v>446</v>
      </c>
      <c r="P797" t="s">
        <v>1042</v>
      </c>
      <c r="Q797" t="b">
        <v>1</v>
      </c>
      <c r="R797" t="b">
        <v>0</v>
      </c>
      <c r="S797" t="s">
        <v>1950</v>
      </c>
      <c r="T797" t="s">
        <v>446</v>
      </c>
      <c r="U797" t="s">
        <v>1951</v>
      </c>
      <c r="V797" t="s">
        <v>1093</v>
      </c>
      <c r="W797" t="s">
        <v>1952</v>
      </c>
      <c r="X797" t="s">
        <v>2205</v>
      </c>
      <c r="Y797" t="s">
        <v>2206</v>
      </c>
      <c r="Z797" t="s">
        <v>2163</v>
      </c>
      <c r="AA797" t="s">
        <v>332</v>
      </c>
      <c r="AB797" t="s">
        <v>2207</v>
      </c>
      <c r="AC797" t="b">
        <v>0</v>
      </c>
      <c r="AD797" t="b">
        <v>1</v>
      </c>
    </row>
    <row r="798" spans="1:30" x14ac:dyDescent="0.25">
      <c r="A798" t="s">
        <v>42</v>
      </c>
      <c r="B798" t="s">
        <v>1399</v>
      </c>
      <c r="C798" t="s">
        <v>332</v>
      </c>
      <c r="D798" t="s">
        <v>323</v>
      </c>
      <c r="E798" t="s">
        <v>1045</v>
      </c>
      <c r="F798">
        <v>4425</v>
      </c>
      <c r="G798" t="s">
        <v>1945</v>
      </c>
      <c r="H798" t="s">
        <v>2219</v>
      </c>
      <c r="I798" t="s">
        <v>2204</v>
      </c>
      <c r="J798" t="s">
        <v>1089</v>
      </c>
      <c r="K798" t="s">
        <v>1048</v>
      </c>
      <c r="L798" t="s">
        <v>1991</v>
      </c>
      <c r="M798" t="s">
        <v>1000</v>
      </c>
      <c r="N798" t="s">
        <v>1049</v>
      </c>
      <c r="O798" t="s">
        <v>446</v>
      </c>
      <c r="P798" t="s">
        <v>1047</v>
      </c>
      <c r="Q798" t="b">
        <v>1</v>
      </c>
      <c r="R798" t="b">
        <v>0</v>
      </c>
      <c r="S798" t="s">
        <v>1950</v>
      </c>
      <c r="T798" t="s">
        <v>446</v>
      </c>
      <c r="U798" t="s">
        <v>1951</v>
      </c>
      <c r="V798" t="s">
        <v>1093</v>
      </c>
      <c r="W798" t="s">
        <v>1952</v>
      </c>
      <c r="X798" t="s">
        <v>2205</v>
      </c>
      <c r="Y798" t="s">
        <v>2206</v>
      </c>
      <c r="Z798" t="s">
        <v>2163</v>
      </c>
      <c r="AA798" t="s">
        <v>332</v>
      </c>
      <c r="AB798" t="s">
        <v>2207</v>
      </c>
      <c r="AC798" t="b">
        <v>0</v>
      </c>
      <c r="AD798" t="b">
        <v>1</v>
      </c>
    </row>
    <row r="799" spans="1:30" x14ac:dyDescent="0.25">
      <c r="A799" t="s">
        <v>42</v>
      </c>
      <c r="B799" t="s">
        <v>1401</v>
      </c>
      <c r="C799" t="s">
        <v>332</v>
      </c>
      <c r="D799" t="s">
        <v>323</v>
      </c>
      <c r="E799" t="s">
        <v>1051</v>
      </c>
      <c r="F799">
        <v>4730</v>
      </c>
      <c r="G799" t="s">
        <v>1945</v>
      </c>
      <c r="H799" t="s">
        <v>2220</v>
      </c>
      <c r="I799" t="s">
        <v>2204</v>
      </c>
      <c r="J799" t="s">
        <v>1089</v>
      </c>
      <c r="K799" t="s">
        <v>1055</v>
      </c>
      <c r="L799" t="s">
        <v>1993</v>
      </c>
      <c r="M799" t="s">
        <v>980</v>
      </c>
      <c r="N799" t="s">
        <v>1056</v>
      </c>
      <c r="O799" t="s">
        <v>446</v>
      </c>
      <c r="P799" t="s">
        <v>1053</v>
      </c>
      <c r="Q799" t="b">
        <v>1</v>
      </c>
      <c r="R799" t="b">
        <v>0</v>
      </c>
      <c r="S799" t="s">
        <v>1950</v>
      </c>
      <c r="T799" t="s">
        <v>446</v>
      </c>
      <c r="U799" t="s">
        <v>1951</v>
      </c>
      <c r="V799" t="s">
        <v>1093</v>
      </c>
      <c r="W799" t="s">
        <v>1952</v>
      </c>
      <c r="X799" t="s">
        <v>2205</v>
      </c>
      <c r="Y799" t="s">
        <v>2212</v>
      </c>
      <c r="Z799" t="s">
        <v>446</v>
      </c>
      <c r="AA799" t="s">
        <v>332</v>
      </c>
      <c r="AB799" t="s">
        <v>446</v>
      </c>
      <c r="AC799" t="b">
        <v>0</v>
      </c>
      <c r="AD799" t="b">
        <v>1</v>
      </c>
    </row>
    <row r="800" spans="1:30" x14ac:dyDescent="0.25">
      <c r="A800" t="s">
        <v>42</v>
      </c>
      <c r="B800" t="s">
        <v>1403</v>
      </c>
      <c r="C800" t="s">
        <v>333</v>
      </c>
      <c r="D800" t="s">
        <v>323</v>
      </c>
      <c r="E800" t="s">
        <v>978</v>
      </c>
      <c r="F800">
        <v>4384</v>
      </c>
      <c r="G800" t="s">
        <v>2019</v>
      </c>
      <c r="H800" t="s">
        <v>2221</v>
      </c>
      <c r="I800" t="s">
        <v>2222</v>
      </c>
      <c r="J800" t="s">
        <v>1089</v>
      </c>
      <c r="K800" t="s">
        <v>984</v>
      </c>
      <c r="L800" t="s">
        <v>1948</v>
      </c>
      <c r="M800" t="s">
        <v>980</v>
      </c>
      <c r="N800" t="s">
        <v>985</v>
      </c>
      <c r="O800" t="s">
        <v>446</v>
      </c>
      <c r="P800" t="s">
        <v>981</v>
      </c>
      <c r="Q800" t="b">
        <v>1</v>
      </c>
      <c r="R800" t="b">
        <v>0</v>
      </c>
      <c r="S800" t="s">
        <v>1963</v>
      </c>
      <c r="T800" t="s">
        <v>2223</v>
      </c>
      <c r="U800" t="s">
        <v>2023</v>
      </c>
      <c r="V800" t="s">
        <v>1964</v>
      </c>
      <c r="W800" t="s">
        <v>2224</v>
      </c>
      <c r="X800" t="s">
        <v>446</v>
      </c>
      <c r="Y800" t="s">
        <v>2225</v>
      </c>
      <c r="Z800" t="s">
        <v>2163</v>
      </c>
      <c r="AA800" t="s">
        <v>2226</v>
      </c>
      <c r="AB800" t="s">
        <v>2227</v>
      </c>
      <c r="AC800" t="b">
        <v>0</v>
      </c>
      <c r="AD800" t="b">
        <v>1</v>
      </c>
    </row>
    <row r="801" spans="1:30" x14ac:dyDescent="0.25">
      <c r="A801" t="s">
        <v>42</v>
      </c>
      <c r="B801" t="s">
        <v>1405</v>
      </c>
      <c r="C801" t="s">
        <v>333</v>
      </c>
      <c r="D801" t="s">
        <v>323</v>
      </c>
      <c r="E801" t="s">
        <v>986</v>
      </c>
      <c r="F801">
        <v>4544</v>
      </c>
      <c r="G801" t="s">
        <v>2019</v>
      </c>
      <c r="H801" t="s">
        <v>2228</v>
      </c>
      <c r="I801" t="s">
        <v>2222</v>
      </c>
      <c r="J801" t="s">
        <v>1089</v>
      </c>
      <c r="K801" t="s">
        <v>990</v>
      </c>
      <c r="L801" t="s">
        <v>1955</v>
      </c>
      <c r="M801" t="s">
        <v>980</v>
      </c>
      <c r="N801" t="s">
        <v>991</v>
      </c>
      <c r="O801" t="s">
        <v>446</v>
      </c>
      <c r="P801" t="s">
        <v>988</v>
      </c>
      <c r="Q801" t="b">
        <v>1</v>
      </c>
      <c r="R801" t="b">
        <v>0</v>
      </c>
      <c r="S801" t="s">
        <v>1963</v>
      </c>
      <c r="T801" t="s">
        <v>2223</v>
      </c>
      <c r="U801" t="s">
        <v>2023</v>
      </c>
      <c r="V801" t="s">
        <v>1964</v>
      </c>
      <c r="W801" t="s">
        <v>2224</v>
      </c>
      <c r="X801" t="s">
        <v>446</v>
      </c>
      <c r="Y801" t="s">
        <v>2225</v>
      </c>
      <c r="Z801" t="s">
        <v>2163</v>
      </c>
      <c r="AA801" t="s">
        <v>2226</v>
      </c>
      <c r="AB801" t="s">
        <v>2227</v>
      </c>
      <c r="AC801" t="b">
        <v>0</v>
      </c>
      <c r="AD801" t="b">
        <v>1</v>
      </c>
    </row>
    <row r="802" spans="1:30" x14ac:dyDescent="0.25">
      <c r="A802" t="s">
        <v>42</v>
      </c>
      <c r="B802" t="s">
        <v>1407</v>
      </c>
      <c r="C802" t="s">
        <v>333</v>
      </c>
      <c r="D802" t="s">
        <v>323</v>
      </c>
      <c r="E802" t="s">
        <v>992</v>
      </c>
      <c r="F802">
        <v>5905</v>
      </c>
      <c r="G802" t="s">
        <v>2019</v>
      </c>
      <c r="H802" t="s">
        <v>2229</v>
      </c>
      <c r="I802" t="s">
        <v>2222</v>
      </c>
      <c r="J802" t="s">
        <v>1089</v>
      </c>
      <c r="K802" t="s">
        <v>996</v>
      </c>
      <c r="L802" t="s">
        <v>1958</v>
      </c>
      <c r="M802" t="s">
        <v>980</v>
      </c>
      <c r="N802" t="s">
        <v>997</v>
      </c>
      <c r="O802" t="s">
        <v>446</v>
      </c>
      <c r="P802" t="s">
        <v>994</v>
      </c>
      <c r="Q802" t="b">
        <v>1</v>
      </c>
      <c r="R802" t="b">
        <v>0</v>
      </c>
      <c r="S802" t="s">
        <v>1963</v>
      </c>
      <c r="T802" t="s">
        <v>2223</v>
      </c>
      <c r="U802" t="s">
        <v>2023</v>
      </c>
      <c r="V802" t="s">
        <v>1964</v>
      </c>
      <c r="W802" t="s">
        <v>2224</v>
      </c>
      <c r="X802" t="s">
        <v>446</v>
      </c>
      <c r="Y802" t="s">
        <v>2225</v>
      </c>
      <c r="Z802" t="s">
        <v>2163</v>
      </c>
      <c r="AA802" t="s">
        <v>2226</v>
      </c>
      <c r="AB802" t="s">
        <v>2227</v>
      </c>
      <c r="AC802" t="b">
        <v>0</v>
      </c>
      <c r="AD802" t="b">
        <v>1</v>
      </c>
    </row>
    <row r="803" spans="1:30" x14ac:dyDescent="0.25">
      <c r="A803" t="s">
        <v>42</v>
      </c>
      <c r="B803" t="s">
        <v>1409</v>
      </c>
      <c r="C803" t="s">
        <v>333</v>
      </c>
      <c r="D803" t="s">
        <v>323</v>
      </c>
      <c r="E803" t="s">
        <v>998</v>
      </c>
      <c r="F803">
        <v>6535</v>
      </c>
      <c r="G803" t="s">
        <v>2019</v>
      </c>
      <c r="H803" t="s">
        <v>2230</v>
      </c>
      <c r="I803" t="s">
        <v>2222</v>
      </c>
      <c r="J803" t="s">
        <v>1089</v>
      </c>
      <c r="K803" t="s">
        <v>1003</v>
      </c>
      <c r="L803" t="s">
        <v>2031</v>
      </c>
      <c r="M803" t="s">
        <v>1000</v>
      </c>
      <c r="N803" t="s">
        <v>1004</v>
      </c>
      <c r="O803" t="s">
        <v>446</v>
      </c>
      <c r="P803" t="s">
        <v>1001</v>
      </c>
      <c r="Q803" t="b">
        <v>1</v>
      </c>
      <c r="R803" t="b">
        <v>0</v>
      </c>
      <c r="S803" t="s">
        <v>1963</v>
      </c>
      <c r="T803" t="s">
        <v>2223</v>
      </c>
      <c r="U803" t="s">
        <v>2023</v>
      </c>
      <c r="V803" t="s">
        <v>1964</v>
      </c>
      <c r="W803" t="s">
        <v>2224</v>
      </c>
      <c r="X803" t="s">
        <v>446</v>
      </c>
      <c r="Y803" t="s">
        <v>2225</v>
      </c>
      <c r="Z803" t="s">
        <v>2163</v>
      </c>
      <c r="AA803" t="s">
        <v>2226</v>
      </c>
      <c r="AB803" t="s">
        <v>2227</v>
      </c>
      <c r="AC803" t="b">
        <v>0</v>
      </c>
      <c r="AD803" t="b">
        <v>1</v>
      </c>
    </row>
    <row r="804" spans="1:30" x14ac:dyDescent="0.25">
      <c r="A804" t="s">
        <v>42</v>
      </c>
      <c r="B804" t="s">
        <v>1411</v>
      </c>
      <c r="C804" t="s">
        <v>333</v>
      </c>
      <c r="D804" t="s">
        <v>323</v>
      </c>
      <c r="E804" t="s">
        <v>1006</v>
      </c>
      <c r="F804">
        <v>5054</v>
      </c>
      <c r="G804" t="s">
        <v>2019</v>
      </c>
      <c r="H804" t="s">
        <v>2231</v>
      </c>
      <c r="I804" t="s">
        <v>2222</v>
      </c>
      <c r="J804" t="s">
        <v>1089</v>
      </c>
      <c r="K804" t="s">
        <v>1967</v>
      </c>
      <c r="L804" t="s">
        <v>1968</v>
      </c>
      <c r="M804" t="s">
        <v>980</v>
      </c>
      <c r="N804" t="s">
        <v>1969</v>
      </c>
      <c r="O804" t="s">
        <v>446</v>
      </c>
      <c r="P804" t="s">
        <v>1009</v>
      </c>
      <c r="Q804" t="b">
        <v>1</v>
      </c>
      <c r="R804" t="b">
        <v>0</v>
      </c>
      <c r="S804" t="s">
        <v>1963</v>
      </c>
      <c r="T804" t="s">
        <v>2223</v>
      </c>
      <c r="U804" t="s">
        <v>2023</v>
      </c>
      <c r="V804" t="s">
        <v>1964</v>
      </c>
      <c r="W804" t="s">
        <v>2224</v>
      </c>
      <c r="X804" t="s">
        <v>446</v>
      </c>
      <c r="Y804" t="s">
        <v>446</v>
      </c>
      <c r="Z804" t="s">
        <v>446</v>
      </c>
      <c r="AA804" t="s">
        <v>333</v>
      </c>
      <c r="AB804" t="s">
        <v>446</v>
      </c>
      <c r="AC804" t="b">
        <v>0</v>
      </c>
      <c r="AD804" t="b">
        <v>1</v>
      </c>
    </row>
    <row r="805" spans="1:30" x14ac:dyDescent="0.25">
      <c r="A805" t="s">
        <v>42</v>
      </c>
      <c r="B805" t="s">
        <v>1413</v>
      </c>
      <c r="C805" t="s">
        <v>333</v>
      </c>
      <c r="D805" t="s">
        <v>323</v>
      </c>
      <c r="E805" t="s">
        <v>1013</v>
      </c>
      <c r="F805">
        <v>4892</v>
      </c>
      <c r="G805" t="s">
        <v>2019</v>
      </c>
      <c r="H805" t="s">
        <v>2232</v>
      </c>
      <c r="I805" t="s">
        <v>2222</v>
      </c>
      <c r="J805" t="s">
        <v>1089</v>
      </c>
      <c r="K805" t="s">
        <v>1016</v>
      </c>
      <c r="L805" t="s">
        <v>1972</v>
      </c>
      <c r="M805" t="s">
        <v>980</v>
      </c>
      <c r="N805" t="s">
        <v>1017</v>
      </c>
      <c r="O805" t="s">
        <v>446</v>
      </c>
      <c r="P805" t="s">
        <v>1015</v>
      </c>
      <c r="Q805" t="b">
        <v>1</v>
      </c>
      <c r="R805" t="b">
        <v>0</v>
      </c>
      <c r="S805" t="s">
        <v>1963</v>
      </c>
      <c r="T805" t="s">
        <v>2223</v>
      </c>
      <c r="U805" t="s">
        <v>2023</v>
      </c>
      <c r="V805" t="s">
        <v>1964</v>
      </c>
      <c r="W805" t="s">
        <v>2224</v>
      </c>
      <c r="X805" t="s">
        <v>446</v>
      </c>
      <c r="Y805" t="s">
        <v>2225</v>
      </c>
      <c r="Z805" t="s">
        <v>2163</v>
      </c>
      <c r="AA805" t="s">
        <v>2226</v>
      </c>
      <c r="AB805" t="s">
        <v>2227</v>
      </c>
      <c r="AC805" t="b">
        <v>0</v>
      </c>
      <c r="AD805" t="b">
        <v>1</v>
      </c>
    </row>
    <row r="806" spans="1:30" x14ac:dyDescent="0.25">
      <c r="A806" t="s">
        <v>42</v>
      </c>
      <c r="B806" t="s">
        <v>1415</v>
      </c>
      <c r="C806" t="s">
        <v>333</v>
      </c>
      <c r="D806" t="s">
        <v>323</v>
      </c>
      <c r="E806" t="s">
        <v>1018</v>
      </c>
      <c r="F806">
        <v>4964</v>
      </c>
      <c r="G806" t="s">
        <v>2019</v>
      </c>
      <c r="H806" t="s">
        <v>2233</v>
      </c>
      <c r="I806" t="s">
        <v>2222</v>
      </c>
      <c r="J806" t="s">
        <v>1089</v>
      </c>
      <c r="K806" t="s">
        <v>1021</v>
      </c>
      <c r="L806" t="s">
        <v>1975</v>
      </c>
      <c r="M806" t="s">
        <v>980</v>
      </c>
      <c r="N806" t="s">
        <v>1022</v>
      </c>
      <c r="O806" t="s">
        <v>446</v>
      </c>
      <c r="P806" t="s">
        <v>1020</v>
      </c>
      <c r="Q806" t="b">
        <v>1</v>
      </c>
      <c r="R806" t="b">
        <v>0</v>
      </c>
      <c r="S806" t="s">
        <v>1963</v>
      </c>
      <c r="T806" t="s">
        <v>2223</v>
      </c>
      <c r="U806" t="s">
        <v>2023</v>
      </c>
      <c r="V806" t="s">
        <v>1964</v>
      </c>
      <c r="W806" t="s">
        <v>2224</v>
      </c>
      <c r="X806" t="s">
        <v>446</v>
      </c>
      <c r="Y806" t="s">
        <v>2225</v>
      </c>
      <c r="Z806" t="s">
        <v>2163</v>
      </c>
      <c r="AA806" t="s">
        <v>2226</v>
      </c>
      <c r="AB806" t="s">
        <v>2227</v>
      </c>
      <c r="AC806" t="b">
        <v>0</v>
      </c>
      <c r="AD806" t="b">
        <v>1</v>
      </c>
    </row>
    <row r="807" spans="1:30" x14ac:dyDescent="0.25">
      <c r="A807" t="s">
        <v>42</v>
      </c>
      <c r="B807" t="s">
        <v>1417</v>
      </c>
      <c r="C807" t="s">
        <v>333</v>
      </c>
      <c r="D807" t="s">
        <v>323</v>
      </c>
      <c r="E807" t="s">
        <v>1023</v>
      </c>
      <c r="F807">
        <v>4852</v>
      </c>
      <c r="G807" t="s">
        <v>2019</v>
      </c>
      <c r="H807" t="s">
        <v>2234</v>
      </c>
      <c r="I807" t="s">
        <v>2222</v>
      </c>
      <c r="J807" t="s">
        <v>1089</v>
      </c>
      <c r="K807" t="s">
        <v>1026</v>
      </c>
      <c r="L807" t="s">
        <v>1979</v>
      </c>
      <c r="M807" t="s">
        <v>1000</v>
      </c>
      <c r="N807" t="s">
        <v>1027</v>
      </c>
      <c r="O807" t="s">
        <v>446</v>
      </c>
      <c r="P807" t="s">
        <v>1025</v>
      </c>
      <c r="Q807" t="b">
        <v>1</v>
      </c>
      <c r="R807" t="b">
        <v>0</v>
      </c>
      <c r="S807" t="s">
        <v>1963</v>
      </c>
      <c r="T807" t="s">
        <v>2223</v>
      </c>
      <c r="U807" t="s">
        <v>2023</v>
      </c>
      <c r="V807" t="s">
        <v>1964</v>
      </c>
      <c r="W807" t="s">
        <v>2224</v>
      </c>
      <c r="X807" t="s">
        <v>446</v>
      </c>
      <c r="Y807" t="s">
        <v>2225</v>
      </c>
      <c r="Z807" t="s">
        <v>2163</v>
      </c>
      <c r="AA807" t="s">
        <v>2226</v>
      </c>
      <c r="AB807" t="s">
        <v>2227</v>
      </c>
      <c r="AC807" t="b">
        <v>0</v>
      </c>
      <c r="AD807" t="b">
        <v>1</v>
      </c>
    </row>
    <row r="808" spans="1:30" x14ac:dyDescent="0.25">
      <c r="A808" t="s">
        <v>42</v>
      </c>
      <c r="B808" t="s">
        <v>1419</v>
      </c>
      <c r="C808" t="s">
        <v>333</v>
      </c>
      <c r="D808" t="s">
        <v>323</v>
      </c>
      <c r="E808" t="s">
        <v>1029</v>
      </c>
      <c r="F808">
        <v>4989</v>
      </c>
      <c r="G808" t="s">
        <v>2019</v>
      </c>
      <c r="H808" t="s">
        <v>2235</v>
      </c>
      <c r="I808" t="s">
        <v>2222</v>
      </c>
      <c r="J808" t="s">
        <v>1089</v>
      </c>
      <c r="K808" t="s">
        <v>1033</v>
      </c>
      <c r="L808" t="s">
        <v>1982</v>
      </c>
      <c r="M808" t="s">
        <v>980</v>
      </c>
      <c r="N808" t="s">
        <v>1034</v>
      </c>
      <c r="O808" t="s">
        <v>446</v>
      </c>
      <c r="P808" t="s">
        <v>1031</v>
      </c>
      <c r="Q808" t="b">
        <v>1</v>
      </c>
      <c r="R808" t="b">
        <v>0</v>
      </c>
      <c r="S808" t="s">
        <v>1963</v>
      </c>
      <c r="T808" t="s">
        <v>2223</v>
      </c>
      <c r="U808" t="s">
        <v>2023</v>
      </c>
      <c r="V808" t="s">
        <v>1964</v>
      </c>
      <c r="W808" t="s">
        <v>2224</v>
      </c>
      <c r="X808" t="s">
        <v>446</v>
      </c>
      <c r="Y808" t="s">
        <v>2225</v>
      </c>
      <c r="Z808" t="s">
        <v>2163</v>
      </c>
      <c r="AA808" t="s">
        <v>2226</v>
      </c>
      <c r="AB808" t="s">
        <v>2227</v>
      </c>
      <c r="AC808" t="b">
        <v>0</v>
      </c>
      <c r="AD808" t="b">
        <v>1</v>
      </c>
    </row>
    <row r="809" spans="1:30" x14ac:dyDescent="0.25">
      <c r="A809" t="s">
        <v>42</v>
      </c>
      <c r="B809" t="s">
        <v>1421</v>
      </c>
      <c r="C809" t="s">
        <v>333</v>
      </c>
      <c r="D809" t="s">
        <v>323</v>
      </c>
      <c r="E809" t="s">
        <v>1035</v>
      </c>
      <c r="F809">
        <v>5111</v>
      </c>
      <c r="G809" t="s">
        <v>2019</v>
      </c>
      <c r="H809" t="s">
        <v>2236</v>
      </c>
      <c r="I809" t="s">
        <v>2222</v>
      </c>
      <c r="J809" t="s">
        <v>1089</v>
      </c>
      <c r="K809" t="s">
        <v>1038</v>
      </c>
      <c r="L809" t="s">
        <v>1985</v>
      </c>
      <c r="M809" t="s">
        <v>980</v>
      </c>
      <c r="N809" t="s">
        <v>1039</v>
      </c>
      <c r="O809" t="s">
        <v>446</v>
      </c>
      <c r="P809" t="s">
        <v>1037</v>
      </c>
      <c r="Q809" t="b">
        <v>1</v>
      </c>
      <c r="R809" t="b">
        <v>0</v>
      </c>
      <c r="S809" t="s">
        <v>1963</v>
      </c>
      <c r="T809" t="s">
        <v>2223</v>
      </c>
      <c r="U809" t="s">
        <v>2023</v>
      </c>
      <c r="V809" t="s">
        <v>1964</v>
      </c>
      <c r="W809" t="s">
        <v>2224</v>
      </c>
      <c r="X809" t="s">
        <v>446</v>
      </c>
      <c r="Y809" t="s">
        <v>2225</v>
      </c>
      <c r="Z809" t="s">
        <v>2163</v>
      </c>
      <c r="AA809" t="s">
        <v>2226</v>
      </c>
      <c r="AB809" t="s">
        <v>2227</v>
      </c>
      <c r="AC809" t="b">
        <v>0</v>
      </c>
      <c r="AD809" t="b">
        <v>1</v>
      </c>
    </row>
    <row r="810" spans="1:30" x14ac:dyDescent="0.25">
      <c r="A810" t="s">
        <v>42</v>
      </c>
      <c r="B810" t="s">
        <v>1423</v>
      </c>
      <c r="C810" t="s">
        <v>333</v>
      </c>
      <c r="D810" t="s">
        <v>323</v>
      </c>
      <c r="E810" t="s">
        <v>1040</v>
      </c>
      <c r="F810">
        <v>4625</v>
      </c>
      <c r="G810" t="s">
        <v>2019</v>
      </c>
      <c r="H810" t="s">
        <v>2237</v>
      </c>
      <c r="I810" t="s">
        <v>2222</v>
      </c>
      <c r="J810" t="s">
        <v>1089</v>
      </c>
      <c r="K810" t="s">
        <v>1043</v>
      </c>
      <c r="L810" t="s">
        <v>1988</v>
      </c>
      <c r="M810" t="s">
        <v>980</v>
      </c>
      <c r="N810" t="s">
        <v>1044</v>
      </c>
      <c r="O810" t="s">
        <v>446</v>
      </c>
      <c r="P810" t="s">
        <v>1042</v>
      </c>
      <c r="Q810" t="b">
        <v>1</v>
      </c>
      <c r="R810" t="b">
        <v>0</v>
      </c>
      <c r="S810" t="s">
        <v>1963</v>
      </c>
      <c r="T810" t="s">
        <v>2223</v>
      </c>
      <c r="U810" t="s">
        <v>2023</v>
      </c>
      <c r="V810" t="s">
        <v>1964</v>
      </c>
      <c r="W810" t="s">
        <v>2224</v>
      </c>
      <c r="X810" t="s">
        <v>446</v>
      </c>
      <c r="Y810" t="s">
        <v>2225</v>
      </c>
      <c r="Z810" t="s">
        <v>2163</v>
      </c>
      <c r="AA810" t="s">
        <v>2226</v>
      </c>
      <c r="AB810" t="s">
        <v>2227</v>
      </c>
      <c r="AC810" t="b">
        <v>0</v>
      </c>
      <c r="AD810" t="b">
        <v>1</v>
      </c>
    </row>
    <row r="811" spans="1:30" x14ac:dyDescent="0.25">
      <c r="A811" t="s">
        <v>42</v>
      </c>
      <c r="B811" t="s">
        <v>1425</v>
      </c>
      <c r="C811" t="s">
        <v>333</v>
      </c>
      <c r="D811" t="s">
        <v>323</v>
      </c>
      <c r="E811" t="s">
        <v>1045</v>
      </c>
      <c r="F811">
        <v>9709</v>
      </c>
      <c r="G811" t="s">
        <v>2019</v>
      </c>
      <c r="H811" t="s">
        <v>2238</v>
      </c>
      <c r="I811" t="s">
        <v>2222</v>
      </c>
      <c r="J811" t="s">
        <v>1089</v>
      </c>
      <c r="K811" t="s">
        <v>1048</v>
      </c>
      <c r="L811" t="s">
        <v>1991</v>
      </c>
      <c r="M811" t="s">
        <v>1000</v>
      </c>
      <c r="N811" t="s">
        <v>1049</v>
      </c>
      <c r="O811" t="s">
        <v>446</v>
      </c>
      <c r="P811" t="s">
        <v>1047</v>
      </c>
      <c r="Q811" t="b">
        <v>1</v>
      </c>
      <c r="R811" t="b">
        <v>0</v>
      </c>
      <c r="S811" t="s">
        <v>1963</v>
      </c>
      <c r="T811" t="s">
        <v>2223</v>
      </c>
      <c r="U811" t="s">
        <v>2023</v>
      </c>
      <c r="V811" t="s">
        <v>1964</v>
      </c>
      <c r="W811" t="s">
        <v>2224</v>
      </c>
      <c r="X811" t="s">
        <v>446</v>
      </c>
      <c r="Y811" t="s">
        <v>2225</v>
      </c>
      <c r="Z811" t="s">
        <v>2163</v>
      </c>
      <c r="AA811" t="s">
        <v>2226</v>
      </c>
      <c r="AB811" t="s">
        <v>2227</v>
      </c>
      <c r="AC811" t="b">
        <v>0</v>
      </c>
      <c r="AD811" t="b">
        <v>1</v>
      </c>
    </row>
    <row r="812" spans="1:30" x14ac:dyDescent="0.25">
      <c r="A812" t="s">
        <v>42</v>
      </c>
      <c r="B812" t="s">
        <v>1427</v>
      </c>
      <c r="C812" t="s">
        <v>333</v>
      </c>
      <c r="D812" t="s">
        <v>323</v>
      </c>
      <c r="E812" t="s">
        <v>1051</v>
      </c>
      <c r="F812">
        <v>10902</v>
      </c>
      <c r="G812" t="s">
        <v>2019</v>
      </c>
      <c r="H812" t="s">
        <v>2239</v>
      </c>
      <c r="I812" t="s">
        <v>2222</v>
      </c>
      <c r="J812" t="s">
        <v>1089</v>
      </c>
      <c r="K812" t="s">
        <v>1055</v>
      </c>
      <c r="L812" t="s">
        <v>1993</v>
      </c>
      <c r="M812" t="s">
        <v>980</v>
      </c>
      <c r="N812" t="s">
        <v>1056</v>
      </c>
      <c r="O812" t="s">
        <v>446</v>
      </c>
      <c r="P812" t="s">
        <v>1053</v>
      </c>
      <c r="Q812" t="b">
        <v>1</v>
      </c>
      <c r="R812" t="b">
        <v>0</v>
      </c>
      <c r="S812" t="s">
        <v>1963</v>
      </c>
      <c r="T812" t="s">
        <v>2223</v>
      </c>
      <c r="U812" t="s">
        <v>2023</v>
      </c>
      <c r="V812" t="s">
        <v>1964</v>
      </c>
      <c r="W812" t="s">
        <v>2224</v>
      </c>
      <c r="X812" t="s">
        <v>446</v>
      </c>
      <c r="Y812" t="s">
        <v>446</v>
      </c>
      <c r="Z812" t="s">
        <v>446</v>
      </c>
      <c r="AA812" t="s">
        <v>333</v>
      </c>
      <c r="AB812" t="s">
        <v>446</v>
      </c>
      <c r="AC812" t="b">
        <v>0</v>
      </c>
      <c r="AD812" t="b">
        <v>1</v>
      </c>
    </row>
    <row r="813" spans="1:30" x14ac:dyDescent="0.25">
      <c r="A813" t="s">
        <v>42</v>
      </c>
      <c r="B813" t="s">
        <v>1429</v>
      </c>
      <c r="C813" t="s">
        <v>335</v>
      </c>
      <c r="D813" t="s">
        <v>323</v>
      </c>
      <c r="E813" t="s">
        <v>978</v>
      </c>
      <c r="F813">
        <v>9848</v>
      </c>
      <c r="G813" t="s">
        <v>2012</v>
      </c>
      <c r="H813" t="s">
        <v>2240</v>
      </c>
      <c r="I813" t="s">
        <v>2241</v>
      </c>
      <c r="J813" t="s">
        <v>1089</v>
      </c>
      <c r="K813" t="s">
        <v>984</v>
      </c>
      <c r="L813" t="s">
        <v>1948</v>
      </c>
      <c r="M813" t="s">
        <v>980</v>
      </c>
      <c r="N813" t="s">
        <v>985</v>
      </c>
      <c r="O813" t="s">
        <v>446</v>
      </c>
      <c r="P813" t="s">
        <v>981</v>
      </c>
      <c r="Q813" t="b">
        <v>1</v>
      </c>
      <c r="R813" t="b">
        <v>0</v>
      </c>
      <c r="S813" t="s">
        <v>1950</v>
      </c>
      <c r="T813" t="s">
        <v>446</v>
      </c>
      <c r="U813" t="s">
        <v>1951</v>
      </c>
      <c r="V813" t="s">
        <v>1093</v>
      </c>
      <c r="W813" t="s">
        <v>1952</v>
      </c>
      <c r="X813" t="s">
        <v>2242</v>
      </c>
      <c r="Y813" t="s">
        <v>2243</v>
      </c>
      <c r="Z813" t="s">
        <v>446</v>
      </c>
      <c r="AA813" t="s">
        <v>335</v>
      </c>
      <c r="AB813" t="s">
        <v>446</v>
      </c>
      <c r="AC813" t="b">
        <v>0</v>
      </c>
      <c r="AD813" t="b">
        <v>1</v>
      </c>
    </row>
    <row r="814" spans="1:30" x14ac:dyDescent="0.25">
      <c r="A814" t="s">
        <v>42</v>
      </c>
      <c r="B814" t="s">
        <v>1431</v>
      </c>
      <c r="C814" t="s">
        <v>335</v>
      </c>
      <c r="D814" t="s">
        <v>323</v>
      </c>
      <c r="E814" t="s">
        <v>986</v>
      </c>
      <c r="F814">
        <v>9706</v>
      </c>
      <c r="G814" t="s">
        <v>2012</v>
      </c>
      <c r="H814" t="s">
        <v>2244</v>
      </c>
      <c r="I814" t="s">
        <v>2241</v>
      </c>
      <c r="J814" t="s">
        <v>1089</v>
      </c>
      <c r="K814" t="s">
        <v>990</v>
      </c>
      <c r="L814" t="s">
        <v>1955</v>
      </c>
      <c r="M814" t="s">
        <v>980</v>
      </c>
      <c r="N814" t="s">
        <v>991</v>
      </c>
      <c r="O814" t="s">
        <v>446</v>
      </c>
      <c r="P814" t="s">
        <v>988</v>
      </c>
      <c r="Q814" t="b">
        <v>1</v>
      </c>
      <c r="R814" t="b">
        <v>0</v>
      </c>
      <c r="S814" t="s">
        <v>1950</v>
      </c>
      <c r="T814" t="s">
        <v>446</v>
      </c>
      <c r="U814" t="s">
        <v>1951</v>
      </c>
      <c r="V814" t="s">
        <v>1093</v>
      </c>
      <c r="W814" t="s">
        <v>1952</v>
      </c>
      <c r="X814" t="s">
        <v>2242</v>
      </c>
      <c r="Y814" t="s">
        <v>2243</v>
      </c>
      <c r="Z814" t="s">
        <v>446</v>
      </c>
      <c r="AA814" t="s">
        <v>335</v>
      </c>
      <c r="AB814" t="s">
        <v>446</v>
      </c>
      <c r="AC814" t="b">
        <v>0</v>
      </c>
      <c r="AD814" t="b">
        <v>1</v>
      </c>
    </row>
    <row r="815" spans="1:30" x14ac:dyDescent="0.25">
      <c r="A815" t="s">
        <v>42</v>
      </c>
      <c r="B815" t="s">
        <v>1433</v>
      </c>
      <c r="C815" t="s">
        <v>335</v>
      </c>
      <c r="D815" t="s">
        <v>323</v>
      </c>
      <c r="E815" t="s">
        <v>992</v>
      </c>
      <c r="F815">
        <v>8860</v>
      </c>
      <c r="G815" t="s">
        <v>2012</v>
      </c>
      <c r="H815" t="s">
        <v>2245</v>
      </c>
      <c r="I815" t="s">
        <v>2241</v>
      </c>
      <c r="J815" t="s">
        <v>1089</v>
      </c>
      <c r="K815" t="s">
        <v>996</v>
      </c>
      <c r="L815" t="s">
        <v>1958</v>
      </c>
      <c r="M815" t="s">
        <v>980</v>
      </c>
      <c r="N815" t="s">
        <v>997</v>
      </c>
      <c r="O815" t="s">
        <v>446</v>
      </c>
      <c r="P815" t="s">
        <v>994</v>
      </c>
      <c r="Q815" t="b">
        <v>1</v>
      </c>
      <c r="R815" t="b">
        <v>0</v>
      </c>
      <c r="S815" t="s">
        <v>1950</v>
      </c>
      <c r="T815" t="s">
        <v>446</v>
      </c>
      <c r="U815" t="s">
        <v>1951</v>
      </c>
      <c r="V815" t="s">
        <v>1093</v>
      </c>
      <c r="W815" t="s">
        <v>1952</v>
      </c>
      <c r="X815" t="s">
        <v>2242</v>
      </c>
      <c r="Y815" t="s">
        <v>2243</v>
      </c>
      <c r="Z815" t="s">
        <v>446</v>
      </c>
      <c r="AA815" t="s">
        <v>335</v>
      </c>
      <c r="AB815" t="s">
        <v>446</v>
      </c>
      <c r="AC815" t="b">
        <v>0</v>
      </c>
      <c r="AD815" t="b">
        <v>1</v>
      </c>
    </row>
    <row r="816" spans="1:30" x14ac:dyDescent="0.25">
      <c r="A816" t="s">
        <v>42</v>
      </c>
      <c r="B816" t="s">
        <v>1435</v>
      </c>
      <c r="C816" t="s">
        <v>335</v>
      </c>
      <c r="D816" t="s">
        <v>323</v>
      </c>
      <c r="E816" t="s">
        <v>998</v>
      </c>
      <c r="F816">
        <v>9236</v>
      </c>
      <c r="G816" t="s">
        <v>2012</v>
      </c>
      <c r="H816" t="s">
        <v>2246</v>
      </c>
      <c r="I816" t="s">
        <v>2241</v>
      </c>
      <c r="J816" t="s">
        <v>1089</v>
      </c>
      <c r="K816" t="s">
        <v>1003</v>
      </c>
      <c r="L816" t="s">
        <v>2031</v>
      </c>
      <c r="M816" t="s">
        <v>1000</v>
      </c>
      <c r="N816" t="s">
        <v>1004</v>
      </c>
      <c r="O816" t="s">
        <v>446</v>
      </c>
      <c r="P816" t="s">
        <v>1001</v>
      </c>
      <c r="Q816" t="b">
        <v>1</v>
      </c>
      <c r="R816" t="b">
        <v>0</v>
      </c>
      <c r="S816" t="s">
        <v>1950</v>
      </c>
      <c r="T816" t="s">
        <v>446</v>
      </c>
      <c r="U816" t="s">
        <v>1951</v>
      </c>
      <c r="V816" t="s">
        <v>1093</v>
      </c>
      <c r="W816" t="s">
        <v>1952</v>
      </c>
      <c r="X816" t="s">
        <v>2242</v>
      </c>
      <c r="Y816" t="s">
        <v>2243</v>
      </c>
      <c r="Z816" t="s">
        <v>446</v>
      </c>
      <c r="AA816" t="s">
        <v>335</v>
      </c>
      <c r="AB816" t="s">
        <v>446</v>
      </c>
      <c r="AC816" t="b">
        <v>0</v>
      </c>
      <c r="AD816" t="b">
        <v>1</v>
      </c>
    </row>
    <row r="817" spans="1:30" x14ac:dyDescent="0.25">
      <c r="A817" t="s">
        <v>42</v>
      </c>
      <c r="B817" t="s">
        <v>1437</v>
      </c>
      <c r="C817" t="s">
        <v>335</v>
      </c>
      <c r="D817" t="s">
        <v>323</v>
      </c>
      <c r="E817" t="s">
        <v>1006</v>
      </c>
      <c r="F817">
        <v>9306</v>
      </c>
      <c r="G817" t="s">
        <v>2012</v>
      </c>
      <c r="H817" t="s">
        <v>2247</v>
      </c>
      <c r="I817" t="s">
        <v>2241</v>
      </c>
      <c r="J817" t="s">
        <v>1089</v>
      </c>
      <c r="K817" t="s">
        <v>1967</v>
      </c>
      <c r="L817" t="s">
        <v>1968</v>
      </c>
      <c r="M817" t="s">
        <v>980</v>
      </c>
      <c r="N817" t="s">
        <v>1969</v>
      </c>
      <c r="O817" t="s">
        <v>446</v>
      </c>
      <c r="P817" t="s">
        <v>1009</v>
      </c>
      <c r="Q817" t="b">
        <v>1</v>
      </c>
      <c r="R817" t="b">
        <v>0</v>
      </c>
      <c r="S817" t="s">
        <v>1950</v>
      </c>
      <c r="T817" t="s">
        <v>446</v>
      </c>
      <c r="U817" t="s">
        <v>1951</v>
      </c>
      <c r="V817" t="s">
        <v>1093</v>
      </c>
      <c r="W817" t="s">
        <v>1952</v>
      </c>
      <c r="X817" t="s">
        <v>2242</v>
      </c>
      <c r="Y817" t="s">
        <v>2243</v>
      </c>
      <c r="Z817" t="s">
        <v>446</v>
      </c>
      <c r="AA817" t="s">
        <v>335</v>
      </c>
      <c r="AB817" t="s">
        <v>446</v>
      </c>
      <c r="AC817" t="b">
        <v>0</v>
      </c>
      <c r="AD817" t="b">
        <v>1</v>
      </c>
    </row>
    <row r="818" spans="1:30" x14ac:dyDescent="0.25">
      <c r="A818" t="s">
        <v>42</v>
      </c>
      <c r="B818" t="s">
        <v>1439</v>
      </c>
      <c r="C818" t="s">
        <v>335</v>
      </c>
      <c r="D818" t="s">
        <v>323</v>
      </c>
      <c r="E818" t="s">
        <v>1013</v>
      </c>
      <c r="F818">
        <v>9508</v>
      </c>
      <c r="G818" t="s">
        <v>2012</v>
      </c>
      <c r="H818" t="s">
        <v>2248</v>
      </c>
      <c r="I818" t="s">
        <v>2241</v>
      </c>
      <c r="J818" t="s">
        <v>1089</v>
      </c>
      <c r="K818" t="s">
        <v>1016</v>
      </c>
      <c r="L818" t="s">
        <v>1972</v>
      </c>
      <c r="M818" t="s">
        <v>980</v>
      </c>
      <c r="N818" t="s">
        <v>1017</v>
      </c>
      <c r="O818" t="s">
        <v>446</v>
      </c>
      <c r="P818" t="s">
        <v>1015</v>
      </c>
      <c r="Q818" t="b">
        <v>1</v>
      </c>
      <c r="R818" t="b">
        <v>0</v>
      </c>
      <c r="S818" t="s">
        <v>1950</v>
      </c>
      <c r="T818" t="s">
        <v>446</v>
      </c>
      <c r="U818" t="s">
        <v>1951</v>
      </c>
      <c r="V818" t="s">
        <v>1093</v>
      </c>
      <c r="W818" t="s">
        <v>1952</v>
      </c>
      <c r="X818" t="s">
        <v>2242</v>
      </c>
      <c r="Y818" t="s">
        <v>2243</v>
      </c>
      <c r="Z818" t="s">
        <v>446</v>
      </c>
      <c r="AA818" t="s">
        <v>335</v>
      </c>
      <c r="AB818" t="s">
        <v>446</v>
      </c>
      <c r="AC818" t="b">
        <v>0</v>
      </c>
      <c r="AD818" t="b">
        <v>1</v>
      </c>
    </row>
    <row r="819" spans="1:30" x14ac:dyDescent="0.25">
      <c r="A819" t="s">
        <v>42</v>
      </c>
      <c r="B819" t="s">
        <v>1441</v>
      </c>
      <c r="C819" t="s">
        <v>335</v>
      </c>
      <c r="D819" t="s">
        <v>323</v>
      </c>
      <c r="E819" t="s">
        <v>1018</v>
      </c>
      <c r="F819">
        <v>9864</v>
      </c>
      <c r="G819" t="s">
        <v>2012</v>
      </c>
      <c r="H819" t="s">
        <v>2249</v>
      </c>
      <c r="I819" t="s">
        <v>2241</v>
      </c>
      <c r="J819" t="s">
        <v>1089</v>
      </c>
      <c r="K819" t="s">
        <v>1021</v>
      </c>
      <c r="L819" t="s">
        <v>1975</v>
      </c>
      <c r="M819" t="s">
        <v>980</v>
      </c>
      <c r="N819" t="s">
        <v>1022</v>
      </c>
      <c r="O819" t="s">
        <v>446</v>
      </c>
      <c r="P819" t="s">
        <v>1020</v>
      </c>
      <c r="Q819" t="b">
        <v>1</v>
      </c>
      <c r="R819" t="b">
        <v>0</v>
      </c>
      <c r="S819" t="s">
        <v>1950</v>
      </c>
      <c r="T819" t="s">
        <v>446</v>
      </c>
      <c r="U819" t="s">
        <v>1951</v>
      </c>
      <c r="V819" t="s">
        <v>1093</v>
      </c>
      <c r="W819" t="s">
        <v>1952</v>
      </c>
      <c r="X819" t="s">
        <v>2242</v>
      </c>
      <c r="Y819" t="s">
        <v>2243</v>
      </c>
      <c r="Z819" t="s">
        <v>446</v>
      </c>
      <c r="AA819" t="s">
        <v>335</v>
      </c>
      <c r="AB819" t="s">
        <v>446</v>
      </c>
      <c r="AC819" t="b">
        <v>0</v>
      </c>
      <c r="AD819" t="b">
        <v>1</v>
      </c>
    </row>
    <row r="820" spans="1:30" x14ac:dyDescent="0.25">
      <c r="A820" t="s">
        <v>42</v>
      </c>
      <c r="B820" t="s">
        <v>1443</v>
      </c>
      <c r="C820" t="s">
        <v>335</v>
      </c>
      <c r="D820" t="s">
        <v>323</v>
      </c>
      <c r="E820" t="s">
        <v>1023</v>
      </c>
      <c r="F820">
        <v>10303</v>
      </c>
      <c r="G820" t="s">
        <v>2012</v>
      </c>
      <c r="H820" t="s">
        <v>2250</v>
      </c>
      <c r="I820" t="s">
        <v>2241</v>
      </c>
      <c r="J820" t="s">
        <v>1089</v>
      </c>
      <c r="K820" t="s">
        <v>1026</v>
      </c>
      <c r="L820" t="s">
        <v>1979</v>
      </c>
      <c r="M820" t="s">
        <v>1000</v>
      </c>
      <c r="N820" t="s">
        <v>1027</v>
      </c>
      <c r="O820" t="s">
        <v>446</v>
      </c>
      <c r="P820" t="s">
        <v>1025</v>
      </c>
      <c r="Q820" t="b">
        <v>1</v>
      </c>
      <c r="R820" t="b">
        <v>0</v>
      </c>
      <c r="S820" t="s">
        <v>1950</v>
      </c>
      <c r="T820" t="s">
        <v>446</v>
      </c>
      <c r="U820" t="s">
        <v>1951</v>
      </c>
      <c r="V820" t="s">
        <v>1093</v>
      </c>
      <c r="W820" t="s">
        <v>1952</v>
      </c>
      <c r="X820" t="s">
        <v>2242</v>
      </c>
      <c r="Y820" t="s">
        <v>2243</v>
      </c>
      <c r="Z820" t="s">
        <v>446</v>
      </c>
      <c r="AA820" t="s">
        <v>335</v>
      </c>
      <c r="AB820" t="s">
        <v>446</v>
      </c>
      <c r="AC820" t="b">
        <v>0</v>
      </c>
      <c r="AD820" t="b">
        <v>1</v>
      </c>
    </row>
    <row r="821" spans="1:30" x14ac:dyDescent="0.25">
      <c r="A821" t="s">
        <v>42</v>
      </c>
      <c r="B821" t="s">
        <v>1445</v>
      </c>
      <c r="C821" t="s">
        <v>335</v>
      </c>
      <c r="D821" t="s">
        <v>323</v>
      </c>
      <c r="E821" t="s">
        <v>1029</v>
      </c>
      <c r="F821">
        <v>10431</v>
      </c>
      <c r="G821" t="s">
        <v>2012</v>
      </c>
      <c r="H821" t="s">
        <v>2251</v>
      </c>
      <c r="I821" t="s">
        <v>2241</v>
      </c>
      <c r="J821" t="s">
        <v>1089</v>
      </c>
      <c r="K821" t="s">
        <v>1033</v>
      </c>
      <c r="L821" t="s">
        <v>1982</v>
      </c>
      <c r="M821" t="s">
        <v>980</v>
      </c>
      <c r="N821" t="s">
        <v>1034</v>
      </c>
      <c r="O821" t="s">
        <v>446</v>
      </c>
      <c r="P821" t="s">
        <v>1031</v>
      </c>
      <c r="Q821" t="b">
        <v>1</v>
      </c>
      <c r="R821" t="b">
        <v>0</v>
      </c>
      <c r="S821" t="s">
        <v>1950</v>
      </c>
      <c r="T821" t="s">
        <v>446</v>
      </c>
      <c r="U821" t="s">
        <v>1951</v>
      </c>
      <c r="V821" t="s">
        <v>1093</v>
      </c>
      <c r="W821" t="s">
        <v>1952</v>
      </c>
      <c r="X821" t="s">
        <v>2242</v>
      </c>
      <c r="Y821" t="s">
        <v>2243</v>
      </c>
      <c r="Z821" t="s">
        <v>446</v>
      </c>
      <c r="AA821" t="s">
        <v>335</v>
      </c>
      <c r="AB821" t="s">
        <v>446</v>
      </c>
      <c r="AC821" t="b">
        <v>0</v>
      </c>
      <c r="AD821" t="b">
        <v>1</v>
      </c>
    </row>
    <row r="822" spans="1:30" x14ac:dyDescent="0.25">
      <c r="A822" t="s">
        <v>42</v>
      </c>
      <c r="B822" t="s">
        <v>1447</v>
      </c>
      <c r="C822" t="s">
        <v>335</v>
      </c>
      <c r="D822" t="s">
        <v>323</v>
      </c>
      <c r="E822" t="s">
        <v>1035</v>
      </c>
      <c r="F822">
        <v>10784</v>
      </c>
      <c r="G822" t="s">
        <v>2012</v>
      </c>
      <c r="H822" t="s">
        <v>2252</v>
      </c>
      <c r="I822" t="s">
        <v>2241</v>
      </c>
      <c r="J822" t="s">
        <v>1089</v>
      </c>
      <c r="K822" t="s">
        <v>1038</v>
      </c>
      <c r="L822" t="s">
        <v>1985</v>
      </c>
      <c r="M822" t="s">
        <v>980</v>
      </c>
      <c r="N822" t="s">
        <v>1039</v>
      </c>
      <c r="O822" t="s">
        <v>446</v>
      </c>
      <c r="P822" t="s">
        <v>1037</v>
      </c>
      <c r="Q822" t="b">
        <v>1</v>
      </c>
      <c r="R822" t="b">
        <v>0</v>
      </c>
      <c r="S822" t="s">
        <v>1950</v>
      </c>
      <c r="T822" t="s">
        <v>446</v>
      </c>
      <c r="U822" t="s">
        <v>1951</v>
      </c>
      <c r="V822" t="s">
        <v>1093</v>
      </c>
      <c r="W822" t="s">
        <v>1952</v>
      </c>
      <c r="X822" t="s">
        <v>2242</v>
      </c>
      <c r="Y822" t="s">
        <v>2243</v>
      </c>
      <c r="Z822" t="s">
        <v>446</v>
      </c>
      <c r="AA822" t="s">
        <v>335</v>
      </c>
      <c r="AB822" t="s">
        <v>446</v>
      </c>
      <c r="AC822" t="b">
        <v>0</v>
      </c>
      <c r="AD822" t="b">
        <v>1</v>
      </c>
    </row>
    <row r="823" spans="1:30" x14ac:dyDescent="0.25">
      <c r="A823" t="s">
        <v>42</v>
      </c>
      <c r="B823" t="s">
        <v>1449</v>
      </c>
      <c r="C823" t="s">
        <v>335</v>
      </c>
      <c r="D823" t="s">
        <v>323</v>
      </c>
      <c r="E823" t="s">
        <v>1040</v>
      </c>
      <c r="F823">
        <v>10902</v>
      </c>
      <c r="G823" t="s">
        <v>2012</v>
      </c>
      <c r="H823" t="s">
        <v>2253</v>
      </c>
      <c r="I823" t="s">
        <v>2241</v>
      </c>
      <c r="J823" t="s">
        <v>1089</v>
      </c>
      <c r="K823" t="s">
        <v>1043</v>
      </c>
      <c r="L823" t="s">
        <v>1988</v>
      </c>
      <c r="M823" t="s">
        <v>980</v>
      </c>
      <c r="N823" t="s">
        <v>1044</v>
      </c>
      <c r="O823" t="s">
        <v>446</v>
      </c>
      <c r="P823" t="s">
        <v>1042</v>
      </c>
      <c r="Q823" t="b">
        <v>1</v>
      </c>
      <c r="R823" t="b">
        <v>0</v>
      </c>
      <c r="S823" t="s">
        <v>1950</v>
      </c>
      <c r="T823" t="s">
        <v>446</v>
      </c>
      <c r="U823" t="s">
        <v>1951</v>
      </c>
      <c r="V823" t="s">
        <v>1093</v>
      </c>
      <c r="W823" t="s">
        <v>1952</v>
      </c>
      <c r="X823" t="s">
        <v>2242</v>
      </c>
      <c r="Y823" t="s">
        <v>2243</v>
      </c>
      <c r="Z823" t="s">
        <v>446</v>
      </c>
      <c r="AA823" t="s">
        <v>335</v>
      </c>
      <c r="AB823" t="s">
        <v>446</v>
      </c>
      <c r="AC823" t="b">
        <v>0</v>
      </c>
      <c r="AD823" t="b">
        <v>1</v>
      </c>
    </row>
    <row r="824" spans="1:30" x14ac:dyDescent="0.25">
      <c r="A824" t="s">
        <v>42</v>
      </c>
      <c r="B824" t="s">
        <v>1451</v>
      </c>
      <c r="C824" t="s">
        <v>335</v>
      </c>
      <c r="D824" t="s">
        <v>323</v>
      </c>
      <c r="E824" t="s">
        <v>1045</v>
      </c>
      <c r="F824">
        <v>9613</v>
      </c>
      <c r="G824" t="s">
        <v>2012</v>
      </c>
      <c r="H824" t="s">
        <v>2254</v>
      </c>
      <c r="I824" t="s">
        <v>2241</v>
      </c>
      <c r="J824" t="s">
        <v>1089</v>
      </c>
      <c r="K824" t="s">
        <v>1048</v>
      </c>
      <c r="L824" t="s">
        <v>1991</v>
      </c>
      <c r="M824" t="s">
        <v>1000</v>
      </c>
      <c r="N824" t="s">
        <v>1049</v>
      </c>
      <c r="O824" t="s">
        <v>446</v>
      </c>
      <c r="P824" t="s">
        <v>1047</v>
      </c>
      <c r="Q824" t="b">
        <v>1</v>
      </c>
      <c r="R824" t="b">
        <v>0</v>
      </c>
      <c r="S824" t="s">
        <v>1950</v>
      </c>
      <c r="T824" t="s">
        <v>446</v>
      </c>
      <c r="U824" t="s">
        <v>1951</v>
      </c>
      <c r="V824" t="s">
        <v>1093</v>
      </c>
      <c r="W824" t="s">
        <v>1952</v>
      </c>
      <c r="X824" t="s">
        <v>2242</v>
      </c>
      <c r="Y824" t="s">
        <v>2243</v>
      </c>
      <c r="Z824" t="s">
        <v>446</v>
      </c>
      <c r="AA824" t="s">
        <v>335</v>
      </c>
      <c r="AB824" t="s">
        <v>446</v>
      </c>
      <c r="AC824" t="b">
        <v>0</v>
      </c>
      <c r="AD824" t="b">
        <v>1</v>
      </c>
    </row>
    <row r="825" spans="1:30" x14ac:dyDescent="0.25">
      <c r="A825" t="s">
        <v>42</v>
      </c>
      <c r="B825" t="s">
        <v>1453</v>
      </c>
      <c r="C825" t="s">
        <v>335</v>
      </c>
      <c r="D825" t="s">
        <v>323</v>
      </c>
      <c r="E825" t="s">
        <v>1051</v>
      </c>
      <c r="F825">
        <v>9522</v>
      </c>
      <c r="G825" t="s">
        <v>2012</v>
      </c>
      <c r="H825" t="s">
        <v>2255</v>
      </c>
      <c r="I825" t="s">
        <v>2241</v>
      </c>
      <c r="J825" t="s">
        <v>1089</v>
      </c>
      <c r="K825" t="s">
        <v>1055</v>
      </c>
      <c r="L825" t="s">
        <v>1993</v>
      </c>
      <c r="M825" t="s">
        <v>980</v>
      </c>
      <c r="N825" t="s">
        <v>1056</v>
      </c>
      <c r="O825" t="s">
        <v>446</v>
      </c>
      <c r="P825" t="s">
        <v>1053</v>
      </c>
      <c r="Q825" t="b">
        <v>1</v>
      </c>
      <c r="R825" t="b">
        <v>0</v>
      </c>
      <c r="S825" t="s">
        <v>1950</v>
      </c>
      <c r="T825" t="s">
        <v>446</v>
      </c>
      <c r="U825" t="s">
        <v>1951</v>
      </c>
      <c r="V825" t="s">
        <v>1093</v>
      </c>
      <c r="W825" t="s">
        <v>1952</v>
      </c>
      <c r="X825" t="s">
        <v>2242</v>
      </c>
      <c r="Y825" t="s">
        <v>2243</v>
      </c>
      <c r="Z825" t="s">
        <v>446</v>
      </c>
      <c r="AA825" t="s">
        <v>335</v>
      </c>
      <c r="AB825" t="s">
        <v>446</v>
      </c>
      <c r="AC825" t="b">
        <v>0</v>
      </c>
      <c r="AD825" t="b">
        <v>1</v>
      </c>
    </row>
    <row r="826" spans="1:30" x14ac:dyDescent="0.25">
      <c r="A826" t="s">
        <v>42</v>
      </c>
      <c r="B826" t="s">
        <v>1455</v>
      </c>
      <c r="C826" t="s">
        <v>336</v>
      </c>
      <c r="D826" t="s">
        <v>323</v>
      </c>
      <c r="E826" t="s">
        <v>978</v>
      </c>
      <c r="F826">
        <v>0</v>
      </c>
      <c r="G826" t="s">
        <v>2012</v>
      </c>
      <c r="H826" t="s">
        <v>2256</v>
      </c>
      <c r="I826" t="s">
        <v>2257</v>
      </c>
      <c r="J826" t="s">
        <v>1089</v>
      </c>
      <c r="K826" t="s">
        <v>446</v>
      </c>
      <c r="L826" t="s">
        <v>446</v>
      </c>
      <c r="M826" t="s">
        <v>446</v>
      </c>
      <c r="N826" t="s">
        <v>446</v>
      </c>
      <c r="O826" t="s">
        <v>446</v>
      </c>
      <c r="P826" t="s">
        <v>446</v>
      </c>
      <c r="Q826" t="b">
        <v>1</v>
      </c>
      <c r="R826" t="b">
        <v>0</v>
      </c>
      <c r="S826" t="s">
        <v>1950</v>
      </c>
      <c r="T826" t="s">
        <v>446</v>
      </c>
      <c r="U826" t="s">
        <v>1951</v>
      </c>
      <c r="V826" t="s">
        <v>1980</v>
      </c>
      <c r="W826" t="s">
        <v>2015</v>
      </c>
      <c r="X826" t="s">
        <v>446</v>
      </c>
      <c r="Y826" t="s">
        <v>446</v>
      </c>
      <c r="Z826" t="s">
        <v>446</v>
      </c>
      <c r="AA826" t="s">
        <v>336</v>
      </c>
      <c r="AB826" t="s">
        <v>446</v>
      </c>
      <c r="AC826" t="b">
        <v>0</v>
      </c>
      <c r="AD826" t="b">
        <v>1</v>
      </c>
    </row>
    <row r="827" spans="1:30" x14ac:dyDescent="0.25">
      <c r="A827" t="s">
        <v>42</v>
      </c>
      <c r="B827" t="s">
        <v>1456</v>
      </c>
      <c r="C827" t="s">
        <v>336</v>
      </c>
      <c r="D827" t="s">
        <v>323</v>
      </c>
      <c r="E827" t="s">
        <v>986</v>
      </c>
      <c r="F827">
        <v>0</v>
      </c>
      <c r="G827" t="s">
        <v>2012</v>
      </c>
      <c r="H827" t="s">
        <v>2256</v>
      </c>
      <c r="I827" t="s">
        <v>2257</v>
      </c>
      <c r="J827" t="s">
        <v>1089</v>
      </c>
      <c r="K827" t="s">
        <v>446</v>
      </c>
      <c r="L827" t="s">
        <v>446</v>
      </c>
      <c r="M827" t="s">
        <v>446</v>
      </c>
      <c r="N827" t="s">
        <v>446</v>
      </c>
      <c r="O827" t="s">
        <v>446</v>
      </c>
      <c r="P827" t="s">
        <v>446</v>
      </c>
      <c r="Q827" t="b">
        <v>1</v>
      </c>
      <c r="R827" t="b">
        <v>0</v>
      </c>
      <c r="S827" t="s">
        <v>1950</v>
      </c>
      <c r="T827" t="s">
        <v>446</v>
      </c>
      <c r="U827" t="s">
        <v>1951</v>
      </c>
      <c r="V827" t="s">
        <v>1980</v>
      </c>
      <c r="W827" t="s">
        <v>2015</v>
      </c>
      <c r="X827" t="s">
        <v>446</v>
      </c>
      <c r="Y827" t="s">
        <v>446</v>
      </c>
      <c r="Z827" t="s">
        <v>446</v>
      </c>
      <c r="AA827" t="s">
        <v>336</v>
      </c>
      <c r="AB827" t="s">
        <v>446</v>
      </c>
      <c r="AC827" t="b">
        <v>0</v>
      </c>
      <c r="AD827" t="b">
        <v>1</v>
      </c>
    </row>
    <row r="828" spans="1:30" x14ac:dyDescent="0.25">
      <c r="A828" t="s">
        <v>42</v>
      </c>
      <c r="B828" t="s">
        <v>1457</v>
      </c>
      <c r="C828" t="s">
        <v>336</v>
      </c>
      <c r="D828" t="s">
        <v>323</v>
      </c>
      <c r="E828" t="s">
        <v>992</v>
      </c>
      <c r="F828">
        <v>0</v>
      </c>
      <c r="G828" t="s">
        <v>2012</v>
      </c>
      <c r="H828" t="s">
        <v>2256</v>
      </c>
      <c r="I828" t="s">
        <v>2257</v>
      </c>
      <c r="J828" t="s">
        <v>1089</v>
      </c>
      <c r="K828" t="s">
        <v>446</v>
      </c>
      <c r="L828" t="s">
        <v>446</v>
      </c>
      <c r="M828" t="s">
        <v>446</v>
      </c>
      <c r="N828" t="s">
        <v>446</v>
      </c>
      <c r="O828" t="s">
        <v>446</v>
      </c>
      <c r="P828" t="s">
        <v>446</v>
      </c>
      <c r="Q828" t="b">
        <v>1</v>
      </c>
      <c r="R828" t="b">
        <v>0</v>
      </c>
      <c r="S828" t="s">
        <v>1950</v>
      </c>
      <c r="T828" t="s">
        <v>446</v>
      </c>
      <c r="U828" t="s">
        <v>1951</v>
      </c>
      <c r="V828" t="s">
        <v>1980</v>
      </c>
      <c r="W828" t="s">
        <v>2015</v>
      </c>
      <c r="X828" t="s">
        <v>446</v>
      </c>
      <c r="Y828" t="s">
        <v>446</v>
      </c>
      <c r="Z828" t="s">
        <v>446</v>
      </c>
      <c r="AA828" t="s">
        <v>336</v>
      </c>
      <c r="AB828" t="s">
        <v>446</v>
      </c>
      <c r="AC828" t="b">
        <v>0</v>
      </c>
      <c r="AD828" t="b">
        <v>1</v>
      </c>
    </row>
    <row r="829" spans="1:30" x14ac:dyDescent="0.25">
      <c r="A829" t="s">
        <v>42</v>
      </c>
      <c r="B829" t="s">
        <v>1458</v>
      </c>
      <c r="C829" t="s">
        <v>336</v>
      </c>
      <c r="D829" t="s">
        <v>323</v>
      </c>
      <c r="E829" t="s">
        <v>998</v>
      </c>
      <c r="F829">
        <v>355</v>
      </c>
      <c r="G829" t="s">
        <v>2012</v>
      </c>
      <c r="H829" t="s">
        <v>2258</v>
      </c>
      <c r="I829" t="s">
        <v>2259</v>
      </c>
      <c r="J829" t="s">
        <v>1089</v>
      </c>
      <c r="K829" t="s">
        <v>1003</v>
      </c>
      <c r="L829" t="s">
        <v>2031</v>
      </c>
      <c r="M829" t="s">
        <v>1000</v>
      </c>
      <c r="N829" t="s">
        <v>1004</v>
      </c>
      <c r="O829" t="s">
        <v>446</v>
      </c>
      <c r="P829" t="s">
        <v>1001</v>
      </c>
      <c r="Q829" t="b">
        <v>1</v>
      </c>
      <c r="R829" t="b">
        <v>0</v>
      </c>
      <c r="S829" t="s">
        <v>1950</v>
      </c>
      <c r="T829" t="s">
        <v>446</v>
      </c>
      <c r="U829" t="s">
        <v>1951</v>
      </c>
      <c r="V829" t="s">
        <v>1093</v>
      </c>
      <c r="W829" t="s">
        <v>1952</v>
      </c>
      <c r="X829" t="s">
        <v>2260</v>
      </c>
      <c r="Y829" t="s">
        <v>2261</v>
      </c>
      <c r="Z829" t="s">
        <v>446</v>
      </c>
      <c r="AA829" t="s">
        <v>336</v>
      </c>
      <c r="AB829" t="s">
        <v>446</v>
      </c>
      <c r="AC829" t="b">
        <v>0</v>
      </c>
      <c r="AD829" t="b">
        <v>1</v>
      </c>
    </row>
    <row r="830" spans="1:30" x14ac:dyDescent="0.25">
      <c r="A830" t="s">
        <v>42</v>
      </c>
      <c r="B830" t="s">
        <v>1459</v>
      </c>
      <c r="C830" t="s">
        <v>336</v>
      </c>
      <c r="D830" t="s">
        <v>323</v>
      </c>
      <c r="E830" t="s">
        <v>1006</v>
      </c>
      <c r="F830">
        <v>0</v>
      </c>
      <c r="G830" t="s">
        <v>2012</v>
      </c>
      <c r="H830" t="s">
        <v>2256</v>
      </c>
      <c r="I830" t="s">
        <v>2257</v>
      </c>
      <c r="J830" t="s">
        <v>1089</v>
      </c>
      <c r="K830" t="s">
        <v>446</v>
      </c>
      <c r="L830" t="s">
        <v>446</v>
      </c>
      <c r="M830" t="s">
        <v>446</v>
      </c>
      <c r="N830" t="s">
        <v>446</v>
      </c>
      <c r="O830" t="s">
        <v>446</v>
      </c>
      <c r="P830" t="s">
        <v>446</v>
      </c>
      <c r="Q830" t="b">
        <v>1</v>
      </c>
      <c r="R830" t="b">
        <v>0</v>
      </c>
      <c r="S830" t="s">
        <v>1950</v>
      </c>
      <c r="T830" t="s">
        <v>446</v>
      </c>
      <c r="U830" t="s">
        <v>1951</v>
      </c>
      <c r="V830" t="s">
        <v>1980</v>
      </c>
      <c r="W830" t="s">
        <v>2015</v>
      </c>
      <c r="X830" t="s">
        <v>446</v>
      </c>
      <c r="Y830" t="s">
        <v>446</v>
      </c>
      <c r="Z830" t="s">
        <v>446</v>
      </c>
      <c r="AA830" t="s">
        <v>336</v>
      </c>
      <c r="AB830" t="s">
        <v>446</v>
      </c>
      <c r="AC830" t="b">
        <v>0</v>
      </c>
      <c r="AD830" t="b">
        <v>1</v>
      </c>
    </row>
    <row r="831" spans="1:30" x14ac:dyDescent="0.25">
      <c r="A831" t="s">
        <v>42</v>
      </c>
      <c r="B831" t="s">
        <v>1460</v>
      </c>
      <c r="C831" t="s">
        <v>336</v>
      </c>
      <c r="D831" t="s">
        <v>323</v>
      </c>
      <c r="E831" t="s">
        <v>1013</v>
      </c>
      <c r="F831">
        <v>0</v>
      </c>
      <c r="G831" t="s">
        <v>2012</v>
      </c>
      <c r="H831" t="s">
        <v>2256</v>
      </c>
      <c r="I831" t="s">
        <v>2257</v>
      </c>
      <c r="J831" t="s">
        <v>1089</v>
      </c>
      <c r="K831" t="s">
        <v>446</v>
      </c>
      <c r="L831" t="s">
        <v>446</v>
      </c>
      <c r="M831" t="s">
        <v>446</v>
      </c>
      <c r="N831" t="s">
        <v>446</v>
      </c>
      <c r="O831" t="s">
        <v>446</v>
      </c>
      <c r="P831" t="s">
        <v>446</v>
      </c>
      <c r="Q831" t="b">
        <v>1</v>
      </c>
      <c r="R831" t="b">
        <v>0</v>
      </c>
      <c r="S831" t="s">
        <v>1950</v>
      </c>
      <c r="T831" t="s">
        <v>446</v>
      </c>
      <c r="U831" t="s">
        <v>1951</v>
      </c>
      <c r="V831" t="s">
        <v>1980</v>
      </c>
      <c r="W831" t="s">
        <v>2015</v>
      </c>
      <c r="X831" t="s">
        <v>446</v>
      </c>
      <c r="Y831" t="s">
        <v>446</v>
      </c>
      <c r="Z831" t="s">
        <v>446</v>
      </c>
      <c r="AA831" t="s">
        <v>336</v>
      </c>
      <c r="AB831" t="s">
        <v>446</v>
      </c>
      <c r="AC831" t="b">
        <v>0</v>
      </c>
      <c r="AD831" t="b">
        <v>1</v>
      </c>
    </row>
    <row r="832" spans="1:30" x14ac:dyDescent="0.25">
      <c r="A832" t="s">
        <v>42</v>
      </c>
      <c r="B832" t="s">
        <v>1461</v>
      </c>
      <c r="C832" t="s">
        <v>336</v>
      </c>
      <c r="D832" t="s">
        <v>323</v>
      </c>
      <c r="E832" t="s">
        <v>1018</v>
      </c>
      <c r="F832">
        <v>0</v>
      </c>
      <c r="G832" t="s">
        <v>2012</v>
      </c>
      <c r="H832" t="s">
        <v>2256</v>
      </c>
      <c r="I832" t="s">
        <v>2257</v>
      </c>
      <c r="J832" t="s">
        <v>1089</v>
      </c>
      <c r="K832" t="s">
        <v>446</v>
      </c>
      <c r="L832" t="s">
        <v>446</v>
      </c>
      <c r="M832" t="s">
        <v>446</v>
      </c>
      <c r="N832" t="s">
        <v>446</v>
      </c>
      <c r="O832" t="s">
        <v>446</v>
      </c>
      <c r="P832" t="s">
        <v>446</v>
      </c>
      <c r="Q832" t="b">
        <v>1</v>
      </c>
      <c r="R832" t="b">
        <v>0</v>
      </c>
      <c r="S832" t="s">
        <v>1950</v>
      </c>
      <c r="T832" t="s">
        <v>446</v>
      </c>
      <c r="U832" t="s">
        <v>1951</v>
      </c>
      <c r="V832" t="s">
        <v>1980</v>
      </c>
      <c r="W832" t="s">
        <v>2015</v>
      </c>
      <c r="X832" t="s">
        <v>446</v>
      </c>
      <c r="Y832" t="s">
        <v>446</v>
      </c>
      <c r="Z832" t="s">
        <v>446</v>
      </c>
      <c r="AA832" t="s">
        <v>336</v>
      </c>
      <c r="AB832" t="s">
        <v>446</v>
      </c>
      <c r="AC832" t="b">
        <v>0</v>
      </c>
      <c r="AD832" t="b">
        <v>1</v>
      </c>
    </row>
    <row r="833" spans="1:30" x14ac:dyDescent="0.25">
      <c r="A833" t="s">
        <v>42</v>
      </c>
      <c r="B833" t="s">
        <v>1462</v>
      </c>
      <c r="C833" t="s">
        <v>336</v>
      </c>
      <c r="D833" t="s">
        <v>323</v>
      </c>
      <c r="E833" t="s">
        <v>1023</v>
      </c>
      <c r="F833">
        <v>0</v>
      </c>
      <c r="G833" t="s">
        <v>2012</v>
      </c>
      <c r="H833" t="s">
        <v>2256</v>
      </c>
      <c r="I833" t="s">
        <v>2257</v>
      </c>
      <c r="J833" t="s">
        <v>1089</v>
      </c>
      <c r="K833" t="s">
        <v>446</v>
      </c>
      <c r="L833" t="s">
        <v>446</v>
      </c>
      <c r="M833" t="s">
        <v>446</v>
      </c>
      <c r="N833" t="s">
        <v>446</v>
      </c>
      <c r="O833" t="s">
        <v>446</v>
      </c>
      <c r="P833" t="s">
        <v>446</v>
      </c>
      <c r="Q833" t="b">
        <v>1</v>
      </c>
      <c r="R833" t="b">
        <v>0</v>
      </c>
      <c r="S833" t="s">
        <v>1950</v>
      </c>
      <c r="T833" t="s">
        <v>446</v>
      </c>
      <c r="U833" t="s">
        <v>1951</v>
      </c>
      <c r="V833" t="s">
        <v>1980</v>
      </c>
      <c r="W833" t="s">
        <v>2015</v>
      </c>
      <c r="X833" t="s">
        <v>446</v>
      </c>
      <c r="Y833" t="s">
        <v>446</v>
      </c>
      <c r="Z833" t="s">
        <v>446</v>
      </c>
      <c r="AA833" t="s">
        <v>336</v>
      </c>
      <c r="AB833" t="s">
        <v>446</v>
      </c>
      <c r="AC833" t="b">
        <v>0</v>
      </c>
      <c r="AD833" t="b">
        <v>1</v>
      </c>
    </row>
    <row r="834" spans="1:30" x14ac:dyDescent="0.25">
      <c r="A834" t="s">
        <v>42</v>
      </c>
      <c r="B834" t="s">
        <v>1463</v>
      </c>
      <c r="C834" t="s">
        <v>336</v>
      </c>
      <c r="D834" t="s">
        <v>323</v>
      </c>
      <c r="E834" t="s">
        <v>1029</v>
      </c>
      <c r="F834">
        <v>0</v>
      </c>
      <c r="G834" t="s">
        <v>2012</v>
      </c>
      <c r="H834" t="s">
        <v>2256</v>
      </c>
      <c r="I834" t="s">
        <v>2257</v>
      </c>
      <c r="J834" t="s">
        <v>1089</v>
      </c>
      <c r="K834" t="s">
        <v>446</v>
      </c>
      <c r="L834" t="s">
        <v>446</v>
      </c>
      <c r="M834" t="s">
        <v>446</v>
      </c>
      <c r="N834" t="s">
        <v>446</v>
      </c>
      <c r="O834" t="s">
        <v>446</v>
      </c>
      <c r="P834" t="s">
        <v>446</v>
      </c>
      <c r="Q834" t="b">
        <v>1</v>
      </c>
      <c r="R834" t="b">
        <v>0</v>
      </c>
      <c r="S834" t="s">
        <v>1950</v>
      </c>
      <c r="T834" t="s">
        <v>446</v>
      </c>
      <c r="U834" t="s">
        <v>1951</v>
      </c>
      <c r="V834" t="s">
        <v>1980</v>
      </c>
      <c r="W834" t="s">
        <v>2015</v>
      </c>
      <c r="X834" t="s">
        <v>446</v>
      </c>
      <c r="Y834" t="s">
        <v>446</v>
      </c>
      <c r="Z834" t="s">
        <v>446</v>
      </c>
      <c r="AA834" t="s">
        <v>336</v>
      </c>
      <c r="AB834" t="s">
        <v>446</v>
      </c>
      <c r="AC834" t="b">
        <v>0</v>
      </c>
      <c r="AD834" t="b">
        <v>1</v>
      </c>
    </row>
    <row r="835" spans="1:30" x14ac:dyDescent="0.25">
      <c r="A835" t="s">
        <v>42</v>
      </c>
      <c r="B835" t="s">
        <v>1464</v>
      </c>
      <c r="C835" t="s">
        <v>336</v>
      </c>
      <c r="D835" t="s">
        <v>323</v>
      </c>
      <c r="E835" t="s">
        <v>1035</v>
      </c>
      <c r="F835">
        <v>0</v>
      </c>
      <c r="G835" t="s">
        <v>2012</v>
      </c>
      <c r="H835" t="s">
        <v>2256</v>
      </c>
      <c r="I835" t="s">
        <v>2257</v>
      </c>
      <c r="J835" t="s">
        <v>1089</v>
      </c>
      <c r="K835" t="s">
        <v>446</v>
      </c>
      <c r="L835" t="s">
        <v>446</v>
      </c>
      <c r="M835" t="s">
        <v>446</v>
      </c>
      <c r="N835" t="s">
        <v>446</v>
      </c>
      <c r="O835" t="s">
        <v>446</v>
      </c>
      <c r="P835" t="s">
        <v>446</v>
      </c>
      <c r="Q835" t="b">
        <v>1</v>
      </c>
      <c r="R835" t="b">
        <v>0</v>
      </c>
      <c r="S835" t="s">
        <v>1950</v>
      </c>
      <c r="T835" t="s">
        <v>446</v>
      </c>
      <c r="U835" t="s">
        <v>1951</v>
      </c>
      <c r="V835" t="s">
        <v>1980</v>
      </c>
      <c r="W835" t="s">
        <v>2015</v>
      </c>
      <c r="X835" t="s">
        <v>446</v>
      </c>
      <c r="Y835" t="s">
        <v>446</v>
      </c>
      <c r="Z835" t="s">
        <v>446</v>
      </c>
      <c r="AA835" t="s">
        <v>336</v>
      </c>
      <c r="AB835" t="s">
        <v>446</v>
      </c>
      <c r="AC835" t="b">
        <v>0</v>
      </c>
      <c r="AD835" t="b">
        <v>1</v>
      </c>
    </row>
    <row r="836" spans="1:30" x14ac:dyDescent="0.25">
      <c r="A836" t="s">
        <v>42</v>
      </c>
      <c r="B836" t="s">
        <v>1465</v>
      </c>
      <c r="C836" t="s">
        <v>336</v>
      </c>
      <c r="D836" t="s">
        <v>323</v>
      </c>
      <c r="E836" t="s">
        <v>1040</v>
      </c>
      <c r="F836">
        <v>0</v>
      </c>
      <c r="G836" t="s">
        <v>2012</v>
      </c>
      <c r="H836" t="s">
        <v>2256</v>
      </c>
      <c r="I836" t="s">
        <v>2257</v>
      </c>
      <c r="J836" t="s">
        <v>1089</v>
      </c>
      <c r="K836" t="s">
        <v>446</v>
      </c>
      <c r="L836" t="s">
        <v>446</v>
      </c>
      <c r="M836" t="s">
        <v>446</v>
      </c>
      <c r="N836" t="s">
        <v>446</v>
      </c>
      <c r="O836" t="s">
        <v>446</v>
      </c>
      <c r="P836" t="s">
        <v>446</v>
      </c>
      <c r="Q836" t="b">
        <v>1</v>
      </c>
      <c r="R836" t="b">
        <v>0</v>
      </c>
      <c r="S836" t="s">
        <v>1950</v>
      </c>
      <c r="T836" t="s">
        <v>446</v>
      </c>
      <c r="U836" t="s">
        <v>1951</v>
      </c>
      <c r="V836" t="s">
        <v>1980</v>
      </c>
      <c r="W836" t="s">
        <v>2015</v>
      </c>
      <c r="X836" t="s">
        <v>446</v>
      </c>
      <c r="Y836" t="s">
        <v>446</v>
      </c>
      <c r="Z836" t="s">
        <v>446</v>
      </c>
      <c r="AA836" t="s">
        <v>336</v>
      </c>
      <c r="AB836" t="s">
        <v>446</v>
      </c>
      <c r="AC836" t="b">
        <v>0</v>
      </c>
      <c r="AD836" t="b">
        <v>1</v>
      </c>
    </row>
    <row r="837" spans="1:30" x14ac:dyDescent="0.25">
      <c r="A837" t="s">
        <v>42</v>
      </c>
      <c r="B837" t="s">
        <v>1466</v>
      </c>
      <c r="C837" t="s">
        <v>336</v>
      </c>
      <c r="D837" t="s">
        <v>323</v>
      </c>
      <c r="E837" t="s">
        <v>1045</v>
      </c>
      <c r="F837">
        <v>0</v>
      </c>
      <c r="G837" t="s">
        <v>2012</v>
      </c>
      <c r="H837" t="s">
        <v>2256</v>
      </c>
      <c r="I837" t="s">
        <v>2257</v>
      </c>
      <c r="J837" t="s">
        <v>1089</v>
      </c>
      <c r="K837" t="s">
        <v>446</v>
      </c>
      <c r="L837" t="s">
        <v>446</v>
      </c>
      <c r="M837" t="s">
        <v>446</v>
      </c>
      <c r="N837" t="s">
        <v>446</v>
      </c>
      <c r="O837" t="s">
        <v>446</v>
      </c>
      <c r="P837" t="s">
        <v>446</v>
      </c>
      <c r="Q837" t="b">
        <v>1</v>
      </c>
      <c r="R837" t="b">
        <v>0</v>
      </c>
      <c r="S837" t="s">
        <v>1950</v>
      </c>
      <c r="T837" t="s">
        <v>446</v>
      </c>
      <c r="U837" t="s">
        <v>1951</v>
      </c>
      <c r="V837" t="s">
        <v>1980</v>
      </c>
      <c r="W837" t="s">
        <v>2015</v>
      </c>
      <c r="X837" t="s">
        <v>446</v>
      </c>
      <c r="Y837" t="s">
        <v>446</v>
      </c>
      <c r="Z837" t="s">
        <v>446</v>
      </c>
      <c r="AA837" t="s">
        <v>336</v>
      </c>
      <c r="AB837" t="s">
        <v>446</v>
      </c>
      <c r="AC837" t="b">
        <v>0</v>
      </c>
      <c r="AD837" t="b">
        <v>1</v>
      </c>
    </row>
    <row r="838" spans="1:30" x14ac:dyDescent="0.25">
      <c r="A838" t="s">
        <v>42</v>
      </c>
      <c r="B838" t="s">
        <v>1467</v>
      </c>
      <c r="C838" t="s">
        <v>336</v>
      </c>
      <c r="D838" t="s">
        <v>323</v>
      </c>
      <c r="E838" t="s">
        <v>1051</v>
      </c>
      <c r="F838">
        <v>0</v>
      </c>
      <c r="G838" t="s">
        <v>2012</v>
      </c>
      <c r="H838" t="s">
        <v>2256</v>
      </c>
      <c r="I838" t="s">
        <v>2257</v>
      </c>
      <c r="J838" t="s">
        <v>1089</v>
      </c>
      <c r="K838" t="s">
        <v>446</v>
      </c>
      <c r="L838" t="s">
        <v>446</v>
      </c>
      <c r="M838" t="s">
        <v>446</v>
      </c>
      <c r="N838" t="s">
        <v>446</v>
      </c>
      <c r="O838" t="s">
        <v>446</v>
      </c>
      <c r="P838" t="s">
        <v>446</v>
      </c>
      <c r="Q838" t="b">
        <v>1</v>
      </c>
      <c r="R838" t="b">
        <v>0</v>
      </c>
      <c r="S838" t="s">
        <v>1950</v>
      </c>
      <c r="T838" t="s">
        <v>446</v>
      </c>
      <c r="U838" t="s">
        <v>1951</v>
      </c>
      <c r="V838" t="s">
        <v>1980</v>
      </c>
      <c r="W838" t="s">
        <v>2015</v>
      </c>
      <c r="X838" t="s">
        <v>446</v>
      </c>
      <c r="Y838" t="s">
        <v>446</v>
      </c>
      <c r="Z838" t="s">
        <v>446</v>
      </c>
      <c r="AA838" t="s">
        <v>336</v>
      </c>
      <c r="AB838" t="s">
        <v>446</v>
      </c>
      <c r="AC838" t="b">
        <v>0</v>
      </c>
      <c r="AD838" t="b">
        <v>1</v>
      </c>
    </row>
    <row r="839" spans="1:30" x14ac:dyDescent="0.25">
      <c r="A839" t="s">
        <v>42</v>
      </c>
      <c r="B839" t="s">
        <v>1468</v>
      </c>
      <c r="C839" t="s">
        <v>337</v>
      </c>
      <c r="D839" t="s">
        <v>323</v>
      </c>
      <c r="E839" t="s">
        <v>978</v>
      </c>
      <c r="F839">
        <v>18678</v>
      </c>
      <c r="G839" t="s">
        <v>2012</v>
      </c>
      <c r="H839" t="s">
        <v>2262</v>
      </c>
      <c r="I839" t="s">
        <v>337</v>
      </c>
      <c r="J839" t="s">
        <v>1089</v>
      </c>
      <c r="K839" t="s">
        <v>984</v>
      </c>
      <c r="L839" t="s">
        <v>1948</v>
      </c>
      <c r="M839" t="s">
        <v>980</v>
      </c>
      <c r="N839" t="s">
        <v>985</v>
      </c>
      <c r="O839" t="s">
        <v>446</v>
      </c>
      <c r="P839" t="s">
        <v>981</v>
      </c>
      <c r="Q839" t="b">
        <v>1</v>
      </c>
      <c r="R839" t="b">
        <v>0</v>
      </c>
      <c r="S839" t="s">
        <v>1950</v>
      </c>
      <c r="T839" t="s">
        <v>446</v>
      </c>
      <c r="U839" t="s">
        <v>1951</v>
      </c>
      <c r="V839" t="s">
        <v>1093</v>
      </c>
      <c r="W839" t="s">
        <v>1952</v>
      </c>
      <c r="X839" t="s">
        <v>2263</v>
      </c>
      <c r="Y839" t="s">
        <v>337</v>
      </c>
      <c r="Z839" t="s">
        <v>446</v>
      </c>
      <c r="AA839" t="s">
        <v>337</v>
      </c>
      <c r="AB839" t="s">
        <v>446</v>
      </c>
      <c r="AC839" t="b">
        <v>0</v>
      </c>
      <c r="AD839" t="b">
        <v>1</v>
      </c>
    </row>
    <row r="840" spans="1:30" x14ac:dyDescent="0.25">
      <c r="A840" t="s">
        <v>42</v>
      </c>
      <c r="B840" t="s">
        <v>1469</v>
      </c>
      <c r="C840" t="s">
        <v>337</v>
      </c>
      <c r="D840" t="s">
        <v>323</v>
      </c>
      <c r="E840" t="s">
        <v>986</v>
      </c>
      <c r="F840">
        <v>18545</v>
      </c>
      <c r="G840" t="s">
        <v>2012</v>
      </c>
      <c r="H840" t="s">
        <v>2264</v>
      </c>
      <c r="I840" t="s">
        <v>337</v>
      </c>
      <c r="J840" t="s">
        <v>1089</v>
      </c>
      <c r="K840" t="s">
        <v>990</v>
      </c>
      <c r="L840" t="s">
        <v>1955</v>
      </c>
      <c r="M840" t="s">
        <v>980</v>
      </c>
      <c r="N840" t="s">
        <v>991</v>
      </c>
      <c r="O840" t="s">
        <v>446</v>
      </c>
      <c r="P840" t="s">
        <v>988</v>
      </c>
      <c r="Q840" t="b">
        <v>1</v>
      </c>
      <c r="R840" t="b">
        <v>0</v>
      </c>
      <c r="S840" t="s">
        <v>1950</v>
      </c>
      <c r="T840" t="s">
        <v>446</v>
      </c>
      <c r="U840" t="s">
        <v>1951</v>
      </c>
      <c r="V840" t="s">
        <v>1093</v>
      </c>
      <c r="W840" t="s">
        <v>1952</v>
      </c>
      <c r="X840" t="s">
        <v>2263</v>
      </c>
      <c r="Y840" t="s">
        <v>337</v>
      </c>
      <c r="Z840" t="s">
        <v>446</v>
      </c>
      <c r="AA840" t="s">
        <v>337</v>
      </c>
      <c r="AB840" t="s">
        <v>446</v>
      </c>
      <c r="AC840" t="b">
        <v>0</v>
      </c>
      <c r="AD840" t="b">
        <v>1</v>
      </c>
    </row>
    <row r="841" spans="1:30" x14ac:dyDescent="0.25">
      <c r="A841" t="s">
        <v>42</v>
      </c>
      <c r="B841" t="s">
        <v>1471</v>
      </c>
      <c r="C841" t="s">
        <v>337</v>
      </c>
      <c r="D841" t="s">
        <v>323</v>
      </c>
      <c r="E841" t="s">
        <v>992</v>
      </c>
      <c r="F841">
        <v>18144</v>
      </c>
      <c r="G841" t="s">
        <v>2012</v>
      </c>
      <c r="H841" t="s">
        <v>2265</v>
      </c>
      <c r="I841" t="s">
        <v>337</v>
      </c>
      <c r="J841" t="s">
        <v>1089</v>
      </c>
      <c r="K841" t="s">
        <v>996</v>
      </c>
      <c r="L841" t="s">
        <v>1958</v>
      </c>
      <c r="M841" t="s">
        <v>980</v>
      </c>
      <c r="N841" t="s">
        <v>997</v>
      </c>
      <c r="O841" t="s">
        <v>446</v>
      </c>
      <c r="P841" t="s">
        <v>994</v>
      </c>
      <c r="Q841" t="b">
        <v>1</v>
      </c>
      <c r="R841" t="b">
        <v>0</v>
      </c>
      <c r="S841" t="s">
        <v>1950</v>
      </c>
      <c r="T841" t="s">
        <v>446</v>
      </c>
      <c r="U841" t="s">
        <v>1951</v>
      </c>
      <c r="V841" t="s">
        <v>1093</v>
      </c>
      <c r="W841" t="s">
        <v>1952</v>
      </c>
      <c r="X841" t="s">
        <v>2263</v>
      </c>
      <c r="Y841" t="s">
        <v>337</v>
      </c>
      <c r="Z841" t="s">
        <v>446</v>
      </c>
      <c r="AA841" t="s">
        <v>337</v>
      </c>
      <c r="AB841" t="s">
        <v>446</v>
      </c>
      <c r="AC841" t="b">
        <v>0</v>
      </c>
      <c r="AD841" t="b">
        <v>1</v>
      </c>
    </row>
    <row r="842" spans="1:30" x14ac:dyDescent="0.25">
      <c r="A842" t="s">
        <v>42</v>
      </c>
      <c r="B842" t="s">
        <v>1473</v>
      </c>
      <c r="C842" t="s">
        <v>337</v>
      </c>
      <c r="D842" t="s">
        <v>323</v>
      </c>
      <c r="E842" t="s">
        <v>998</v>
      </c>
      <c r="F842">
        <v>18358</v>
      </c>
      <c r="G842" t="s">
        <v>2012</v>
      </c>
      <c r="H842" t="s">
        <v>2266</v>
      </c>
      <c r="I842" t="s">
        <v>337</v>
      </c>
      <c r="J842" t="s">
        <v>1089</v>
      </c>
      <c r="K842" t="s">
        <v>1003</v>
      </c>
      <c r="L842" t="s">
        <v>2031</v>
      </c>
      <c r="M842" t="s">
        <v>1000</v>
      </c>
      <c r="N842" t="s">
        <v>1004</v>
      </c>
      <c r="O842" t="s">
        <v>446</v>
      </c>
      <c r="P842" t="s">
        <v>1001</v>
      </c>
      <c r="Q842" t="b">
        <v>1</v>
      </c>
      <c r="R842" t="b">
        <v>0</v>
      </c>
      <c r="S842" t="s">
        <v>1950</v>
      </c>
      <c r="T842" t="s">
        <v>446</v>
      </c>
      <c r="U842" t="s">
        <v>1951</v>
      </c>
      <c r="V842" t="s">
        <v>1093</v>
      </c>
      <c r="W842" t="s">
        <v>1952</v>
      </c>
      <c r="X842" t="s">
        <v>2263</v>
      </c>
      <c r="Y842" t="s">
        <v>337</v>
      </c>
      <c r="Z842" t="s">
        <v>446</v>
      </c>
      <c r="AA842" t="s">
        <v>337</v>
      </c>
      <c r="AB842" t="s">
        <v>446</v>
      </c>
      <c r="AC842" t="b">
        <v>0</v>
      </c>
      <c r="AD842" t="b">
        <v>1</v>
      </c>
    </row>
    <row r="843" spans="1:30" x14ac:dyDescent="0.25">
      <c r="A843" t="s">
        <v>42</v>
      </c>
      <c r="B843" t="s">
        <v>1475</v>
      </c>
      <c r="C843" t="s">
        <v>337</v>
      </c>
      <c r="D843" t="s">
        <v>323</v>
      </c>
      <c r="E843" t="s">
        <v>1006</v>
      </c>
      <c r="F843">
        <v>18210</v>
      </c>
      <c r="G843" t="s">
        <v>2012</v>
      </c>
      <c r="H843" t="s">
        <v>2267</v>
      </c>
      <c r="I843" t="s">
        <v>337</v>
      </c>
      <c r="J843" t="s">
        <v>1089</v>
      </c>
      <c r="K843" t="s">
        <v>1967</v>
      </c>
      <c r="L843" t="s">
        <v>1968</v>
      </c>
      <c r="M843" t="s">
        <v>980</v>
      </c>
      <c r="N843" t="s">
        <v>1969</v>
      </c>
      <c r="O843" t="s">
        <v>446</v>
      </c>
      <c r="P843" t="s">
        <v>1009</v>
      </c>
      <c r="Q843" t="b">
        <v>1</v>
      </c>
      <c r="R843" t="b">
        <v>0</v>
      </c>
      <c r="S843" t="s">
        <v>1950</v>
      </c>
      <c r="T843" t="s">
        <v>446</v>
      </c>
      <c r="U843" t="s">
        <v>1951</v>
      </c>
      <c r="V843" t="s">
        <v>1093</v>
      </c>
      <c r="W843" t="s">
        <v>1952</v>
      </c>
      <c r="X843" t="s">
        <v>2263</v>
      </c>
      <c r="Y843" t="s">
        <v>337</v>
      </c>
      <c r="Z843" t="s">
        <v>446</v>
      </c>
      <c r="AA843" t="s">
        <v>337</v>
      </c>
      <c r="AB843" t="s">
        <v>446</v>
      </c>
      <c r="AC843" t="b">
        <v>0</v>
      </c>
      <c r="AD843" t="b">
        <v>1</v>
      </c>
    </row>
    <row r="844" spans="1:30" x14ac:dyDescent="0.25">
      <c r="A844" t="s">
        <v>42</v>
      </c>
      <c r="B844" t="s">
        <v>1476</v>
      </c>
      <c r="C844" t="s">
        <v>337</v>
      </c>
      <c r="D844" t="s">
        <v>323</v>
      </c>
      <c r="E844" t="s">
        <v>1013</v>
      </c>
      <c r="F844">
        <v>18324</v>
      </c>
      <c r="G844" t="s">
        <v>2012</v>
      </c>
      <c r="H844" t="s">
        <v>2268</v>
      </c>
      <c r="I844" t="s">
        <v>337</v>
      </c>
      <c r="J844" t="s">
        <v>1089</v>
      </c>
      <c r="K844" t="s">
        <v>1016</v>
      </c>
      <c r="L844" t="s">
        <v>1972</v>
      </c>
      <c r="M844" t="s">
        <v>980</v>
      </c>
      <c r="N844" t="s">
        <v>1017</v>
      </c>
      <c r="O844" t="s">
        <v>446</v>
      </c>
      <c r="P844" t="s">
        <v>1015</v>
      </c>
      <c r="Q844" t="b">
        <v>1</v>
      </c>
      <c r="R844" t="b">
        <v>0</v>
      </c>
      <c r="S844" t="s">
        <v>1950</v>
      </c>
      <c r="T844" t="s">
        <v>446</v>
      </c>
      <c r="U844" t="s">
        <v>1951</v>
      </c>
      <c r="V844" t="s">
        <v>1093</v>
      </c>
      <c r="W844" t="s">
        <v>1952</v>
      </c>
      <c r="X844" t="s">
        <v>2263</v>
      </c>
      <c r="Y844" t="s">
        <v>337</v>
      </c>
      <c r="Z844" t="s">
        <v>446</v>
      </c>
      <c r="AA844" t="s">
        <v>337</v>
      </c>
      <c r="AB844" t="s">
        <v>446</v>
      </c>
      <c r="AC844" t="b">
        <v>0</v>
      </c>
      <c r="AD844" t="b">
        <v>1</v>
      </c>
    </row>
    <row r="845" spans="1:30" x14ac:dyDescent="0.25">
      <c r="A845" t="s">
        <v>42</v>
      </c>
      <c r="B845" t="s">
        <v>1477</v>
      </c>
      <c r="C845" t="s">
        <v>337</v>
      </c>
      <c r="D845" t="s">
        <v>323</v>
      </c>
      <c r="E845" t="s">
        <v>1018</v>
      </c>
      <c r="F845">
        <v>18686</v>
      </c>
      <c r="G845" t="s">
        <v>2012</v>
      </c>
      <c r="H845" t="s">
        <v>2269</v>
      </c>
      <c r="I845" t="s">
        <v>337</v>
      </c>
      <c r="J845" t="s">
        <v>1089</v>
      </c>
      <c r="K845" t="s">
        <v>1021</v>
      </c>
      <c r="L845" t="s">
        <v>1975</v>
      </c>
      <c r="M845" t="s">
        <v>980</v>
      </c>
      <c r="N845" t="s">
        <v>1022</v>
      </c>
      <c r="O845" t="s">
        <v>446</v>
      </c>
      <c r="P845" t="s">
        <v>1020</v>
      </c>
      <c r="Q845" t="b">
        <v>1</v>
      </c>
      <c r="R845" t="b">
        <v>0</v>
      </c>
      <c r="S845" t="s">
        <v>1950</v>
      </c>
      <c r="T845" t="s">
        <v>446</v>
      </c>
      <c r="U845" t="s">
        <v>1951</v>
      </c>
      <c r="V845" t="s">
        <v>1093</v>
      </c>
      <c r="W845" t="s">
        <v>1952</v>
      </c>
      <c r="X845" t="s">
        <v>2263</v>
      </c>
      <c r="Y845" t="s">
        <v>337</v>
      </c>
      <c r="Z845" t="s">
        <v>446</v>
      </c>
      <c r="AA845" t="s">
        <v>337</v>
      </c>
      <c r="AB845" t="s">
        <v>446</v>
      </c>
      <c r="AC845" t="b">
        <v>0</v>
      </c>
      <c r="AD845" t="b">
        <v>1</v>
      </c>
    </row>
    <row r="846" spans="1:30" x14ac:dyDescent="0.25">
      <c r="A846" t="s">
        <v>42</v>
      </c>
      <c r="B846" t="s">
        <v>1478</v>
      </c>
      <c r="C846" t="s">
        <v>337</v>
      </c>
      <c r="D846" t="s">
        <v>323</v>
      </c>
      <c r="E846" t="s">
        <v>1023</v>
      </c>
      <c r="F846">
        <v>18139</v>
      </c>
      <c r="G846" t="s">
        <v>2012</v>
      </c>
      <c r="H846" t="s">
        <v>2270</v>
      </c>
      <c r="I846" t="s">
        <v>337</v>
      </c>
      <c r="J846" t="s">
        <v>1089</v>
      </c>
      <c r="K846" t="s">
        <v>1026</v>
      </c>
      <c r="L846" t="s">
        <v>1979</v>
      </c>
      <c r="M846" t="s">
        <v>1000</v>
      </c>
      <c r="N846" t="s">
        <v>1027</v>
      </c>
      <c r="O846" t="s">
        <v>446</v>
      </c>
      <c r="P846" t="s">
        <v>1025</v>
      </c>
      <c r="Q846" t="b">
        <v>1</v>
      </c>
      <c r="R846" t="b">
        <v>0</v>
      </c>
      <c r="S846" t="s">
        <v>1950</v>
      </c>
      <c r="T846" t="s">
        <v>446</v>
      </c>
      <c r="U846" t="s">
        <v>1951</v>
      </c>
      <c r="V846" t="s">
        <v>1093</v>
      </c>
      <c r="W846" t="s">
        <v>1952</v>
      </c>
      <c r="X846" t="s">
        <v>2263</v>
      </c>
      <c r="Y846" t="s">
        <v>337</v>
      </c>
      <c r="Z846" t="s">
        <v>446</v>
      </c>
      <c r="AA846" t="s">
        <v>337</v>
      </c>
      <c r="AB846" t="s">
        <v>446</v>
      </c>
      <c r="AC846" t="b">
        <v>0</v>
      </c>
      <c r="AD846" t="b">
        <v>1</v>
      </c>
    </row>
    <row r="847" spans="1:30" x14ac:dyDescent="0.25">
      <c r="A847" t="s">
        <v>42</v>
      </c>
      <c r="B847" t="s">
        <v>1479</v>
      </c>
      <c r="C847" t="s">
        <v>337</v>
      </c>
      <c r="D847" t="s">
        <v>323</v>
      </c>
      <c r="E847" t="s">
        <v>1029</v>
      </c>
      <c r="F847">
        <v>18333</v>
      </c>
      <c r="G847" t="s">
        <v>2012</v>
      </c>
      <c r="H847" t="s">
        <v>2271</v>
      </c>
      <c r="I847" t="s">
        <v>337</v>
      </c>
      <c r="J847" t="s">
        <v>1089</v>
      </c>
      <c r="K847" t="s">
        <v>1033</v>
      </c>
      <c r="L847" t="s">
        <v>1982</v>
      </c>
      <c r="M847" t="s">
        <v>980</v>
      </c>
      <c r="N847" t="s">
        <v>1034</v>
      </c>
      <c r="O847" t="s">
        <v>446</v>
      </c>
      <c r="P847" t="s">
        <v>1031</v>
      </c>
      <c r="Q847" t="b">
        <v>1</v>
      </c>
      <c r="R847" t="b">
        <v>0</v>
      </c>
      <c r="S847" t="s">
        <v>1950</v>
      </c>
      <c r="T847" t="s">
        <v>446</v>
      </c>
      <c r="U847" t="s">
        <v>1951</v>
      </c>
      <c r="V847" t="s">
        <v>1093</v>
      </c>
      <c r="W847" t="s">
        <v>1952</v>
      </c>
      <c r="X847" t="s">
        <v>2263</v>
      </c>
      <c r="Y847" t="s">
        <v>337</v>
      </c>
      <c r="Z847" t="s">
        <v>446</v>
      </c>
      <c r="AA847" t="s">
        <v>337</v>
      </c>
      <c r="AB847" t="s">
        <v>446</v>
      </c>
      <c r="AC847" t="b">
        <v>0</v>
      </c>
      <c r="AD847" t="b">
        <v>1</v>
      </c>
    </row>
    <row r="848" spans="1:30" x14ac:dyDescent="0.25">
      <c r="A848" t="s">
        <v>42</v>
      </c>
      <c r="B848" t="s">
        <v>1480</v>
      </c>
      <c r="C848" t="s">
        <v>337</v>
      </c>
      <c r="D848" t="s">
        <v>323</v>
      </c>
      <c r="E848" t="s">
        <v>1035</v>
      </c>
      <c r="F848">
        <v>18663</v>
      </c>
      <c r="G848" t="s">
        <v>2012</v>
      </c>
      <c r="H848" t="s">
        <v>2272</v>
      </c>
      <c r="I848" t="s">
        <v>337</v>
      </c>
      <c r="J848" t="s">
        <v>1089</v>
      </c>
      <c r="K848" t="s">
        <v>1038</v>
      </c>
      <c r="L848" t="s">
        <v>1985</v>
      </c>
      <c r="M848" t="s">
        <v>980</v>
      </c>
      <c r="N848" t="s">
        <v>1039</v>
      </c>
      <c r="O848" t="s">
        <v>446</v>
      </c>
      <c r="P848" t="s">
        <v>1037</v>
      </c>
      <c r="Q848" t="b">
        <v>1</v>
      </c>
      <c r="R848" t="b">
        <v>0</v>
      </c>
      <c r="S848" t="s">
        <v>1950</v>
      </c>
      <c r="T848" t="s">
        <v>446</v>
      </c>
      <c r="U848" t="s">
        <v>1951</v>
      </c>
      <c r="V848" t="s">
        <v>1093</v>
      </c>
      <c r="W848" t="s">
        <v>1952</v>
      </c>
      <c r="X848" t="s">
        <v>2263</v>
      </c>
      <c r="Y848" t="s">
        <v>337</v>
      </c>
      <c r="Z848" t="s">
        <v>446</v>
      </c>
      <c r="AA848" t="s">
        <v>337</v>
      </c>
      <c r="AB848" t="s">
        <v>446</v>
      </c>
      <c r="AC848" t="b">
        <v>0</v>
      </c>
      <c r="AD848" t="b">
        <v>1</v>
      </c>
    </row>
    <row r="849" spans="1:30" x14ac:dyDescent="0.25">
      <c r="A849" t="s">
        <v>42</v>
      </c>
      <c r="B849" t="s">
        <v>1481</v>
      </c>
      <c r="C849" t="s">
        <v>337</v>
      </c>
      <c r="D849" t="s">
        <v>323</v>
      </c>
      <c r="E849" t="s">
        <v>1040</v>
      </c>
      <c r="F849">
        <v>18662</v>
      </c>
      <c r="G849" t="s">
        <v>2012</v>
      </c>
      <c r="H849" t="s">
        <v>2273</v>
      </c>
      <c r="I849" t="s">
        <v>337</v>
      </c>
      <c r="J849" t="s">
        <v>1089</v>
      </c>
      <c r="K849" t="s">
        <v>1043</v>
      </c>
      <c r="L849" t="s">
        <v>1988</v>
      </c>
      <c r="M849" t="s">
        <v>980</v>
      </c>
      <c r="N849" t="s">
        <v>1044</v>
      </c>
      <c r="O849" t="s">
        <v>446</v>
      </c>
      <c r="P849" t="s">
        <v>1042</v>
      </c>
      <c r="Q849" t="b">
        <v>1</v>
      </c>
      <c r="R849" t="b">
        <v>0</v>
      </c>
      <c r="S849" t="s">
        <v>1950</v>
      </c>
      <c r="T849" t="s">
        <v>446</v>
      </c>
      <c r="U849" t="s">
        <v>1951</v>
      </c>
      <c r="V849" t="s">
        <v>1093</v>
      </c>
      <c r="W849" t="s">
        <v>1952</v>
      </c>
      <c r="X849" t="s">
        <v>2263</v>
      </c>
      <c r="Y849" t="s">
        <v>337</v>
      </c>
      <c r="Z849" t="s">
        <v>446</v>
      </c>
      <c r="AA849" t="s">
        <v>337</v>
      </c>
      <c r="AB849" t="s">
        <v>446</v>
      </c>
      <c r="AC849" t="b">
        <v>0</v>
      </c>
      <c r="AD849" t="b">
        <v>1</v>
      </c>
    </row>
    <row r="850" spans="1:30" x14ac:dyDescent="0.25">
      <c r="A850" t="s">
        <v>42</v>
      </c>
      <c r="B850" t="s">
        <v>1482</v>
      </c>
      <c r="C850" t="s">
        <v>337</v>
      </c>
      <c r="D850" t="s">
        <v>323</v>
      </c>
      <c r="E850" t="s">
        <v>1045</v>
      </c>
      <c r="F850">
        <v>15491</v>
      </c>
      <c r="G850" t="s">
        <v>2012</v>
      </c>
      <c r="H850" t="s">
        <v>2274</v>
      </c>
      <c r="I850" t="s">
        <v>337</v>
      </c>
      <c r="J850" t="s">
        <v>1089</v>
      </c>
      <c r="K850" t="s">
        <v>1048</v>
      </c>
      <c r="L850" t="s">
        <v>1991</v>
      </c>
      <c r="M850" t="s">
        <v>1000</v>
      </c>
      <c r="N850" t="s">
        <v>1049</v>
      </c>
      <c r="O850" t="s">
        <v>446</v>
      </c>
      <c r="P850" t="s">
        <v>1047</v>
      </c>
      <c r="Q850" t="b">
        <v>1</v>
      </c>
      <c r="R850" t="b">
        <v>0</v>
      </c>
      <c r="S850" t="s">
        <v>1950</v>
      </c>
      <c r="T850" t="s">
        <v>446</v>
      </c>
      <c r="U850" t="s">
        <v>1951</v>
      </c>
      <c r="V850" t="s">
        <v>1093</v>
      </c>
      <c r="W850" t="s">
        <v>1952</v>
      </c>
      <c r="X850" t="s">
        <v>2263</v>
      </c>
      <c r="Y850" t="s">
        <v>337</v>
      </c>
      <c r="Z850" t="s">
        <v>446</v>
      </c>
      <c r="AA850" t="s">
        <v>337</v>
      </c>
      <c r="AB850" t="s">
        <v>446</v>
      </c>
      <c r="AC850" t="b">
        <v>0</v>
      </c>
      <c r="AD850" t="b">
        <v>1</v>
      </c>
    </row>
    <row r="851" spans="1:30" x14ac:dyDescent="0.25">
      <c r="A851" t="s">
        <v>42</v>
      </c>
      <c r="B851" t="s">
        <v>1484</v>
      </c>
      <c r="C851" t="s">
        <v>337</v>
      </c>
      <c r="D851" t="s">
        <v>323</v>
      </c>
      <c r="E851" t="s">
        <v>1051</v>
      </c>
      <c r="F851">
        <v>15411</v>
      </c>
      <c r="G851" t="s">
        <v>2012</v>
      </c>
      <c r="H851" t="s">
        <v>2275</v>
      </c>
      <c r="I851" t="s">
        <v>337</v>
      </c>
      <c r="J851" t="s">
        <v>1089</v>
      </c>
      <c r="K851" t="s">
        <v>1055</v>
      </c>
      <c r="L851" t="s">
        <v>1993</v>
      </c>
      <c r="M851" t="s">
        <v>980</v>
      </c>
      <c r="N851" t="s">
        <v>1056</v>
      </c>
      <c r="O851" t="s">
        <v>446</v>
      </c>
      <c r="P851" t="s">
        <v>1053</v>
      </c>
      <c r="Q851" t="b">
        <v>1</v>
      </c>
      <c r="R851" t="b">
        <v>0</v>
      </c>
      <c r="S851" t="s">
        <v>1950</v>
      </c>
      <c r="T851" t="s">
        <v>446</v>
      </c>
      <c r="U851" t="s">
        <v>1951</v>
      </c>
      <c r="V851" t="s">
        <v>1093</v>
      </c>
      <c r="W851" t="s">
        <v>1952</v>
      </c>
      <c r="X851" t="s">
        <v>2263</v>
      </c>
      <c r="Y851" t="s">
        <v>337</v>
      </c>
      <c r="Z851" t="s">
        <v>446</v>
      </c>
      <c r="AA851" t="s">
        <v>337</v>
      </c>
      <c r="AB851" t="s">
        <v>446</v>
      </c>
      <c r="AC851" t="b">
        <v>0</v>
      </c>
      <c r="AD851" t="b">
        <v>1</v>
      </c>
    </row>
    <row r="852" spans="1:30" x14ac:dyDescent="0.25">
      <c r="A852" t="s">
        <v>42</v>
      </c>
      <c r="B852" t="s">
        <v>2276</v>
      </c>
      <c r="C852" t="s">
        <v>338</v>
      </c>
      <c r="D852" t="s">
        <v>323</v>
      </c>
      <c r="E852" t="s">
        <v>978</v>
      </c>
      <c r="F852">
        <v>41998</v>
      </c>
      <c r="G852" t="s">
        <v>2012</v>
      </c>
      <c r="H852" t="s">
        <v>2277</v>
      </c>
      <c r="I852" t="s">
        <v>2278</v>
      </c>
      <c r="J852" t="s">
        <v>1089</v>
      </c>
      <c r="K852" t="s">
        <v>984</v>
      </c>
      <c r="L852" t="s">
        <v>1948</v>
      </c>
      <c r="M852" t="s">
        <v>980</v>
      </c>
      <c r="N852" t="s">
        <v>985</v>
      </c>
      <c r="O852" t="s">
        <v>446</v>
      </c>
      <c r="P852" t="s">
        <v>981</v>
      </c>
      <c r="Q852" t="b">
        <v>1</v>
      </c>
      <c r="R852" t="b">
        <v>1</v>
      </c>
      <c r="S852" t="s">
        <v>2160</v>
      </c>
      <c r="T852" t="s">
        <v>446</v>
      </c>
      <c r="U852" t="s">
        <v>1951</v>
      </c>
      <c r="V852" t="s">
        <v>1980</v>
      </c>
      <c r="W852" t="s">
        <v>1952</v>
      </c>
      <c r="X852" t="s">
        <v>2279</v>
      </c>
      <c r="Y852" t="s">
        <v>2280</v>
      </c>
      <c r="Z852" t="s">
        <v>446</v>
      </c>
      <c r="AA852" t="s">
        <v>338</v>
      </c>
      <c r="AB852" t="s">
        <v>446</v>
      </c>
      <c r="AC852" t="b">
        <v>0</v>
      </c>
      <c r="AD852" t="b">
        <v>1</v>
      </c>
    </row>
    <row r="853" spans="1:30" x14ac:dyDescent="0.25">
      <c r="A853" t="s">
        <v>42</v>
      </c>
      <c r="B853" t="s">
        <v>2281</v>
      </c>
      <c r="C853" t="s">
        <v>338</v>
      </c>
      <c r="D853" t="s">
        <v>323</v>
      </c>
      <c r="E853" t="s">
        <v>986</v>
      </c>
      <c r="F853">
        <v>42614</v>
      </c>
      <c r="G853" t="s">
        <v>2012</v>
      </c>
      <c r="H853" t="s">
        <v>2282</v>
      </c>
      <c r="I853" t="s">
        <v>2278</v>
      </c>
      <c r="J853" t="s">
        <v>1089</v>
      </c>
      <c r="K853" t="s">
        <v>990</v>
      </c>
      <c r="L853" t="s">
        <v>1955</v>
      </c>
      <c r="M853" t="s">
        <v>980</v>
      </c>
      <c r="N853" t="s">
        <v>991</v>
      </c>
      <c r="O853" t="s">
        <v>446</v>
      </c>
      <c r="P853" t="s">
        <v>988</v>
      </c>
      <c r="Q853" t="b">
        <v>1</v>
      </c>
      <c r="R853" t="b">
        <v>1</v>
      </c>
      <c r="S853" t="s">
        <v>2160</v>
      </c>
      <c r="T853" t="s">
        <v>446</v>
      </c>
      <c r="U853" t="s">
        <v>1951</v>
      </c>
      <c r="V853" t="s">
        <v>1980</v>
      </c>
      <c r="W853" t="s">
        <v>1952</v>
      </c>
      <c r="X853" t="s">
        <v>2279</v>
      </c>
      <c r="Y853" t="s">
        <v>2280</v>
      </c>
      <c r="Z853" t="s">
        <v>446</v>
      </c>
      <c r="AA853" t="s">
        <v>338</v>
      </c>
      <c r="AB853" t="s">
        <v>446</v>
      </c>
      <c r="AC853" t="b">
        <v>0</v>
      </c>
      <c r="AD853" t="b">
        <v>1</v>
      </c>
    </row>
    <row r="854" spans="1:30" x14ac:dyDescent="0.25">
      <c r="A854" t="s">
        <v>42</v>
      </c>
      <c r="B854" t="s">
        <v>2283</v>
      </c>
      <c r="C854" t="s">
        <v>338</v>
      </c>
      <c r="D854" t="s">
        <v>323</v>
      </c>
      <c r="E854" t="s">
        <v>992</v>
      </c>
      <c r="F854">
        <v>42707</v>
      </c>
      <c r="G854" t="s">
        <v>2012</v>
      </c>
      <c r="H854" t="s">
        <v>2284</v>
      </c>
      <c r="I854" t="s">
        <v>2278</v>
      </c>
      <c r="J854" t="s">
        <v>1089</v>
      </c>
      <c r="K854" t="s">
        <v>996</v>
      </c>
      <c r="L854" t="s">
        <v>1958</v>
      </c>
      <c r="M854" t="s">
        <v>980</v>
      </c>
      <c r="N854" t="s">
        <v>997</v>
      </c>
      <c r="O854" t="s">
        <v>446</v>
      </c>
      <c r="P854" t="s">
        <v>994</v>
      </c>
      <c r="Q854" t="b">
        <v>1</v>
      </c>
      <c r="R854" t="b">
        <v>1</v>
      </c>
      <c r="S854" t="s">
        <v>2160</v>
      </c>
      <c r="T854" t="s">
        <v>446</v>
      </c>
      <c r="U854" t="s">
        <v>1951</v>
      </c>
      <c r="V854" t="s">
        <v>1980</v>
      </c>
      <c r="W854" t="s">
        <v>1952</v>
      </c>
      <c r="X854" t="s">
        <v>2279</v>
      </c>
      <c r="Y854" t="s">
        <v>2280</v>
      </c>
      <c r="Z854" t="s">
        <v>446</v>
      </c>
      <c r="AA854" t="s">
        <v>338</v>
      </c>
      <c r="AB854" t="s">
        <v>446</v>
      </c>
      <c r="AC854" t="b">
        <v>0</v>
      </c>
      <c r="AD854" t="b">
        <v>1</v>
      </c>
    </row>
    <row r="855" spans="1:30" x14ac:dyDescent="0.25">
      <c r="A855" t="s">
        <v>42</v>
      </c>
      <c r="B855" t="s">
        <v>2285</v>
      </c>
      <c r="C855" t="s">
        <v>338</v>
      </c>
      <c r="D855" t="s">
        <v>323</v>
      </c>
      <c r="E855" t="s">
        <v>998</v>
      </c>
      <c r="F855">
        <v>43022</v>
      </c>
      <c r="G855" t="s">
        <v>2012</v>
      </c>
      <c r="H855" t="s">
        <v>2286</v>
      </c>
      <c r="I855" t="s">
        <v>2287</v>
      </c>
      <c r="J855" t="s">
        <v>1089</v>
      </c>
      <c r="K855" t="s">
        <v>1003</v>
      </c>
      <c r="L855" t="s">
        <v>2031</v>
      </c>
      <c r="M855" t="s">
        <v>1000</v>
      </c>
      <c r="N855" t="s">
        <v>1004</v>
      </c>
      <c r="O855" t="s">
        <v>446</v>
      </c>
      <c r="P855" t="s">
        <v>1001</v>
      </c>
      <c r="Q855" t="b">
        <v>1</v>
      </c>
      <c r="R855" t="b">
        <v>1</v>
      </c>
      <c r="S855" t="s">
        <v>2160</v>
      </c>
      <c r="T855" t="s">
        <v>446</v>
      </c>
      <c r="U855" t="s">
        <v>1951</v>
      </c>
      <c r="V855" t="s">
        <v>1980</v>
      </c>
      <c r="W855" t="s">
        <v>1952</v>
      </c>
      <c r="X855" t="s">
        <v>2288</v>
      </c>
      <c r="Y855" t="s">
        <v>2289</v>
      </c>
      <c r="Z855" t="s">
        <v>446</v>
      </c>
      <c r="AA855" t="s">
        <v>338</v>
      </c>
      <c r="AB855" t="s">
        <v>446</v>
      </c>
      <c r="AC855" t="b">
        <v>0</v>
      </c>
      <c r="AD855" t="b">
        <v>1</v>
      </c>
    </row>
    <row r="856" spans="1:30" x14ac:dyDescent="0.25">
      <c r="A856" t="s">
        <v>42</v>
      </c>
      <c r="B856" t="s">
        <v>2290</v>
      </c>
      <c r="C856" t="s">
        <v>338</v>
      </c>
      <c r="D856" t="s">
        <v>323</v>
      </c>
      <c r="E856" t="s">
        <v>1006</v>
      </c>
      <c r="F856">
        <v>42414</v>
      </c>
      <c r="G856" t="s">
        <v>2012</v>
      </c>
      <c r="H856" t="s">
        <v>2291</v>
      </c>
      <c r="I856" t="s">
        <v>2278</v>
      </c>
      <c r="J856" t="s">
        <v>1089</v>
      </c>
      <c r="K856" t="s">
        <v>1967</v>
      </c>
      <c r="L856" t="s">
        <v>1968</v>
      </c>
      <c r="M856" t="s">
        <v>980</v>
      </c>
      <c r="N856" t="s">
        <v>1969</v>
      </c>
      <c r="O856" t="s">
        <v>446</v>
      </c>
      <c r="P856" t="s">
        <v>1009</v>
      </c>
      <c r="Q856" t="b">
        <v>1</v>
      </c>
      <c r="R856" t="b">
        <v>1</v>
      </c>
      <c r="S856" t="s">
        <v>2160</v>
      </c>
      <c r="T856" t="s">
        <v>446</v>
      </c>
      <c r="U856" t="s">
        <v>1951</v>
      </c>
      <c r="V856" t="s">
        <v>1980</v>
      </c>
      <c r="W856" t="s">
        <v>1952</v>
      </c>
      <c r="X856" t="s">
        <v>446</v>
      </c>
      <c r="Y856" t="s">
        <v>446</v>
      </c>
      <c r="Z856" t="s">
        <v>446</v>
      </c>
      <c r="AA856" t="s">
        <v>338</v>
      </c>
      <c r="AB856" t="s">
        <v>446</v>
      </c>
      <c r="AC856" t="b">
        <v>0</v>
      </c>
      <c r="AD856" t="b">
        <v>1</v>
      </c>
    </row>
    <row r="857" spans="1:30" x14ac:dyDescent="0.25">
      <c r="A857" t="s">
        <v>42</v>
      </c>
      <c r="B857" t="s">
        <v>2292</v>
      </c>
      <c r="C857" t="s">
        <v>338</v>
      </c>
      <c r="D857" t="s">
        <v>323</v>
      </c>
      <c r="E857" t="s">
        <v>1013</v>
      </c>
      <c r="F857">
        <v>41771</v>
      </c>
      <c r="G857" t="s">
        <v>2012</v>
      </c>
      <c r="H857" t="s">
        <v>2293</v>
      </c>
      <c r="I857" t="s">
        <v>2278</v>
      </c>
      <c r="J857" t="s">
        <v>1089</v>
      </c>
      <c r="K857" t="s">
        <v>1016</v>
      </c>
      <c r="L857" t="s">
        <v>1972</v>
      </c>
      <c r="M857" t="s">
        <v>980</v>
      </c>
      <c r="N857" t="s">
        <v>1017</v>
      </c>
      <c r="O857" t="s">
        <v>446</v>
      </c>
      <c r="P857" t="s">
        <v>1015</v>
      </c>
      <c r="Q857" t="b">
        <v>1</v>
      </c>
      <c r="R857" t="b">
        <v>1</v>
      </c>
      <c r="S857" t="s">
        <v>2160</v>
      </c>
      <c r="T857" t="s">
        <v>446</v>
      </c>
      <c r="U857" t="s">
        <v>1951</v>
      </c>
      <c r="V857" t="s">
        <v>1980</v>
      </c>
      <c r="W857" t="s">
        <v>1952</v>
      </c>
      <c r="X857" t="s">
        <v>2279</v>
      </c>
      <c r="Y857" t="s">
        <v>2280</v>
      </c>
      <c r="Z857" t="s">
        <v>446</v>
      </c>
      <c r="AA857" t="s">
        <v>338</v>
      </c>
      <c r="AB857" t="s">
        <v>446</v>
      </c>
      <c r="AC857" t="b">
        <v>0</v>
      </c>
      <c r="AD857" t="b">
        <v>1</v>
      </c>
    </row>
    <row r="858" spans="1:30" x14ac:dyDescent="0.25">
      <c r="A858" t="s">
        <v>42</v>
      </c>
      <c r="B858" t="s">
        <v>2294</v>
      </c>
      <c r="C858" t="s">
        <v>338</v>
      </c>
      <c r="D858" t="s">
        <v>323</v>
      </c>
      <c r="E858" t="s">
        <v>1018</v>
      </c>
      <c r="F858">
        <v>47428</v>
      </c>
      <c r="G858" t="s">
        <v>2012</v>
      </c>
      <c r="H858" t="s">
        <v>2295</v>
      </c>
      <c r="I858" t="s">
        <v>2278</v>
      </c>
      <c r="J858" t="s">
        <v>1089</v>
      </c>
      <c r="K858" t="s">
        <v>1021</v>
      </c>
      <c r="L858" t="s">
        <v>1975</v>
      </c>
      <c r="M858" t="s">
        <v>980</v>
      </c>
      <c r="N858" t="s">
        <v>1022</v>
      </c>
      <c r="O858" t="s">
        <v>446</v>
      </c>
      <c r="P858" t="s">
        <v>1020</v>
      </c>
      <c r="Q858" t="b">
        <v>1</v>
      </c>
      <c r="R858" t="b">
        <v>1</v>
      </c>
      <c r="S858" t="s">
        <v>2160</v>
      </c>
      <c r="T858" t="s">
        <v>446</v>
      </c>
      <c r="U858" t="s">
        <v>1951</v>
      </c>
      <c r="V858" t="s">
        <v>1980</v>
      </c>
      <c r="W858" t="s">
        <v>1952</v>
      </c>
      <c r="X858" t="s">
        <v>2279</v>
      </c>
      <c r="Y858" t="s">
        <v>2280</v>
      </c>
      <c r="Z858" t="s">
        <v>446</v>
      </c>
      <c r="AA858" t="s">
        <v>338</v>
      </c>
      <c r="AB858" t="s">
        <v>446</v>
      </c>
      <c r="AC858" t="b">
        <v>0</v>
      </c>
      <c r="AD858" t="b">
        <v>1</v>
      </c>
    </row>
    <row r="859" spans="1:30" x14ac:dyDescent="0.25">
      <c r="A859" t="s">
        <v>42</v>
      </c>
      <c r="B859" t="s">
        <v>2296</v>
      </c>
      <c r="C859" t="s">
        <v>338</v>
      </c>
      <c r="D859" t="s">
        <v>323</v>
      </c>
      <c r="E859" t="s">
        <v>1023</v>
      </c>
      <c r="F859">
        <v>46110</v>
      </c>
      <c r="G859" t="s">
        <v>2012</v>
      </c>
      <c r="H859" t="s">
        <v>2297</v>
      </c>
      <c r="I859" t="s">
        <v>2278</v>
      </c>
      <c r="J859" t="s">
        <v>1089</v>
      </c>
      <c r="K859" t="s">
        <v>1026</v>
      </c>
      <c r="L859" t="s">
        <v>1979</v>
      </c>
      <c r="M859" t="s">
        <v>1000</v>
      </c>
      <c r="N859" t="s">
        <v>1027</v>
      </c>
      <c r="O859" t="s">
        <v>446</v>
      </c>
      <c r="P859" t="s">
        <v>1025</v>
      </c>
      <c r="Q859" t="b">
        <v>1</v>
      </c>
      <c r="R859" t="b">
        <v>1</v>
      </c>
      <c r="S859" t="s">
        <v>2160</v>
      </c>
      <c r="T859" t="s">
        <v>446</v>
      </c>
      <c r="U859" t="s">
        <v>1951</v>
      </c>
      <c r="V859" t="s">
        <v>1980</v>
      </c>
      <c r="W859" t="s">
        <v>1952</v>
      </c>
      <c r="X859" t="s">
        <v>2298</v>
      </c>
      <c r="Y859" t="s">
        <v>2299</v>
      </c>
      <c r="Z859" t="s">
        <v>446</v>
      </c>
      <c r="AA859" t="s">
        <v>338</v>
      </c>
      <c r="AB859" t="s">
        <v>446</v>
      </c>
      <c r="AC859" t="b">
        <v>0</v>
      </c>
      <c r="AD859" t="b">
        <v>1</v>
      </c>
    </row>
    <row r="860" spans="1:30" x14ac:dyDescent="0.25">
      <c r="A860" t="s">
        <v>42</v>
      </c>
      <c r="B860" t="s">
        <v>1485</v>
      </c>
      <c r="C860" t="s">
        <v>338</v>
      </c>
      <c r="D860" t="s">
        <v>323</v>
      </c>
      <c r="E860" t="s">
        <v>1029</v>
      </c>
      <c r="F860">
        <v>46774</v>
      </c>
      <c r="G860" t="s">
        <v>2012</v>
      </c>
      <c r="H860" t="s">
        <v>2300</v>
      </c>
      <c r="I860" t="s">
        <v>2278</v>
      </c>
      <c r="J860" t="s">
        <v>1089</v>
      </c>
      <c r="K860" t="s">
        <v>1033</v>
      </c>
      <c r="L860" t="s">
        <v>1982</v>
      </c>
      <c r="M860" t="s">
        <v>980</v>
      </c>
      <c r="N860" t="s">
        <v>1034</v>
      </c>
      <c r="O860" t="s">
        <v>446</v>
      </c>
      <c r="P860" t="s">
        <v>1031</v>
      </c>
      <c r="Q860" t="b">
        <v>1</v>
      </c>
      <c r="R860" t="b">
        <v>0</v>
      </c>
      <c r="S860" t="s">
        <v>1950</v>
      </c>
      <c r="T860" t="s">
        <v>446</v>
      </c>
      <c r="U860" t="s">
        <v>1951</v>
      </c>
      <c r="V860" t="s">
        <v>1980</v>
      </c>
      <c r="W860" t="s">
        <v>1952</v>
      </c>
      <c r="X860" t="s">
        <v>2301</v>
      </c>
      <c r="Y860" t="s">
        <v>2302</v>
      </c>
      <c r="Z860" t="s">
        <v>446</v>
      </c>
      <c r="AA860" t="s">
        <v>338</v>
      </c>
      <c r="AB860" t="s">
        <v>446</v>
      </c>
      <c r="AC860" t="b">
        <v>0</v>
      </c>
      <c r="AD860" t="b">
        <v>1</v>
      </c>
    </row>
    <row r="861" spans="1:30" x14ac:dyDescent="0.25">
      <c r="A861" t="s">
        <v>42</v>
      </c>
      <c r="B861" t="s">
        <v>1487</v>
      </c>
      <c r="C861" t="s">
        <v>338</v>
      </c>
      <c r="D861" t="s">
        <v>323</v>
      </c>
      <c r="E861" t="s">
        <v>1035</v>
      </c>
      <c r="F861">
        <v>48277</v>
      </c>
      <c r="G861" t="s">
        <v>2012</v>
      </c>
      <c r="H861" t="s">
        <v>2303</v>
      </c>
      <c r="I861" t="s">
        <v>2278</v>
      </c>
      <c r="J861" t="s">
        <v>1089</v>
      </c>
      <c r="K861" t="s">
        <v>1038</v>
      </c>
      <c r="L861" t="s">
        <v>1985</v>
      </c>
      <c r="M861" t="s">
        <v>980</v>
      </c>
      <c r="N861" t="s">
        <v>1039</v>
      </c>
      <c r="O861" t="s">
        <v>446</v>
      </c>
      <c r="P861" t="s">
        <v>1037</v>
      </c>
      <c r="Q861" t="b">
        <v>1</v>
      </c>
      <c r="R861" t="b">
        <v>0</v>
      </c>
      <c r="S861" t="s">
        <v>1950</v>
      </c>
      <c r="T861" t="s">
        <v>446</v>
      </c>
      <c r="U861" t="s">
        <v>1951</v>
      </c>
      <c r="V861" t="s">
        <v>1980</v>
      </c>
      <c r="W861" t="s">
        <v>1952</v>
      </c>
      <c r="X861" t="s">
        <v>2301</v>
      </c>
      <c r="Y861" t="s">
        <v>2302</v>
      </c>
      <c r="Z861" t="s">
        <v>446</v>
      </c>
      <c r="AA861" t="s">
        <v>338</v>
      </c>
      <c r="AB861" t="s">
        <v>446</v>
      </c>
      <c r="AC861" t="b">
        <v>0</v>
      </c>
      <c r="AD861" t="b">
        <v>1</v>
      </c>
    </row>
    <row r="862" spans="1:30" x14ac:dyDescent="0.25">
      <c r="A862" t="s">
        <v>42</v>
      </c>
      <c r="B862" t="s">
        <v>1489</v>
      </c>
      <c r="C862" t="s">
        <v>338</v>
      </c>
      <c r="D862" t="s">
        <v>323</v>
      </c>
      <c r="E862" t="s">
        <v>1040</v>
      </c>
      <c r="F862">
        <v>49234</v>
      </c>
      <c r="G862" t="s">
        <v>2012</v>
      </c>
      <c r="H862" t="s">
        <v>2304</v>
      </c>
      <c r="I862" t="s">
        <v>2278</v>
      </c>
      <c r="J862" t="s">
        <v>1089</v>
      </c>
      <c r="K862" t="s">
        <v>1043</v>
      </c>
      <c r="L862" t="s">
        <v>1988</v>
      </c>
      <c r="M862" t="s">
        <v>980</v>
      </c>
      <c r="N862" t="s">
        <v>1044</v>
      </c>
      <c r="O862" t="s">
        <v>446</v>
      </c>
      <c r="P862" t="s">
        <v>1042</v>
      </c>
      <c r="Q862" t="b">
        <v>1</v>
      </c>
      <c r="R862" t="b">
        <v>0</v>
      </c>
      <c r="S862" t="s">
        <v>1950</v>
      </c>
      <c r="T862" t="s">
        <v>446</v>
      </c>
      <c r="U862" t="s">
        <v>1951</v>
      </c>
      <c r="V862" t="s">
        <v>1980</v>
      </c>
      <c r="W862" t="s">
        <v>1952</v>
      </c>
      <c r="X862" t="s">
        <v>2301</v>
      </c>
      <c r="Y862" t="s">
        <v>2302</v>
      </c>
      <c r="Z862" t="s">
        <v>446</v>
      </c>
      <c r="AA862" t="s">
        <v>338</v>
      </c>
      <c r="AB862" t="s">
        <v>446</v>
      </c>
      <c r="AC862" t="b">
        <v>0</v>
      </c>
      <c r="AD862" t="b">
        <v>1</v>
      </c>
    </row>
    <row r="863" spans="1:30" x14ac:dyDescent="0.25">
      <c r="A863" t="s">
        <v>42</v>
      </c>
      <c r="B863" t="s">
        <v>1491</v>
      </c>
      <c r="C863" t="s">
        <v>338</v>
      </c>
      <c r="D863" t="s">
        <v>323</v>
      </c>
      <c r="E863" t="s">
        <v>1045</v>
      </c>
      <c r="F863">
        <v>48668</v>
      </c>
      <c r="G863" t="s">
        <v>2012</v>
      </c>
      <c r="H863" t="s">
        <v>2305</v>
      </c>
      <c r="I863" t="s">
        <v>2278</v>
      </c>
      <c r="J863" t="s">
        <v>1089</v>
      </c>
      <c r="K863" t="s">
        <v>1048</v>
      </c>
      <c r="L863" t="s">
        <v>1991</v>
      </c>
      <c r="M863" t="s">
        <v>1000</v>
      </c>
      <c r="N863" t="s">
        <v>1049</v>
      </c>
      <c r="O863" t="s">
        <v>446</v>
      </c>
      <c r="P863" t="s">
        <v>1047</v>
      </c>
      <c r="Q863" t="b">
        <v>1</v>
      </c>
      <c r="R863" t="b">
        <v>0</v>
      </c>
      <c r="S863" t="s">
        <v>1950</v>
      </c>
      <c r="T863" t="s">
        <v>446</v>
      </c>
      <c r="U863" t="s">
        <v>1951</v>
      </c>
      <c r="V863" t="s">
        <v>1980</v>
      </c>
      <c r="W863" t="s">
        <v>1952</v>
      </c>
      <c r="X863" t="s">
        <v>2298</v>
      </c>
      <c r="Y863" t="s">
        <v>2299</v>
      </c>
      <c r="Z863" t="s">
        <v>446</v>
      </c>
      <c r="AA863" t="s">
        <v>338</v>
      </c>
      <c r="AB863" t="s">
        <v>446</v>
      </c>
      <c r="AC863" t="b">
        <v>0</v>
      </c>
      <c r="AD863" t="b">
        <v>1</v>
      </c>
    </row>
    <row r="864" spans="1:30" x14ac:dyDescent="0.25">
      <c r="A864" t="s">
        <v>42</v>
      </c>
      <c r="B864" t="s">
        <v>2306</v>
      </c>
      <c r="C864" t="s">
        <v>338</v>
      </c>
      <c r="D864" t="s">
        <v>323</v>
      </c>
      <c r="E864" t="s">
        <v>1051</v>
      </c>
      <c r="F864">
        <v>48894</v>
      </c>
      <c r="G864" t="s">
        <v>2012</v>
      </c>
      <c r="H864" t="s">
        <v>2307</v>
      </c>
      <c r="I864" t="s">
        <v>2278</v>
      </c>
      <c r="J864" t="s">
        <v>1089</v>
      </c>
      <c r="K864" t="s">
        <v>1055</v>
      </c>
      <c r="L864" t="s">
        <v>1993</v>
      </c>
      <c r="M864" t="s">
        <v>980</v>
      </c>
      <c r="N864" t="s">
        <v>1056</v>
      </c>
      <c r="O864" t="s">
        <v>446</v>
      </c>
      <c r="P864" t="s">
        <v>1053</v>
      </c>
      <c r="Q864" t="b">
        <v>1</v>
      </c>
      <c r="R864" t="b">
        <v>1</v>
      </c>
      <c r="S864" t="s">
        <v>2160</v>
      </c>
      <c r="T864" t="s">
        <v>446</v>
      </c>
      <c r="U864" t="s">
        <v>1951</v>
      </c>
      <c r="V864" t="s">
        <v>1980</v>
      </c>
      <c r="W864" t="s">
        <v>1952</v>
      </c>
      <c r="X864" t="s">
        <v>446</v>
      </c>
      <c r="Y864" t="s">
        <v>446</v>
      </c>
      <c r="Z864" t="s">
        <v>446</v>
      </c>
      <c r="AA864" t="s">
        <v>338</v>
      </c>
      <c r="AB864" t="s">
        <v>446</v>
      </c>
      <c r="AC864" t="b">
        <v>0</v>
      </c>
      <c r="AD864" t="b">
        <v>1</v>
      </c>
    </row>
    <row r="865" spans="1:30" x14ac:dyDescent="0.25">
      <c r="A865" t="s">
        <v>42</v>
      </c>
      <c r="B865" t="s">
        <v>1493</v>
      </c>
      <c r="C865" t="s">
        <v>341</v>
      </c>
      <c r="D865" t="s">
        <v>446</v>
      </c>
      <c r="E865" t="s">
        <v>978</v>
      </c>
      <c r="F865">
        <v>15593</v>
      </c>
      <c r="G865" t="s">
        <v>2012</v>
      </c>
      <c r="H865" t="s">
        <v>2308</v>
      </c>
      <c r="I865" t="s">
        <v>2309</v>
      </c>
      <c r="J865" t="s">
        <v>1089</v>
      </c>
      <c r="K865" t="s">
        <v>984</v>
      </c>
      <c r="L865" t="s">
        <v>1948</v>
      </c>
      <c r="M865" t="s">
        <v>980</v>
      </c>
      <c r="N865" t="s">
        <v>985</v>
      </c>
      <c r="O865" t="s">
        <v>446</v>
      </c>
      <c r="P865" t="s">
        <v>981</v>
      </c>
      <c r="Q865" t="b">
        <v>1</v>
      </c>
      <c r="R865" t="b">
        <v>0</v>
      </c>
      <c r="S865" t="s">
        <v>1950</v>
      </c>
      <c r="T865" t="s">
        <v>446</v>
      </c>
      <c r="U865" t="s">
        <v>1951</v>
      </c>
      <c r="V865" t="s">
        <v>1093</v>
      </c>
      <c r="W865" t="s">
        <v>1952</v>
      </c>
      <c r="X865" t="s">
        <v>2310</v>
      </c>
      <c r="Y865" t="s">
        <v>2311</v>
      </c>
      <c r="Z865" t="s">
        <v>446</v>
      </c>
      <c r="AA865" t="s">
        <v>341</v>
      </c>
      <c r="AB865" t="s">
        <v>446</v>
      </c>
      <c r="AC865" t="b">
        <v>0</v>
      </c>
      <c r="AD865" t="b">
        <v>1</v>
      </c>
    </row>
    <row r="866" spans="1:30" x14ac:dyDescent="0.25">
      <c r="A866" t="s">
        <v>42</v>
      </c>
      <c r="B866" t="s">
        <v>1495</v>
      </c>
      <c r="C866" t="s">
        <v>341</v>
      </c>
      <c r="D866" t="s">
        <v>446</v>
      </c>
      <c r="E866" t="s">
        <v>986</v>
      </c>
      <c r="F866">
        <v>16483</v>
      </c>
      <c r="G866" t="s">
        <v>2012</v>
      </c>
      <c r="H866" t="s">
        <v>2312</v>
      </c>
      <c r="I866" t="s">
        <v>2309</v>
      </c>
      <c r="J866" t="s">
        <v>1089</v>
      </c>
      <c r="K866" t="s">
        <v>990</v>
      </c>
      <c r="L866" t="s">
        <v>1955</v>
      </c>
      <c r="M866" t="s">
        <v>980</v>
      </c>
      <c r="N866" t="s">
        <v>991</v>
      </c>
      <c r="O866" t="s">
        <v>446</v>
      </c>
      <c r="P866" t="s">
        <v>988</v>
      </c>
      <c r="Q866" t="b">
        <v>1</v>
      </c>
      <c r="R866" t="b">
        <v>0</v>
      </c>
      <c r="S866" t="s">
        <v>1950</v>
      </c>
      <c r="T866" t="s">
        <v>446</v>
      </c>
      <c r="U866" t="s">
        <v>1951</v>
      </c>
      <c r="V866" t="s">
        <v>1093</v>
      </c>
      <c r="W866" t="s">
        <v>1952</v>
      </c>
      <c r="X866" t="s">
        <v>2310</v>
      </c>
      <c r="Y866" t="s">
        <v>2311</v>
      </c>
      <c r="Z866" t="s">
        <v>446</v>
      </c>
      <c r="AA866" t="s">
        <v>341</v>
      </c>
      <c r="AB866" t="s">
        <v>446</v>
      </c>
      <c r="AC866" t="b">
        <v>0</v>
      </c>
      <c r="AD866" t="b">
        <v>1</v>
      </c>
    </row>
    <row r="867" spans="1:30" x14ac:dyDescent="0.25">
      <c r="A867" t="s">
        <v>42</v>
      </c>
      <c r="B867" t="s">
        <v>1497</v>
      </c>
      <c r="C867" t="s">
        <v>341</v>
      </c>
      <c r="D867" t="s">
        <v>446</v>
      </c>
      <c r="E867" t="s">
        <v>992</v>
      </c>
      <c r="F867">
        <v>16837</v>
      </c>
      <c r="G867" t="s">
        <v>2012</v>
      </c>
      <c r="H867" t="s">
        <v>2313</v>
      </c>
      <c r="I867" t="s">
        <v>2309</v>
      </c>
      <c r="J867" t="s">
        <v>1089</v>
      </c>
      <c r="K867" t="s">
        <v>996</v>
      </c>
      <c r="L867" t="s">
        <v>1958</v>
      </c>
      <c r="M867" t="s">
        <v>980</v>
      </c>
      <c r="N867" t="s">
        <v>997</v>
      </c>
      <c r="O867" t="s">
        <v>446</v>
      </c>
      <c r="P867" t="s">
        <v>994</v>
      </c>
      <c r="Q867" t="b">
        <v>1</v>
      </c>
      <c r="R867" t="b">
        <v>0</v>
      </c>
      <c r="S867" t="s">
        <v>1950</v>
      </c>
      <c r="T867" t="s">
        <v>446</v>
      </c>
      <c r="U867" t="s">
        <v>1951</v>
      </c>
      <c r="V867" t="s">
        <v>1093</v>
      </c>
      <c r="W867" t="s">
        <v>1952</v>
      </c>
      <c r="X867" t="s">
        <v>2310</v>
      </c>
      <c r="Y867" t="s">
        <v>2311</v>
      </c>
      <c r="Z867" t="s">
        <v>446</v>
      </c>
      <c r="AA867" t="s">
        <v>341</v>
      </c>
      <c r="AB867" t="s">
        <v>446</v>
      </c>
      <c r="AC867" t="b">
        <v>0</v>
      </c>
      <c r="AD867" t="b">
        <v>1</v>
      </c>
    </row>
    <row r="868" spans="1:30" x14ac:dyDescent="0.25">
      <c r="A868" t="s">
        <v>42</v>
      </c>
      <c r="B868" t="s">
        <v>1499</v>
      </c>
      <c r="C868" t="s">
        <v>341</v>
      </c>
      <c r="D868" t="s">
        <v>446</v>
      </c>
      <c r="E868" t="s">
        <v>998</v>
      </c>
      <c r="F868">
        <v>5590</v>
      </c>
      <c r="G868" t="s">
        <v>2012</v>
      </c>
      <c r="H868" t="s">
        <v>2314</v>
      </c>
      <c r="I868" t="s">
        <v>2315</v>
      </c>
      <c r="J868" t="s">
        <v>1089</v>
      </c>
      <c r="K868" t="s">
        <v>1003</v>
      </c>
      <c r="L868" t="s">
        <v>2031</v>
      </c>
      <c r="M868" t="s">
        <v>1000</v>
      </c>
      <c r="N868" t="s">
        <v>1004</v>
      </c>
      <c r="O868" t="s">
        <v>446</v>
      </c>
      <c r="P868" t="s">
        <v>1001</v>
      </c>
      <c r="Q868" t="b">
        <v>1</v>
      </c>
      <c r="R868" t="b">
        <v>0</v>
      </c>
      <c r="S868" t="s">
        <v>1950</v>
      </c>
      <c r="T868" t="s">
        <v>446</v>
      </c>
      <c r="U868" t="s">
        <v>1951</v>
      </c>
      <c r="V868" t="s">
        <v>1093</v>
      </c>
      <c r="W868" t="s">
        <v>1952</v>
      </c>
      <c r="X868" t="s">
        <v>2316</v>
      </c>
      <c r="Y868" t="s">
        <v>2317</v>
      </c>
      <c r="Z868" t="s">
        <v>446</v>
      </c>
      <c r="AA868" t="s">
        <v>341</v>
      </c>
      <c r="AB868" t="s">
        <v>446</v>
      </c>
      <c r="AC868" t="b">
        <v>0</v>
      </c>
      <c r="AD868" t="b">
        <v>1</v>
      </c>
    </row>
    <row r="869" spans="1:30" x14ac:dyDescent="0.25">
      <c r="A869" t="s">
        <v>42</v>
      </c>
      <c r="B869" t="s">
        <v>1501</v>
      </c>
      <c r="C869" t="s">
        <v>341</v>
      </c>
      <c r="D869" t="s">
        <v>446</v>
      </c>
      <c r="E869" t="s">
        <v>1006</v>
      </c>
      <c r="F869">
        <v>19425</v>
      </c>
      <c r="G869" t="s">
        <v>2012</v>
      </c>
      <c r="H869" t="s">
        <v>2318</v>
      </c>
      <c r="I869" t="s">
        <v>2309</v>
      </c>
      <c r="J869" t="s">
        <v>1089</v>
      </c>
      <c r="K869" t="s">
        <v>1967</v>
      </c>
      <c r="L869" t="s">
        <v>1968</v>
      </c>
      <c r="M869" t="s">
        <v>980</v>
      </c>
      <c r="N869" t="s">
        <v>1969</v>
      </c>
      <c r="O869" t="s">
        <v>446</v>
      </c>
      <c r="P869" t="s">
        <v>1009</v>
      </c>
      <c r="Q869" t="b">
        <v>1</v>
      </c>
      <c r="R869" t="b">
        <v>0</v>
      </c>
      <c r="S869" t="s">
        <v>1950</v>
      </c>
      <c r="T869" t="s">
        <v>446</v>
      </c>
      <c r="U869" t="s">
        <v>1951</v>
      </c>
      <c r="V869" t="s">
        <v>1093</v>
      </c>
      <c r="W869" t="s">
        <v>1952</v>
      </c>
      <c r="X869" t="s">
        <v>2310</v>
      </c>
      <c r="Y869" t="s">
        <v>2311</v>
      </c>
      <c r="Z869" t="s">
        <v>446</v>
      </c>
      <c r="AA869" t="s">
        <v>341</v>
      </c>
      <c r="AB869" t="s">
        <v>446</v>
      </c>
      <c r="AC869" t="b">
        <v>0</v>
      </c>
      <c r="AD869" t="b">
        <v>1</v>
      </c>
    </row>
    <row r="870" spans="1:30" x14ac:dyDescent="0.25">
      <c r="A870" t="s">
        <v>42</v>
      </c>
      <c r="B870" t="s">
        <v>1503</v>
      </c>
      <c r="C870" t="s">
        <v>341</v>
      </c>
      <c r="D870" t="s">
        <v>446</v>
      </c>
      <c r="E870" t="s">
        <v>1013</v>
      </c>
      <c r="F870">
        <v>21909</v>
      </c>
      <c r="G870" t="s">
        <v>2012</v>
      </c>
      <c r="H870" t="s">
        <v>2319</v>
      </c>
      <c r="I870" t="s">
        <v>2309</v>
      </c>
      <c r="J870" t="s">
        <v>1089</v>
      </c>
      <c r="K870" t="s">
        <v>1016</v>
      </c>
      <c r="L870" t="s">
        <v>1972</v>
      </c>
      <c r="M870" t="s">
        <v>980</v>
      </c>
      <c r="N870" t="s">
        <v>1017</v>
      </c>
      <c r="O870" t="s">
        <v>446</v>
      </c>
      <c r="P870" t="s">
        <v>1015</v>
      </c>
      <c r="Q870" t="b">
        <v>1</v>
      </c>
      <c r="R870" t="b">
        <v>0</v>
      </c>
      <c r="S870" t="s">
        <v>1950</v>
      </c>
      <c r="T870" t="s">
        <v>446</v>
      </c>
      <c r="U870" t="s">
        <v>1951</v>
      </c>
      <c r="V870" t="s">
        <v>1093</v>
      </c>
      <c r="W870" t="s">
        <v>1952</v>
      </c>
      <c r="X870" t="s">
        <v>2310</v>
      </c>
      <c r="Y870" t="s">
        <v>2311</v>
      </c>
      <c r="Z870" t="s">
        <v>446</v>
      </c>
      <c r="AA870" t="s">
        <v>341</v>
      </c>
      <c r="AB870" t="s">
        <v>446</v>
      </c>
      <c r="AC870" t="b">
        <v>0</v>
      </c>
      <c r="AD870" t="b">
        <v>1</v>
      </c>
    </row>
    <row r="871" spans="1:30" x14ac:dyDescent="0.25">
      <c r="A871" t="s">
        <v>42</v>
      </c>
      <c r="B871" t="s">
        <v>1505</v>
      </c>
      <c r="C871" t="s">
        <v>341</v>
      </c>
      <c r="D871" t="s">
        <v>446</v>
      </c>
      <c r="E871" t="s">
        <v>1018</v>
      </c>
      <c r="F871">
        <v>23820</v>
      </c>
      <c r="G871" t="s">
        <v>2012</v>
      </c>
      <c r="H871" t="s">
        <v>2320</v>
      </c>
      <c r="I871" t="s">
        <v>2309</v>
      </c>
      <c r="J871" t="s">
        <v>1089</v>
      </c>
      <c r="K871" t="s">
        <v>1021</v>
      </c>
      <c r="L871" t="s">
        <v>1975</v>
      </c>
      <c r="M871" t="s">
        <v>980</v>
      </c>
      <c r="N871" t="s">
        <v>1022</v>
      </c>
      <c r="O871" t="s">
        <v>446</v>
      </c>
      <c r="P871" t="s">
        <v>1020</v>
      </c>
      <c r="Q871" t="b">
        <v>1</v>
      </c>
      <c r="R871" t="b">
        <v>0</v>
      </c>
      <c r="S871" t="s">
        <v>1950</v>
      </c>
      <c r="T871" t="s">
        <v>446</v>
      </c>
      <c r="U871" t="s">
        <v>1951</v>
      </c>
      <c r="V871" t="s">
        <v>1093</v>
      </c>
      <c r="W871" t="s">
        <v>1952</v>
      </c>
      <c r="X871" t="s">
        <v>2310</v>
      </c>
      <c r="Y871" t="s">
        <v>2311</v>
      </c>
      <c r="Z871" t="s">
        <v>446</v>
      </c>
      <c r="AA871" t="s">
        <v>341</v>
      </c>
      <c r="AB871" t="s">
        <v>446</v>
      </c>
      <c r="AC871" t="b">
        <v>0</v>
      </c>
      <c r="AD871" t="b">
        <v>1</v>
      </c>
    </row>
    <row r="872" spans="1:30" x14ac:dyDescent="0.25">
      <c r="A872" t="s">
        <v>42</v>
      </c>
      <c r="B872" t="s">
        <v>1507</v>
      </c>
      <c r="C872" t="s">
        <v>341</v>
      </c>
      <c r="D872" t="s">
        <v>446</v>
      </c>
      <c r="E872" t="s">
        <v>1023</v>
      </c>
      <c r="F872">
        <v>5468</v>
      </c>
      <c r="G872" t="s">
        <v>2012</v>
      </c>
      <c r="H872" t="s">
        <v>2321</v>
      </c>
      <c r="I872" t="s">
        <v>2315</v>
      </c>
      <c r="J872" t="s">
        <v>1089</v>
      </c>
      <c r="K872" t="s">
        <v>1026</v>
      </c>
      <c r="L872" t="s">
        <v>1979</v>
      </c>
      <c r="M872" t="s">
        <v>1000</v>
      </c>
      <c r="N872" t="s">
        <v>1027</v>
      </c>
      <c r="O872" t="s">
        <v>446</v>
      </c>
      <c r="P872" t="s">
        <v>1025</v>
      </c>
      <c r="Q872" t="b">
        <v>1</v>
      </c>
      <c r="R872" t="b">
        <v>0</v>
      </c>
      <c r="S872" t="s">
        <v>1950</v>
      </c>
      <c r="T872" t="s">
        <v>446</v>
      </c>
      <c r="U872" t="s">
        <v>1951</v>
      </c>
      <c r="V872" t="s">
        <v>1093</v>
      </c>
      <c r="W872" t="s">
        <v>1952</v>
      </c>
      <c r="X872" t="s">
        <v>2316</v>
      </c>
      <c r="Y872" t="s">
        <v>2317</v>
      </c>
      <c r="Z872" t="s">
        <v>446</v>
      </c>
      <c r="AA872" t="s">
        <v>341</v>
      </c>
      <c r="AB872" t="s">
        <v>446</v>
      </c>
      <c r="AC872" t="b">
        <v>0</v>
      </c>
      <c r="AD872" t="b">
        <v>1</v>
      </c>
    </row>
    <row r="873" spans="1:30" x14ac:dyDescent="0.25">
      <c r="A873" t="s">
        <v>42</v>
      </c>
      <c r="B873" t="s">
        <v>1509</v>
      </c>
      <c r="C873" t="s">
        <v>341</v>
      </c>
      <c r="D873" t="s">
        <v>446</v>
      </c>
      <c r="E873" t="s">
        <v>1029</v>
      </c>
      <c r="F873">
        <v>16499</v>
      </c>
      <c r="G873" t="s">
        <v>2012</v>
      </c>
      <c r="H873" t="s">
        <v>2322</v>
      </c>
      <c r="I873" t="s">
        <v>2309</v>
      </c>
      <c r="J873" t="s">
        <v>1089</v>
      </c>
      <c r="K873" t="s">
        <v>1033</v>
      </c>
      <c r="L873" t="s">
        <v>1982</v>
      </c>
      <c r="M873" t="s">
        <v>980</v>
      </c>
      <c r="N873" t="s">
        <v>1034</v>
      </c>
      <c r="O873" t="s">
        <v>446</v>
      </c>
      <c r="P873" t="s">
        <v>1031</v>
      </c>
      <c r="Q873" t="b">
        <v>1</v>
      </c>
      <c r="R873" t="b">
        <v>0</v>
      </c>
      <c r="S873" t="s">
        <v>1950</v>
      </c>
      <c r="T873" t="s">
        <v>446</v>
      </c>
      <c r="U873" t="s">
        <v>1951</v>
      </c>
      <c r="V873" t="s">
        <v>1093</v>
      </c>
      <c r="W873" t="s">
        <v>1952</v>
      </c>
      <c r="X873" t="s">
        <v>2310</v>
      </c>
      <c r="Y873" t="s">
        <v>2311</v>
      </c>
      <c r="Z873" t="s">
        <v>446</v>
      </c>
      <c r="AA873" t="s">
        <v>341</v>
      </c>
      <c r="AB873" t="s">
        <v>446</v>
      </c>
      <c r="AC873" t="b">
        <v>0</v>
      </c>
      <c r="AD873" t="b">
        <v>1</v>
      </c>
    </row>
    <row r="874" spans="1:30" x14ac:dyDescent="0.25">
      <c r="A874" t="s">
        <v>42</v>
      </c>
      <c r="B874" t="s">
        <v>1511</v>
      </c>
      <c r="C874" t="s">
        <v>341</v>
      </c>
      <c r="D874" t="s">
        <v>446</v>
      </c>
      <c r="E874" t="s">
        <v>1035</v>
      </c>
      <c r="F874">
        <v>17030</v>
      </c>
      <c r="G874" t="s">
        <v>2012</v>
      </c>
      <c r="H874" t="s">
        <v>2323</v>
      </c>
      <c r="I874" t="s">
        <v>2309</v>
      </c>
      <c r="J874" t="s">
        <v>1089</v>
      </c>
      <c r="K874" t="s">
        <v>1038</v>
      </c>
      <c r="L874" t="s">
        <v>1985</v>
      </c>
      <c r="M874" t="s">
        <v>980</v>
      </c>
      <c r="N874" t="s">
        <v>1039</v>
      </c>
      <c r="O874" t="s">
        <v>446</v>
      </c>
      <c r="P874" t="s">
        <v>1037</v>
      </c>
      <c r="Q874" t="b">
        <v>1</v>
      </c>
      <c r="R874" t="b">
        <v>0</v>
      </c>
      <c r="S874" t="s">
        <v>1950</v>
      </c>
      <c r="T874" t="s">
        <v>446</v>
      </c>
      <c r="U874" t="s">
        <v>1951</v>
      </c>
      <c r="V874" t="s">
        <v>1093</v>
      </c>
      <c r="W874" t="s">
        <v>1952</v>
      </c>
      <c r="X874" t="s">
        <v>2310</v>
      </c>
      <c r="Y874" t="s">
        <v>2311</v>
      </c>
      <c r="Z874" t="s">
        <v>446</v>
      </c>
      <c r="AA874" t="s">
        <v>341</v>
      </c>
      <c r="AB874" t="s">
        <v>446</v>
      </c>
      <c r="AC874" t="b">
        <v>0</v>
      </c>
      <c r="AD874" t="b">
        <v>1</v>
      </c>
    </row>
    <row r="875" spans="1:30" x14ac:dyDescent="0.25">
      <c r="A875" t="s">
        <v>42</v>
      </c>
      <c r="B875" t="s">
        <v>1513</v>
      </c>
      <c r="C875" t="s">
        <v>341</v>
      </c>
      <c r="D875" t="s">
        <v>446</v>
      </c>
      <c r="E875" t="s">
        <v>1040</v>
      </c>
      <c r="F875">
        <v>17692</v>
      </c>
      <c r="G875" t="s">
        <v>2012</v>
      </c>
      <c r="H875" t="s">
        <v>2324</v>
      </c>
      <c r="I875" t="s">
        <v>2309</v>
      </c>
      <c r="J875" t="s">
        <v>1089</v>
      </c>
      <c r="K875" t="s">
        <v>1043</v>
      </c>
      <c r="L875" t="s">
        <v>1988</v>
      </c>
      <c r="M875" t="s">
        <v>980</v>
      </c>
      <c r="N875" t="s">
        <v>1044</v>
      </c>
      <c r="O875" t="s">
        <v>446</v>
      </c>
      <c r="P875" t="s">
        <v>1042</v>
      </c>
      <c r="Q875" t="b">
        <v>1</v>
      </c>
      <c r="R875" t="b">
        <v>0</v>
      </c>
      <c r="S875" t="s">
        <v>1950</v>
      </c>
      <c r="T875" t="s">
        <v>446</v>
      </c>
      <c r="U875" t="s">
        <v>1951</v>
      </c>
      <c r="V875" t="s">
        <v>1093</v>
      </c>
      <c r="W875" t="s">
        <v>1952</v>
      </c>
      <c r="X875" t="s">
        <v>2310</v>
      </c>
      <c r="Y875" t="s">
        <v>2311</v>
      </c>
      <c r="Z875" t="s">
        <v>446</v>
      </c>
      <c r="AA875" t="s">
        <v>341</v>
      </c>
      <c r="AB875" t="s">
        <v>446</v>
      </c>
      <c r="AC875" t="b">
        <v>0</v>
      </c>
      <c r="AD875" t="b">
        <v>1</v>
      </c>
    </row>
    <row r="876" spans="1:30" x14ac:dyDescent="0.25">
      <c r="A876" t="s">
        <v>42</v>
      </c>
      <c r="B876" t="s">
        <v>1515</v>
      </c>
      <c r="C876" t="s">
        <v>341</v>
      </c>
      <c r="D876" t="s">
        <v>446</v>
      </c>
      <c r="E876" t="s">
        <v>1045</v>
      </c>
      <c r="F876">
        <v>5649</v>
      </c>
      <c r="G876" t="s">
        <v>2012</v>
      </c>
      <c r="H876" t="s">
        <v>2325</v>
      </c>
      <c r="I876" t="s">
        <v>2315</v>
      </c>
      <c r="J876" t="s">
        <v>1089</v>
      </c>
      <c r="K876" t="s">
        <v>1048</v>
      </c>
      <c r="L876" t="s">
        <v>1991</v>
      </c>
      <c r="M876" t="s">
        <v>1000</v>
      </c>
      <c r="N876" t="s">
        <v>1049</v>
      </c>
      <c r="O876" t="s">
        <v>446</v>
      </c>
      <c r="P876" t="s">
        <v>1047</v>
      </c>
      <c r="Q876" t="b">
        <v>1</v>
      </c>
      <c r="R876" t="b">
        <v>0</v>
      </c>
      <c r="S876" t="s">
        <v>1950</v>
      </c>
      <c r="T876" t="s">
        <v>446</v>
      </c>
      <c r="U876" t="s">
        <v>1951</v>
      </c>
      <c r="V876" t="s">
        <v>1093</v>
      </c>
      <c r="W876" t="s">
        <v>1952</v>
      </c>
      <c r="X876" t="s">
        <v>2316</v>
      </c>
      <c r="Y876" t="s">
        <v>2317</v>
      </c>
      <c r="Z876" t="s">
        <v>446</v>
      </c>
      <c r="AA876" t="s">
        <v>341</v>
      </c>
      <c r="AB876" t="s">
        <v>446</v>
      </c>
      <c r="AC876" t="b">
        <v>0</v>
      </c>
      <c r="AD876" t="b">
        <v>1</v>
      </c>
    </row>
    <row r="877" spans="1:30" x14ac:dyDescent="0.25">
      <c r="A877" t="s">
        <v>42</v>
      </c>
      <c r="B877" t="s">
        <v>1517</v>
      </c>
      <c r="C877" t="s">
        <v>341</v>
      </c>
      <c r="D877" t="s">
        <v>446</v>
      </c>
      <c r="E877" t="s">
        <v>1051</v>
      </c>
      <c r="F877">
        <v>14409</v>
      </c>
      <c r="G877" t="s">
        <v>2012</v>
      </c>
      <c r="H877" t="s">
        <v>2326</v>
      </c>
      <c r="I877" t="s">
        <v>2309</v>
      </c>
      <c r="J877" t="s">
        <v>1089</v>
      </c>
      <c r="K877" t="s">
        <v>1055</v>
      </c>
      <c r="L877" t="s">
        <v>1993</v>
      </c>
      <c r="M877" t="s">
        <v>980</v>
      </c>
      <c r="N877" t="s">
        <v>1056</v>
      </c>
      <c r="O877" t="s">
        <v>446</v>
      </c>
      <c r="P877" t="s">
        <v>1053</v>
      </c>
      <c r="Q877" t="b">
        <v>1</v>
      </c>
      <c r="R877" t="b">
        <v>0</v>
      </c>
      <c r="S877" t="s">
        <v>1950</v>
      </c>
      <c r="T877" t="s">
        <v>446</v>
      </c>
      <c r="U877" t="s">
        <v>1951</v>
      </c>
      <c r="V877" t="s">
        <v>1093</v>
      </c>
      <c r="W877" t="s">
        <v>1952</v>
      </c>
      <c r="X877" t="s">
        <v>2310</v>
      </c>
      <c r="Y877" t="s">
        <v>2311</v>
      </c>
      <c r="Z877" t="s">
        <v>446</v>
      </c>
      <c r="AA877" t="s">
        <v>341</v>
      </c>
      <c r="AB877" t="s">
        <v>446</v>
      </c>
      <c r="AC877" t="b">
        <v>0</v>
      </c>
      <c r="AD877" t="b">
        <v>1</v>
      </c>
    </row>
    <row r="878" spans="1:30" x14ac:dyDescent="0.25">
      <c r="A878" t="s">
        <v>42</v>
      </c>
      <c r="B878" t="s">
        <v>1519</v>
      </c>
      <c r="C878" t="s">
        <v>342</v>
      </c>
      <c r="D878" t="s">
        <v>446</v>
      </c>
      <c r="E878" t="s">
        <v>978</v>
      </c>
      <c r="F878">
        <v>1498</v>
      </c>
      <c r="G878" t="s">
        <v>2019</v>
      </c>
      <c r="H878" t="s">
        <v>2327</v>
      </c>
      <c r="I878" t="s">
        <v>2328</v>
      </c>
      <c r="J878" t="s">
        <v>1089</v>
      </c>
      <c r="K878" t="s">
        <v>984</v>
      </c>
      <c r="L878" t="s">
        <v>2329</v>
      </c>
      <c r="M878" t="s">
        <v>446</v>
      </c>
      <c r="N878" t="s">
        <v>446</v>
      </c>
      <c r="O878" t="s">
        <v>446</v>
      </c>
      <c r="P878" t="s">
        <v>981</v>
      </c>
      <c r="Q878" t="b">
        <v>1</v>
      </c>
      <c r="R878" t="b">
        <v>0</v>
      </c>
      <c r="S878" t="s">
        <v>1963</v>
      </c>
      <c r="T878" t="s">
        <v>2330</v>
      </c>
      <c r="U878" t="s">
        <v>2023</v>
      </c>
      <c r="V878" t="s">
        <v>1964</v>
      </c>
      <c r="W878" t="s">
        <v>2331</v>
      </c>
      <c r="X878" t="s">
        <v>2332</v>
      </c>
      <c r="Y878" t="s">
        <v>2328</v>
      </c>
      <c r="Z878" t="s">
        <v>446</v>
      </c>
      <c r="AA878" t="s">
        <v>342</v>
      </c>
      <c r="AB878" t="s">
        <v>446</v>
      </c>
      <c r="AC878" t="b">
        <v>0</v>
      </c>
      <c r="AD878" t="b">
        <v>1</v>
      </c>
    </row>
    <row r="879" spans="1:30" x14ac:dyDescent="0.25">
      <c r="A879" t="s">
        <v>42</v>
      </c>
      <c r="B879" t="s">
        <v>1521</v>
      </c>
      <c r="C879" t="s">
        <v>342</v>
      </c>
      <c r="D879" t="s">
        <v>446</v>
      </c>
      <c r="E879" t="s">
        <v>986</v>
      </c>
      <c r="F879">
        <v>1643</v>
      </c>
      <c r="G879" t="s">
        <v>2019</v>
      </c>
      <c r="H879" t="s">
        <v>2333</v>
      </c>
      <c r="I879" t="s">
        <v>2328</v>
      </c>
      <c r="J879" t="s">
        <v>1089</v>
      </c>
      <c r="K879" t="s">
        <v>990</v>
      </c>
      <c r="L879" t="s">
        <v>2334</v>
      </c>
      <c r="M879" t="s">
        <v>446</v>
      </c>
      <c r="N879" t="s">
        <v>446</v>
      </c>
      <c r="O879" t="s">
        <v>446</v>
      </c>
      <c r="P879" t="s">
        <v>988</v>
      </c>
      <c r="Q879" t="b">
        <v>1</v>
      </c>
      <c r="R879" t="b">
        <v>0</v>
      </c>
      <c r="S879" t="s">
        <v>1963</v>
      </c>
      <c r="T879" t="s">
        <v>2335</v>
      </c>
      <c r="U879" t="s">
        <v>2023</v>
      </c>
      <c r="V879" t="s">
        <v>1964</v>
      </c>
      <c r="W879" t="s">
        <v>2336</v>
      </c>
      <c r="X879" t="s">
        <v>2337</v>
      </c>
      <c r="Y879" t="s">
        <v>2328</v>
      </c>
      <c r="Z879" t="s">
        <v>446</v>
      </c>
      <c r="AA879" t="s">
        <v>342</v>
      </c>
      <c r="AB879" t="s">
        <v>446</v>
      </c>
      <c r="AC879" t="b">
        <v>0</v>
      </c>
      <c r="AD879" t="b">
        <v>1</v>
      </c>
    </row>
    <row r="880" spans="1:30" x14ac:dyDescent="0.25">
      <c r="A880" t="s">
        <v>42</v>
      </c>
      <c r="B880" t="s">
        <v>1523</v>
      </c>
      <c r="C880" t="s">
        <v>342</v>
      </c>
      <c r="D880" t="s">
        <v>446</v>
      </c>
      <c r="E880" t="s">
        <v>992</v>
      </c>
      <c r="F880">
        <v>1603</v>
      </c>
      <c r="G880" t="s">
        <v>2019</v>
      </c>
      <c r="H880" t="s">
        <v>2338</v>
      </c>
      <c r="I880" t="s">
        <v>2328</v>
      </c>
      <c r="J880" t="s">
        <v>1089</v>
      </c>
      <c r="K880" t="s">
        <v>996</v>
      </c>
      <c r="L880" t="s">
        <v>2339</v>
      </c>
      <c r="M880" t="s">
        <v>446</v>
      </c>
      <c r="N880" t="s">
        <v>446</v>
      </c>
      <c r="O880" t="s">
        <v>446</v>
      </c>
      <c r="P880" t="s">
        <v>994</v>
      </c>
      <c r="Q880" t="b">
        <v>1</v>
      </c>
      <c r="R880" t="b">
        <v>0</v>
      </c>
      <c r="S880" t="s">
        <v>1963</v>
      </c>
      <c r="T880" t="s">
        <v>2335</v>
      </c>
      <c r="U880" t="s">
        <v>2023</v>
      </c>
      <c r="V880" t="s">
        <v>1964</v>
      </c>
      <c r="W880" t="s">
        <v>2336</v>
      </c>
      <c r="X880" t="s">
        <v>2337</v>
      </c>
      <c r="Y880" t="s">
        <v>2328</v>
      </c>
      <c r="Z880" t="s">
        <v>446</v>
      </c>
      <c r="AA880" t="s">
        <v>342</v>
      </c>
      <c r="AB880" t="s">
        <v>446</v>
      </c>
      <c r="AC880" t="b">
        <v>0</v>
      </c>
      <c r="AD880" t="b">
        <v>1</v>
      </c>
    </row>
    <row r="881" spans="1:30" x14ac:dyDescent="0.25">
      <c r="A881" t="s">
        <v>42</v>
      </c>
      <c r="B881" t="s">
        <v>1525</v>
      </c>
      <c r="C881" t="s">
        <v>342</v>
      </c>
      <c r="D881" t="s">
        <v>446</v>
      </c>
      <c r="E881" t="s">
        <v>998</v>
      </c>
      <c r="F881">
        <v>1593</v>
      </c>
      <c r="G881" t="s">
        <v>2019</v>
      </c>
      <c r="H881" t="s">
        <v>2340</v>
      </c>
      <c r="I881" t="s">
        <v>2328</v>
      </c>
      <c r="J881" t="s">
        <v>1089</v>
      </c>
      <c r="K881" t="s">
        <v>1003</v>
      </c>
      <c r="L881" t="s">
        <v>2341</v>
      </c>
      <c r="M881" t="s">
        <v>1000</v>
      </c>
      <c r="N881" t="s">
        <v>446</v>
      </c>
      <c r="O881" t="s">
        <v>446</v>
      </c>
      <c r="P881" t="s">
        <v>1001</v>
      </c>
      <c r="Q881" t="b">
        <v>1</v>
      </c>
      <c r="R881" t="b">
        <v>0</v>
      </c>
      <c r="S881" t="s">
        <v>1963</v>
      </c>
      <c r="T881" t="s">
        <v>2335</v>
      </c>
      <c r="U881" t="s">
        <v>2023</v>
      </c>
      <c r="V881" t="s">
        <v>1964</v>
      </c>
      <c r="W881" t="s">
        <v>2336</v>
      </c>
      <c r="X881" t="s">
        <v>2337</v>
      </c>
      <c r="Y881" t="s">
        <v>2328</v>
      </c>
      <c r="Z881" t="s">
        <v>446</v>
      </c>
      <c r="AA881" t="s">
        <v>342</v>
      </c>
      <c r="AB881" t="s">
        <v>446</v>
      </c>
      <c r="AC881" t="b">
        <v>0</v>
      </c>
      <c r="AD881" t="b">
        <v>1</v>
      </c>
    </row>
    <row r="882" spans="1:30" x14ac:dyDescent="0.25">
      <c r="A882" t="s">
        <v>42</v>
      </c>
      <c r="B882" t="s">
        <v>1527</v>
      </c>
      <c r="C882" t="s">
        <v>342</v>
      </c>
      <c r="D882" t="s">
        <v>446</v>
      </c>
      <c r="E882" t="s">
        <v>1006</v>
      </c>
      <c r="F882">
        <v>1485</v>
      </c>
      <c r="G882" t="s">
        <v>2019</v>
      </c>
      <c r="H882" t="s">
        <v>2342</v>
      </c>
      <c r="I882" t="s">
        <v>2343</v>
      </c>
      <c r="J882" t="s">
        <v>1089</v>
      </c>
      <c r="K882" t="s">
        <v>1967</v>
      </c>
      <c r="L882" t="s">
        <v>1968</v>
      </c>
      <c r="M882" t="s">
        <v>980</v>
      </c>
      <c r="N882" t="s">
        <v>1969</v>
      </c>
      <c r="O882" t="s">
        <v>446</v>
      </c>
      <c r="P882" t="s">
        <v>1009</v>
      </c>
      <c r="Q882" t="b">
        <v>1</v>
      </c>
      <c r="R882" t="b">
        <v>0</v>
      </c>
      <c r="S882" t="s">
        <v>1963</v>
      </c>
      <c r="T882" t="s">
        <v>2330</v>
      </c>
      <c r="U882" t="s">
        <v>2023</v>
      </c>
      <c r="V882" t="s">
        <v>1964</v>
      </c>
      <c r="W882" t="s">
        <v>2331</v>
      </c>
      <c r="X882" t="s">
        <v>2344</v>
      </c>
      <c r="Y882" t="s">
        <v>2345</v>
      </c>
      <c r="Z882" t="s">
        <v>446</v>
      </c>
      <c r="AA882" t="s">
        <v>342</v>
      </c>
      <c r="AB882" t="s">
        <v>446</v>
      </c>
      <c r="AC882" t="b">
        <v>0</v>
      </c>
      <c r="AD882" t="b">
        <v>1</v>
      </c>
    </row>
    <row r="883" spans="1:30" x14ac:dyDescent="0.25">
      <c r="A883" t="s">
        <v>42</v>
      </c>
      <c r="B883" t="s">
        <v>1529</v>
      </c>
      <c r="C883" t="s">
        <v>342</v>
      </c>
      <c r="D883" t="s">
        <v>446</v>
      </c>
      <c r="E883" t="s">
        <v>1013</v>
      </c>
      <c r="F883">
        <v>1622</v>
      </c>
      <c r="G883" t="s">
        <v>2019</v>
      </c>
      <c r="H883" t="s">
        <v>2346</v>
      </c>
      <c r="I883" t="s">
        <v>2328</v>
      </c>
      <c r="J883" t="s">
        <v>1089</v>
      </c>
      <c r="K883" t="s">
        <v>1016</v>
      </c>
      <c r="L883" t="s">
        <v>2347</v>
      </c>
      <c r="M883" t="s">
        <v>446</v>
      </c>
      <c r="N883" t="s">
        <v>446</v>
      </c>
      <c r="O883" t="s">
        <v>446</v>
      </c>
      <c r="P883" t="s">
        <v>1015</v>
      </c>
      <c r="Q883" t="b">
        <v>1</v>
      </c>
      <c r="R883" t="b">
        <v>0</v>
      </c>
      <c r="S883" t="s">
        <v>1963</v>
      </c>
      <c r="T883" t="s">
        <v>2330</v>
      </c>
      <c r="U883" t="s">
        <v>2023</v>
      </c>
      <c r="V883" t="s">
        <v>1964</v>
      </c>
      <c r="W883" t="s">
        <v>2331</v>
      </c>
      <c r="X883" t="s">
        <v>2332</v>
      </c>
      <c r="Y883" t="s">
        <v>2328</v>
      </c>
      <c r="Z883" t="s">
        <v>446</v>
      </c>
      <c r="AA883" t="s">
        <v>342</v>
      </c>
      <c r="AB883" t="s">
        <v>446</v>
      </c>
      <c r="AC883" t="b">
        <v>0</v>
      </c>
      <c r="AD883" t="b">
        <v>1</v>
      </c>
    </row>
    <row r="884" spans="1:30" x14ac:dyDescent="0.25">
      <c r="A884" t="s">
        <v>42</v>
      </c>
      <c r="B884" t="s">
        <v>1531</v>
      </c>
      <c r="C884" t="s">
        <v>342</v>
      </c>
      <c r="D884" t="s">
        <v>446</v>
      </c>
      <c r="E884" t="s">
        <v>1018</v>
      </c>
      <c r="F884">
        <v>1479</v>
      </c>
      <c r="G884" t="s">
        <v>2019</v>
      </c>
      <c r="H884" t="s">
        <v>2348</v>
      </c>
      <c r="I884" t="s">
        <v>2328</v>
      </c>
      <c r="J884" t="s">
        <v>1089</v>
      </c>
      <c r="K884" t="s">
        <v>1021</v>
      </c>
      <c r="L884" t="s">
        <v>2349</v>
      </c>
      <c r="M884" t="s">
        <v>446</v>
      </c>
      <c r="N884" t="s">
        <v>446</v>
      </c>
      <c r="O884" t="s">
        <v>446</v>
      </c>
      <c r="P884" t="s">
        <v>1020</v>
      </c>
      <c r="Q884" t="b">
        <v>1</v>
      </c>
      <c r="R884" t="b">
        <v>0</v>
      </c>
      <c r="S884" t="s">
        <v>1963</v>
      </c>
      <c r="T884" t="s">
        <v>2330</v>
      </c>
      <c r="U884" t="s">
        <v>2023</v>
      </c>
      <c r="V884" t="s">
        <v>1964</v>
      </c>
      <c r="W884" t="s">
        <v>2331</v>
      </c>
      <c r="X884" t="s">
        <v>2332</v>
      </c>
      <c r="Y884" t="s">
        <v>2328</v>
      </c>
      <c r="Z884" t="s">
        <v>446</v>
      </c>
      <c r="AA884" t="s">
        <v>342</v>
      </c>
      <c r="AB884" t="s">
        <v>446</v>
      </c>
      <c r="AC884" t="b">
        <v>0</v>
      </c>
      <c r="AD884" t="b">
        <v>1</v>
      </c>
    </row>
    <row r="885" spans="1:30" x14ac:dyDescent="0.25">
      <c r="A885" t="s">
        <v>42</v>
      </c>
      <c r="B885" t="s">
        <v>1533</v>
      </c>
      <c r="C885" t="s">
        <v>342</v>
      </c>
      <c r="D885" t="s">
        <v>446</v>
      </c>
      <c r="E885" t="s">
        <v>1023</v>
      </c>
      <c r="F885">
        <v>1387</v>
      </c>
      <c r="G885" t="s">
        <v>2019</v>
      </c>
      <c r="H885" t="s">
        <v>2350</v>
      </c>
      <c r="I885" t="s">
        <v>2328</v>
      </c>
      <c r="J885" t="s">
        <v>1089</v>
      </c>
      <c r="K885" t="s">
        <v>1026</v>
      </c>
      <c r="L885" t="s">
        <v>2037</v>
      </c>
      <c r="M885" t="s">
        <v>1000</v>
      </c>
      <c r="N885" t="s">
        <v>446</v>
      </c>
      <c r="O885" t="s">
        <v>446</v>
      </c>
      <c r="P885" t="s">
        <v>1025</v>
      </c>
      <c r="Q885" t="b">
        <v>1</v>
      </c>
      <c r="R885" t="b">
        <v>0</v>
      </c>
      <c r="S885" t="s">
        <v>1963</v>
      </c>
      <c r="T885" t="s">
        <v>2330</v>
      </c>
      <c r="U885" t="s">
        <v>2023</v>
      </c>
      <c r="V885" t="s">
        <v>1964</v>
      </c>
      <c r="W885" t="s">
        <v>2331</v>
      </c>
      <c r="X885" t="s">
        <v>2332</v>
      </c>
      <c r="Y885" t="s">
        <v>2328</v>
      </c>
      <c r="Z885" t="s">
        <v>446</v>
      </c>
      <c r="AA885" t="s">
        <v>342</v>
      </c>
      <c r="AB885" t="s">
        <v>446</v>
      </c>
      <c r="AC885" t="b">
        <v>0</v>
      </c>
      <c r="AD885" t="b">
        <v>1</v>
      </c>
    </row>
    <row r="886" spans="1:30" x14ac:dyDescent="0.25">
      <c r="A886" t="s">
        <v>42</v>
      </c>
      <c r="B886" t="s">
        <v>1535</v>
      </c>
      <c r="C886" t="s">
        <v>342</v>
      </c>
      <c r="D886" t="s">
        <v>446</v>
      </c>
      <c r="E886" t="s">
        <v>1029</v>
      </c>
      <c r="F886">
        <v>1728</v>
      </c>
      <c r="G886" t="s">
        <v>2019</v>
      </c>
      <c r="H886" t="s">
        <v>2351</v>
      </c>
      <c r="I886" t="s">
        <v>2328</v>
      </c>
      <c r="J886" t="s">
        <v>1089</v>
      </c>
      <c r="K886" t="s">
        <v>1033</v>
      </c>
      <c r="L886" t="s">
        <v>2352</v>
      </c>
      <c r="M886" t="s">
        <v>446</v>
      </c>
      <c r="N886" t="s">
        <v>446</v>
      </c>
      <c r="O886" t="s">
        <v>446</v>
      </c>
      <c r="P886" t="s">
        <v>1031</v>
      </c>
      <c r="Q886" t="b">
        <v>1</v>
      </c>
      <c r="R886" t="b">
        <v>0</v>
      </c>
      <c r="S886" t="s">
        <v>1963</v>
      </c>
      <c r="T886" t="s">
        <v>2330</v>
      </c>
      <c r="U886" t="s">
        <v>2023</v>
      </c>
      <c r="V886" t="s">
        <v>1964</v>
      </c>
      <c r="W886" t="s">
        <v>2331</v>
      </c>
      <c r="X886" t="s">
        <v>2332</v>
      </c>
      <c r="Y886" t="s">
        <v>2328</v>
      </c>
      <c r="Z886" t="s">
        <v>446</v>
      </c>
      <c r="AA886" t="s">
        <v>342</v>
      </c>
      <c r="AB886" t="s">
        <v>446</v>
      </c>
      <c r="AC886" t="b">
        <v>0</v>
      </c>
      <c r="AD886" t="b">
        <v>1</v>
      </c>
    </row>
    <row r="887" spans="1:30" x14ac:dyDescent="0.25">
      <c r="A887" t="s">
        <v>42</v>
      </c>
      <c r="B887" t="s">
        <v>1537</v>
      </c>
      <c r="C887" t="s">
        <v>342</v>
      </c>
      <c r="D887" t="s">
        <v>446</v>
      </c>
      <c r="E887" t="s">
        <v>1035</v>
      </c>
      <c r="F887">
        <v>444</v>
      </c>
      <c r="G887" t="s">
        <v>2019</v>
      </c>
      <c r="H887" t="s">
        <v>2353</v>
      </c>
      <c r="I887" t="s">
        <v>2328</v>
      </c>
      <c r="J887" t="s">
        <v>1089</v>
      </c>
      <c r="K887" t="s">
        <v>1038</v>
      </c>
      <c r="L887" t="s">
        <v>2354</v>
      </c>
      <c r="M887" t="s">
        <v>446</v>
      </c>
      <c r="N887" t="s">
        <v>446</v>
      </c>
      <c r="O887" t="s">
        <v>446</v>
      </c>
      <c r="P887" t="s">
        <v>1037</v>
      </c>
      <c r="Q887" t="b">
        <v>1</v>
      </c>
      <c r="R887" t="b">
        <v>0</v>
      </c>
      <c r="S887" t="s">
        <v>1963</v>
      </c>
      <c r="T887" t="s">
        <v>2330</v>
      </c>
      <c r="U887" t="s">
        <v>2023</v>
      </c>
      <c r="V887" t="s">
        <v>1964</v>
      </c>
      <c r="W887" t="s">
        <v>2331</v>
      </c>
      <c r="X887" t="s">
        <v>2332</v>
      </c>
      <c r="Y887" t="s">
        <v>2328</v>
      </c>
      <c r="Z887" t="s">
        <v>446</v>
      </c>
      <c r="AA887" t="s">
        <v>342</v>
      </c>
      <c r="AB887" t="s">
        <v>446</v>
      </c>
      <c r="AC887" t="b">
        <v>0</v>
      </c>
      <c r="AD887" t="b">
        <v>1</v>
      </c>
    </row>
    <row r="888" spans="1:30" x14ac:dyDescent="0.25">
      <c r="A888" t="s">
        <v>42</v>
      </c>
      <c r="B888" t="s">
        <v>1539</v>
      </c>
      <c r="C888" t="s">
        <v>342</v>
      </c>
      <c r="D888" t="s">
        <v>446</v>
      </c>
      <c r="E888" t="s">
        <v>1040</v>
      </c>
      <c r="F888">
        <v>568</v>
      </c>
      <c r="G888" t="s">
        <v>2019</v>
      </c>
      <c r="H888" t="s">
        <v>2355</v>
      </c>
      <c r="I888" t="s">
        <v>2328</v>
      </c>
      <c r="J888" t="s">
        <v>1089</v>
      </c>
      <c r="K888" t="s">
        <v>1043</v>
      </c>
      <c r="L888" t="s">
        <v>2356</v>
      </c>
      <c r="M888" t="s">
        <v>446</v>
      </c>
      <c r="N888" t="s">
        <v>446</v>
      </c>
      <c r="O888" t="s">
        <v>446</v>
      </c>
      <c r="P888" t="s">
        <v>1042</v>
      </c>
      <c r="Q888" t="b">
        <v>1</v>
      </c>
      <c r="R888" t="b">
        <v>0</v>
      </c>
      <c r="S888" t="s">
        <v>1963</v>
      </c>
      <c r="T888" t="s">
        <v>2330</v>
      </c>
      <c r="U888" t="s">
        <v>2023</v>
      </c>
      <c r="V888" t="s">
        <v>1964</v>
      </c>
      <c r="W888" t="s">
        <v>2331</v>
      </c>
      <c r="X888" t="s">
        <v>2332</v>
      </c>
      <c r="Y888" t="s">
        <v>2328</v>
      </c>
      <c r="Z888" t="s">
        <v>446</v>
      </c>
      <c r="AA888" t="s">
        <v>342</v>
      </c>
      <c r="AB888" t="s">
        <v>446</v>
      </c>
      <c r="AC888" t="b">
        <v>0</v>
      </c>
      <c r="AD888" t="b">
        <v>1</v>
      </c>
    </row>
    <row r="889" spans="1:30" x14ac:dyDescent="0.25">
      <c r="A889" t="s">
        <v>42</v>
      </c>
      <c r="B889" t="s">
        <v>1541</v>
      </c>
      <c r="C889" t="s">
        <v>342</v>
      </c>
      <c r="D889" t="s">
        <v>446</v>
      </c>
      <c r="E889" t="s">
        <v>1045</v>
      </c>
      <c r="F889">
        <v>525</v>
      </c>
      <c r="G889" t="s">
        <v>2019</v>
      </c>
      <c r="H889" t="s">
        <v>2357</v>
      </c>
      <c r="I889" t="s">
        <v>2328</v>
      </c>
      <c r="J889" t="s">
        <v>1089</v>
      </c>
      <c r="K889" t="s">
        <v>1048</v>
      </c>
      <c r="L889" t="s">
        <v>2043</v>
      </c>
      <c r="M889" t="s">
        <v>1000</v>
      </c>
      <c r="N889" t="s">
        <v>446</v>
      </c>
      <c r="O889" t="s">
        <v>446</v>
      </c>
      <c r="P889" t="s">
        <v>1047</v>
      </c>
      <c r="Q889" t="b">
        <v>1</v>
      </c>
      <c r="R889" t="b">
        <v>0</v>
      </c>
      <c r="S889" t="s">
        <v>1963</v>
      </c>
      <c r="T889" t="s">
        <v>2330</v>
      </c>
      <c r="U889" t="s">
        <v>2023</v>
      </c>
      <c r="V889" t="s">
        <v>1964</v>
      </c>
      <c r="W889" t="s">
        <v>2331</v>
      </c>
      <c r="X889" t="s">
        <v>2332</v>
      </c>
      <c r="Y889" t="s">
        <v>2328</v>
      </c>
      <c r="Z889" t="s">
        <v>446</v>
      </c>
      <c r="AA889" t="s">
        <v>342</v>
      </c>
      <c r="AB889" t="s">
        <v>446</v>
      </c>
      <c r="AC889" t="b">
        <v>0</v>
      </c>
      <c r="AD889" t="b">
        <v>1</v>
      </c>
    </row>
    <row r="890" spans="1:30" x14ac:dyDescent="0.25">
      <c r="A890" t="s">
        <v>42</v>
      </c>
      <c r="B890" t="s">
        <v>1543</v>
      </c>
      <c r="C890" t="s">
        <v>342</v>
      </c>
      <c r="D890" t="s">
        <v>446</v>
      </c>
      <c r="E890" t="s">
        <v>1051</v>
      </c>
      <c r="F890">
        <v>717</v>
      </c>
      <c r="G890" t="s">
        <v>2019</v>
      </c>
      <c r="H890" t="s">
        <v>2358</v>
      </c>
      <c r="I890" t="s">
        <v>2343</v>
      </c>
      <c r="J890" t="s">
        <v>1089</v>
      </c>
      <c r="K890" t="s">
        <v>1055</v>
      </c>
      <c r="L890" t="s">
        <v>1993</v>
      </c>
      <c r="M890" t="s">
        <v>980</v>
      </c>
      <c r="N890" t="s">
        <v>1056</v>
      </c>
      <c r="O890" t="s">
        <v>446</v>
      </c>
      <c r="P890" t="s">
        <v>1053</v>
      </c>
      <c r="Q890" t="b">
        <v>1</v>
      </c>
      <c r="R890" t="b">
        <v>0</v>
      </c>
      <c r="S890" t="s">
        <v>1963</v>
      </c>
      <c r="T890" t="s">
        <v>2330</v>
      </c>
      <c r="U890" t="s">
        <v>2023</v>
      </c>
      <c r="V890" t="s">
        <v>1964</v>
      </c>
      <c r="W890" t="s">
        <v>2331</v>
      </c>
      <c r="X890" t="s">
        <v>2344</v>
      </c>
      <c r="Y890" t="s">
        <v>2345</v>
      </c>
      <c r="Z890" t="s">
        <v>446</v>
      </c>
      <c r="AA890" t="s">
        <v>342</v>
      </c>
      <c r="AB890" t="s">
        <v>446</v>
      </c>
      <c r="AC890" t="b">
        <v>0</v>
      </c>
      <c r="AD890" t="b">
        <v>1</v>
      </c>
    </row>
    <row r="891" spans="1:30" x14ac:dyDescent="0.25">
      <c r="A891" t="s">
        <v>42</v>
      </c>
      <c r="B891" t="s">
        <v>2359</v>
      </c>
      <c r="C891" t="s">
        <v>343</v>
      </c>
      <c r="D891" t="s">
        <v>446</v>
      </c>
      <c r="E891" t="s">
        <v>978</v>
      </c>
      <c r="F891">
        <v>173</v>
      </c>
      <c r="G891" t="s">
        <v>2012</v>
      </c>
      <c r="H891" t="s">
        <v>2360</v>
      </c>
      <c r="I891" t="s">
        <v>2361</v>
      </c>
      <c r="J891" t="s">
        <v>1089</v>
      </c>
      <c r="K891" t="s">
        <v>984</v>
      </c>
      <c r="L891" t="s">
        <v>2362</v>
      </c>
      <c r="M891" t="s">
        <v>980</v>
      </c>
      <c r="N891" t="s">
        <v>985</v>
      </c>
      <c r="O891" t="s">
        <v>446</v>
      </c>
      <c r="P891" t="s">
        <v>981</v>
      </c>
      <c r="Q891" t="b">
        <v>1</v>
      </c>
      <c r="R891" t="b">
        <v>0</v>
      </c>
      <c r="S891" t="s">
        <v>2363</v>
      </c>
      <c r="T891" t="s">
        <v>446</v>
      </c>
      <c r="U891" t="s">
        <v>1951</v>
      </c>
      <c r="V891" t="s">
        <v>1964</v>
      </c>
      <c r="W891" t="s">
        <v>2364</v>
      </c>
      <c r="X891" t="s">
        <v>2365</v>
      </c>
      <c r="Y891" t="s">
        <v>2366</v>
      </c>
      <c r="Z891" t="s">
        <v>2367</v>
      </c>
      <c r="AA891" t="s">
        <v>346</v>
      </c>
      <c r="AB891" t="s">
        <v>2368</v>
      </c>
      <c r="AC891" t="b">
        <v>0</v>
      </c>
      <c r="AD891" t="b">
        <v>1</v>
      </c>
    </row>
    <row r="892" spans="1:30" x14ac:dyDescent="0.25">
      <c r="A892" t="s">
        <v>42</v>
      </c>
      <c r="B892" t="s">
        <v>2369</v>
      </c>
      <c r="C892" t="s">
        <v>343</v>
      </c>
      <c r="D892" t="s">
        <v>446</v>
      </c>
      <c r="E892" t="s">
        <v>986</v>
      </c>
      <c r="F892">
        <v>175</v>
      </c>
      <c r="G892" t="s">
        <v>2012</v>
      </c>
      <c r="H892" t="s">
        <v>2370</v>
      </c>
      <c r="I892" t="s">
        <v>2361</v>
      </c>
      <c r="J892" t="s">
        <v>1089</v>
      </c>
      <c r="K892" t="s">
        <v>990</v>
      </c>
      <c r="L892" t="s">
        <v>2371</v>
      </c>
      <c r="M892" t="s">
        <v>980</v>
      </c>
      <c r="N892" t="s">
        <v>991</v>
      </c>
      <c r="O892" t="s">
        <v>446</v>
      </c>
      <c r="P892" t="s">
        <v>988</v>
      </c>
      <c r="Q892" t="b">
        <v>1</v>
      </c>
      <c r="R892" t="b">
        <v>0</v>
      </c>
      <c r="S892" t="s">
        <v>2363</v>
      </c>
      <c r="T892" t="s">
        <v>446</v>
      </c>
      <c r="U892" t="s">
        <v>1951</v>
      </c>
      <c r="V892" t="s">
        <v>1964</v>
      </c>
      <c r="W892" t="s">
        <v>2372</v>
      </c>
      <c r="X892" t="s">
        <v>2365</v>
      </c>
      <c r="Y892" t="s">
        <v>2366</v>
      </c>
      <c r="Z892" t="s">
        <v>2367</v>
      </c>
      <c r="AA892" t="s">
        <v>346</v>
      </c>
      <c r="AB892" t="s">
        <v>2368</v>
      </c>
      <c r="AC892" t="b">
        <v>0</v>
      </c>
      <c r="AD892" t="b">
        <v>1</v>
      </c>
    </row>
    <row r="893" spans="1:30" x14ac:dyDescent="0.25">
      <c r="A893" t="s">
        <v>42</v>
      </c>
      <c r="B893" t="s">
        <v>2373</v>
      </c>
      <c r="C893" t="s">
        <v>343</v>
      </c>
      <c r="D893" t="s">
        <v>446</v>
      </c>
      <c r="E893" t="s">
        <v>992</v>
      </c>
      <c r="F893">
        <v>191</v>
      </c>
      <c r="G893" t="s">
        <v>2012</v>
      </c>
      <c r="H893" t="s">
        <v>2374</v>
      </c>
      <c r="I893" t="s">
        <v>2361</v>
      </c>
      <c r="J893" t="s">
        <v>1089</v>
      </c>
      <c r="K893" t="s">
        <v>996</v>
      </c>
      <c r="L893" t="s">
        <v>2375</v>
      </c>
      <c r="M893" t="s">
        <v>980</v>
      </c>
      <c r="N893" t="s">
        <v>997</v>
      </c>
      <c r="O893" t="s">
        <v>446</v>
      </c>
      <c r="P893" t="s">
        <v>994</v>
      </c>
      <c r="Q893" t="b">
        <v>1</v>
      </c>
      <c r="R893" t="b">
        <v>0</v>
      </c>
      <c r="S893" t="s">
        <v>2363</v>
      </c>
      <c r="T893" t="s">
        <v>446</v>
      </c>
      <c r="U893" t="s">
        <v>1951</v>
      </c>
      <c r="V893" t="s">
        <v>1964</v>
      </c>
      <c r="W893" t="s">
        <v>2372</v>
      </c>
      <c r="X893" t="s">
        <v>2365</v>
      </c>
      <c r="Y893" t="s">
        <v>2366</v>
      </c>
      <c r="Z893" t="s">
        <v>2367</v>
      </c>
      <c r="AA893" t="s">
        <v>346</v>
      </c>
      <c r="AB893" t="s">
        <v>2368</v>
      </c>
      <c r="AC893" t="b">
        <v>0</v>
      </c>
      <c r="AD893" t="b">
        <v>1</v>
      </c>
    </row>
    <row r="894" spans="1:30" x14ac:dyDescent="0.25">
      <c r="A894" t="s">
        <v>42</v>
      </c>
      <c r="B894" t="s">
        <v>2376</v>
      </c>
      <c r="C894" t="s">
        <v>343</v>
      </c>
      <c r="D894" t="s">
        <v>446</v>
      </c>
      <c r="E894" t="s">
        <v>998</v>
      </c>
      <c r="F894">
        <v>14080</v>
      </c>
      <c r="G894" t="s">
        <v>2012</v>
      </c>
      <c r="H894" t="s">
        <v>2377</v>
      </c>
      <c r="I894" t="s">
        <v>2378</v>
      </c>
      <c r="J894" t="s">
        <v>1089</v>
      </c>
      <c r="K894" t="s">
        <v>1003</v>
      </c>
      <c r="L894" t="s">
        <v>2379</v>
      </c>
      <c r="M894" t="s">
        <v>1000</v>
      </c>
      <c r="N894" t="s">
        <v>1004</v>
      </c>
      <c r="O894" t="s">
        <v>446</v>
      </c>
      <c r="P894" t="s">
        <v>1001</v>
      </c>
      <c r="Q894" t="b">
        <v>1</v>
      </c>
      <c r="R894" t="b">
        <v>0</v>
      </c>
      <c r="S894" t="s">
        <v>2363</v>
      </c>
      <c r="T894" t="s">
        <v>446</v>
      </c>
      <c r="U894" t="s">
        <v>1951</v>
      </c>
      <c r="V894" t="s">
        <v>1964</v>
      </c>
      <c r="W894" t="s">
        <v>2380</v>
      </c>
      <c r="X894" t="s">
        <v>2365</v>
      </c>
      <c r="Y894" t="s">
        <v>2366</v>
      </c>
      <c r="Z894" t="s">
        <v>2367</v>
      </c>
      <c r="AA894" t="s">
        <v>346</v>
      </c>
      <c r="AB894" t="s">
        <v>2368</v>
      </c>
      <c r="AC894" t="b">
        <v>0</v>
      </c>
      <c r="AD894" t="b">
        <v>1</v>
      </c>
    </row>
    <row r="895" spans="1:30" x14ac:dyDescent="0.25">
      <c r="A895" t="s">
        <v>42</v>
      </c>
      <c r="B895" t="s">
        <v>2381</v>
      </c>
      <c r="C895" t="s">
        <v>343</v>
      </c>
      <c r="D895" t="s">
        <v>446</v>
      </c>
      <c r="E895" t="s">
        <v>1006</v>
      </c>
      <c r="F895">
        <v>332</v>
      </c>
      <c r="G895" t="s">
        <v>2012</v>
      </c>
      <c r="H895" t="s">
        <v>2382</v>
      </c>
      <c r="I895" t="s">
        <v>2383</v>
      </c>
      <c r="J895" t="s">
        <v>1089</v>
      </c>
      <c r="K895" t="s">
        <v>1967</v>
      </c>
      <c r="L895" t="s">
        <v>1968</v>
      </c>
      <c r="M895" t="s">
        <v>980</v>
      </c>
      <c r="N895" t="s">
        <v>1969</v>
      </c>
      <c r="O895" t="s">
        <v>446</v>
      </c>
      <c r="P895" t="s">
        <v>1009</v>
      </c>
      <c r="Q895" t="b">
        <v>1</v>
      </c>
      <c r="R895" t="b">
        <v>0</v>
      </c>
      <c r="S895" t="s">
        <v>2363</v>
      </c>
      <c r="T895" t="s">
        <v>446</v>
      </c>
      <c r="U895" t="s">
        <v>1951</v>
      </c>
      <c r="V895" t="s">
        <v>1964</v>
      </c>
      <c r="W895" t="s">
        <v>2364</v>
      </c>
      <c r="X895" t="s">
        <v>2365</v>
      </c>
      <c r="Y895" t="s">
        <v>446</v>
      </c>
      <c r="Z895" t="s">
        <v>446</v>
      </c>
      <c r="AA895" t="s">
        <v>343</v>
      </c>
      <c r="AB895" t="s">
        <v>446</v>
      </c>
      <c r="AC895" t="b">
        <v>0</v>
      </c>
      <c r="AD895" t="b">
        <v>1</v>
      </c>
    </row>
    <row r="896" spans="1:30" x14ac:dyDescent="0.25">
      <c r="A896" t="s">
        <v>42</v>
      </c>
      <c r="B896" t="s">
        <v>2384</v>
      </c>
      <c r="C896" t="s">
        <v>343</v>
      </c>
      <c r="D896" t="s">
        <v>446</v>
      </c>
      <c r="E896" t="s">
        <v>1013</v>
      </c>
      <c r="F896">
        <v>291</v>
      </c>
      <c r="G896" t="s">
        <v>2012</v>
      </c>
      <c r="H896" t="s">
        <v>2385</v>
      </c>
      <c r="I896" t="s">
        <v>2361</v>
      </c>
      <c r="J896" t="s">
        <v>1089</v>
      </c>
      <c r="K896" t="s">
        <v>1016</v>
      </c>
      <c r="L896" t="s">
        <v>2386</v>
      </c>
      <c r="M896" t="s">
        <v>980</v>
      </c>
      <c r="N896" t="s">
        <v>1017</v>
      </c>
      <c r="O896" t="s">
        <v>446</v>
      </c>
      <c r="P896" t="s">
        <v>1015</v>
      </c>
      <c r="Q896" t="b">
        <v>1</v>
      </c>
      <c r="R896" t="b">
        <v>0</v>
      </c>
      <c r="S896" t="s">
        <v>2363</v>
      </c>
      <c r="T896" t="s">
        <v>446</v>
      </c>
      <c r="U896" t="s">
        <v>1951</v>
      </c>
      <c r="V896" t="s">
        <v>1964</v>
      </c>
      <c r="W896" t="s">
        <v>2387</v>
      </c>
      <c r="X896" t="s">
        <v>2365</v>
      </c>
      <c r="Y896" t="s">
        <v>2366</v>
      </c>
      <c r="Z896" t="s">
        <v>2367</v>
      </c>
      <c r="AA896" t="s">
        <v>346</v>
      </c>
      <c r="AB896" t="s">
        <v>2368</v>
      </c>
      <c r="AC896" t="b">
        <v>0</v>
      </c>
      <c r="AD896" t="b">
        <v>1</v>
      </c>
    </row>
    <row r="897" spans="1:30" x14ac:dyDescent="0.25">
      <c r="A897" t="s">
        <v>42</v>
      </c>
      <c r="B897" t="s">
        <v>2388</v>
      </c>
      <c r="C897" t="s">
        <v>343</v>
      </c>
      <c r="D897" t="s">
        <v>446</v>
      </c>
      <c r="E897" t="s">
        <v>1018</v>
      </c>
      <c r="F897">
        <v>386</v>
      </c>
      <c r="G897" t="s">
        <v>2012</v>
      </c>
      <c r="H897" t="s">
        <v>2389</v>
      </c>
      <c r="I897" t="s">
        <v>2361</v>
      </c>
      <c r="J897" t="s">
        <v>1089</v>
      </c>
      <c r="K897" t="s">
        <v>1021</v>
      </c>
      <c r="L897" t="s">
        <v>2390</v>
      </c>
      <c r="M897" t="s">
        <v>980</v>
      </c>
      <c r="N897" t="s">
        <v>1022</v>
      </c>
      <c r="O897" t="s">
        <v>446</v>
      </c>
      <c r="P897" t="s">
        <v>1020</v>
      </c>
      <c r="Q897" t="b">
        <v>1</v>
      </c>
      <c r="R897" t="b">
        <v>0</v>
      </c>
      <c r="S897" t="s">
        <v>2363</v>
      </c>
      <c r="T897" t="s">
        <v>446</v>
      </c>
      <c r="U897" t="s">
        <v>1951</v>
      </c>
      <c r="V897" t="s">
        <v>1964</v>
      </c>
      <c r="W897" t="s">
        <v>2387</v>
      </c>
      <c r="X897" t="s">
        <v>2365</v>
      </c>
      <c r="Y897" t="s">
        <v>2366</v>
      </c>
      <c r="Z897" t="s">
        <v>2367</v>
      </c>
      <c r="AA897" t="s">
        <v>346</v>
      </c>
      <c r="AB897" t="s">
        <v>2368</v>
      </c>
      <c r="AC897" t="b">
        <v>0</v>
      </c>
      <c r="AD897" t="b">
        <v>1</v>
      </c>
    </row>
    <row r="898" spans="1:30" x14ac:dyDescent="0.25">
      <c r="A898" t="s">
        <v>42</v>
      </c>
      <c r="B898" t="s">
        <v>2391</v>
      </c>
      <c r="C898" t="s">
        <v>343</v>
      </c>
      <c r="D898" t="s">
        <v>446</v>
      </c>
      <c r="E898" t="s">
        <v>1023</v>
      </c>
      <c r="F898">
        <v>17386</v>
      </c>
      <c r="G898" t="s">
        <v>2012</v>
      </c>
      <c r="H898" t="s">
        <v>2392</v>
      </c>
      <c r="I898" t="s">
        <v>2378</v>
      </c>
      <c r="J898" t="s">
        <v>1089</v>
      </c>
      <c r="K898" t="s">
        <v>1026</v>
      </c>
      <c r="L898" t="s">
        <v>2393</v>
      </c>
      <c r="M898" t="s">
        <v>1000</v>
      </c>
      <c r="N898" t="s">
        <v>1027</v>
      </c>
      <c r="O898" t="s">
        <v>446</v>
      </c>
      <c r="P898" t="s">
        <v>1025</v>
      </c>
      <c r="Q898" t="b">
        <v>1</v>
      </c>
      <c r="R898" t="b">
        <v>0</v>
      </c>
      <c r="S898" t="s">
        <v>2363</v>
      </c>
      <c r="T898" t="s">
        <v>446</v>
      </c>
      <c r="U898" t="s">
        <v>1951</v>
      </c>
      <c r="V898" t="s">
        <v>1964</v>
      </c>
      <c r="W898" t="s">
        <v>2394</v>
      </c>
      <c r="X898" t="s">
        <v>2365</v>
      </c>
      <c r="Y898" t="s">
        <v>2366</v>
      </c>
      <c r="Z898" t="s">
        <v>2367</v>
      </c>
      <c r="AA898" t="s">
        <v>346</v>
      </c>
      <c r="AB898" t="s">
        <v>2368</v>
      </c>
      <c r="AC898" t="b">
        <v>0</v>
      </c>
      <c r="AD898" t="b">
        <v>1</v>
      </c>
    </row>
    <row r="899" spans="1:30" x14ac:dyDescent="0.25">
      <c r="A899" t="s">
        <v>42</v>
      </c>
      <c r="B899" t="s">
        <v>1545</v>
      </c>
      <c r="C899" t="s">
        <v>343</v>
      </c>
      <c r="D899" t="s">
        <v>446</v>
      </c>
      <c r="E899" t="s">
        <v>1029</v>
      </c>
      <c r="F899">
        <v>373</v>
      </c>
      <c r="G899" t="s">
        <v>2019</v>
      </c>
      <c r="H899" t="s">
        <v>2395</v>
      </c>
      <c r="I899" t="s">
        <v>2361</v>
      </c>
      <c r="J899" t="s">
        <v>1089</v>
      </c>
      <c r="K899" t="s">
        <v>1033</v>
      </c>
      <c r="L899" t="s">
        <v>2396</v>
      </c>
      <c r="M899" t="s">
        <v>980</v>
      </c>
      <c r="N899" t="s">
        <v>1034</v>
      </c>
      <c r="O899" t="s">
        <v>446</v>
      </c>
      <c r="P899" t="s">
        <v>1031</v>
      </c>
      <c r="Q899" t="b">
        <v>1</v>
      </c>
      <c r="R899" t="b">
        <v>0</v>
      </c>
      <c r="S899" t="s">
        <v>1963</v>
      </c>
      <c r="T899" t="s">
        <v>2397</v>
      </c>
      <c r="U899" t="s">
        <v>2023</v>
      </c>
      <c r="V899" t="s">
        <v>1964</v>
      </c>
      <c r="W899" t="s">
        <v>2398</v>
      </c>
      <c r="X899" t="s">
        <v>446</v>
      </c>
      <c r="Y899" t="s">
        <v>2366</v>
      </c>
      <c r="Z899" t="s">
        <v>2367</v>
      </c>
      <c r="AA899" t="s">
        <v>346</v>
      </c>
      <c r="AB899" t="s">
        <v>2368</v>
      </c>
      <c r="AC899" t="b">
        <v>0</v>
      </c>
      <c r="AD899" t="b">
        <v>1</v>
      </c>
    </row>
    <row r="900" spans="1:30" x14ac:dyDescent="0.25">
      <c r="A900" t="s">
        <v>42</v>
      </c>
      <c r="B900" t="s">
        <v>1547</v>
      </c>
      <c r="C900" t="s">
        <v>343</v>
      </c>
      <c r="D900" t="s">
        <v>446</v>
      </c>
      <c r="E900" t="s">
        <v>1035</v>
      </c>
      <c r="F900">
        <v>339</v>
      </c>
      <c r="G900" t="s">
        <v>2019</v>
      </c>
      <c r="H900" t="s">
        <v>2399</v>
      </c>
      <c r="I900" t="s">
        <v>2361</v>
      </c>
      <c r="J900" t="s">
        <v>1089</v>
      </c>
      <c r="K900" t="s">
        <v>1038</v>
      </c>
      <c r="L900" t="s">
        <v>2400</v>
      </c>
      <c r="M900" t="s">
        <v>980</v>
      </c>
      <c r="N900" t="s">
        <v>1039</v>
      </c>
      <c r="O900" t="s">
        <v>446</v>
      </c>
      <c r="P900" t="s">
        <v>1037</v>
      </c>
      <c r="Q900" t="b">
        <v>1</v>
      </c>
      <c r="R900" t="b">
        <v>0</v>
      </c>
      <c r="S900" t="s">
        <v>1963</v>
      </c>
      <c r="T900" t="s">
        <v>2397</v>
      </c>
      <c r="U900" t="s">
        <v>2023</v>
      </c>
      <c r="V900" t="s">
        <v>1964</v>
      </c>
      <c r="W900" t="s">
        <v>2398</v>
      </c>
      <c r="X900" t="s">
        <v>446</v>
      </c>
      <c r="Y900" t="s">
        <v>2366</v>
      </c>
      <c r="Z900" t="s">
        <v>2367</v>
      </c>
      <c r="AA900" t="s">
        <v>346</v>
      </c>
      <c r="AB900" t="s">
        <v>2368</v>
      </c>
      <c r="AC900" t="b">
        <v>0</v>
      </c>
      <c r="AD900" t="b">
        <v>1</v>
      </c>
    </row>
    <row r="901" spans="1:30" x14ac:dyDescent="0.25">
      <c r="A901" t="s">
        <v>42</v>
      </c>
      <c r="B901" t="s">
        <v>1549</v>
      </c>
      <c r="C901" t="s">
        <v>343</v>
      </c>
      <c r="D901" t="s">
        <v>446</v>
      </c>
      <c r="E901" t="s">
        <v>1040</v>
      </c>
      <c r="F901">
        <v>327</v>
      </c>
      <c r="G901" t="s">
        <v>2019</v>
      </c>
      <c r="H901" t="s">
        <v>2401</v>
      </c>
      <c r="I901" t="s">
        <v>2361</v>
      </c>
      <c r="J901" t="s">
        <v>1089</v>
      </c>
      <c r="K901" t="s">
        <v>1043</v>
      </c>
      <c r="L901" t="s">
        <v>2402</v>
      </c>
      <c r="M901" t="s">
        <v>980</v>
      </c>
      <c r="N901" t="s">
        <v>1044</v>
      </c>
      <c r="O901" t="s">
        <v>446</v>
      </c>
      <c r="P901" t="s">
        <v>1042</v>
      </c>
      <c r="Q901" t="b">
        <v>1</v>
      </c>
      <c r="R901" t="b">
        <v>0</v>
      </c>
      <c r="S901" t="s">
        <v>1963</v>
      </c>
      <c r="T901" t="s">
        <v>2397</v>
      </c>
      <c r="U901" t="s">
        <v>2023</v>
      </c>
      <c r="V901" t="s">
        <v>1964</v>
      </c>
      <c r="W901" t="s">
        <v>2398</v>
      </c>
      <c r="X901" t="s">
        <v>446</v>
      </c>
      <c r="Y901" t="s">
        <v>2366</v>
      </c>
      <c r="Z901" t="s">
        <v>2367</v>
      </c>
      <c r="AA901" t="s">
        <v>346</v>
      </c>
      <c r="AB901" t="s">
        <v>2368</v>
      </c>
      <c r="AC901" t="b">
        <v>0</v>
      </c>
      <c r="AD901" t="b">
        <v>1</v>
      </c>
    </row>
    <row r="902" spans="1:30" x14ac:dyDescent="0.25">
      <c r="A902" t="s">
        <v>42</v>
      </c>
      <c r="B902" t="s">
        <v>1551</v>
      </c>
      <c r="C902" t="s">
        <v>343</v>
      </c>
      <c r="D902" t="s">
        <v>446</v>
      </c>
      <c r="E902" t="s">
        <v>1045</v>
      </c>
      <c r="F902">
        <v>13229</v>
      </c>
      <c r="G902" t="s">
        <v>2019</v>
      </c>
      <c r="H902" t="s">
        <v>2403</v>
      </c>
      <c r="I902" t="s">
        <v>2378</v>
      </c>
      <c r="J902" t="s">
        <v>1089</v>
      </c>
      <c r="K902" t="s">
        <v>1048</v>
      </c>
      <c r="L902" t="s">
        <v>2404</v>
      </c>
      <c r="M902" t="s">
        <v>1000</v>
      </c>
      <c r="N902" t="s">
        <v>1049</v>
      </c>
      <c r="O902" t="s">
        <v>446</v>
      </c>
      <c r="P902" t="s">
        <v>1047</v>
      </c>
      <c r="Q902" t="b">
        <v>1</v>
      </c>
      <c r="R902" t="b">
        <v>0</v>
      </c>
      <c r="S902" t="s">
        <v>1963</v>
      </c>
      <c r="T902" t="s">
        <v>2405</v>
      </c>
      <c r="U902" t="s">
        <v>2023</v>
      </c>
      <c r="V902" t="s">
        <v>1964</v>
      </c>
      <c r="W902" t="s">
        <v>2406</v>
      </c>
      <c r="X902" t="s">
        <v>446</v>
      </c>
      <c r="Y902" t="s">
        <v>2366</v>
      </c>
      <c r="Z902" t="s">
        <v>2367</v>
      </c>
      <c r="AA902" t="s">
        <v>346</v>
      </c>
      <c r="AB902" t="s">
        <v>2368</v>
      </c>
      <c r="AC902" t="b">
        <v>0</v>
      </c>
      <c r="AD902" t="b">
        <v>1</v>
      </c>
    </row>
    <row r="903" spans="1:30" x14ac:dyDescent="0.25">
      <c r="A903" t="s">
        <v>42</v>
      </c>
      <c r="B903" t="s">
        <v>2407</v>
      </c>
      <c r="C903" t="s">
        <v>343</v>
      </c>
      <c r="D903" t="s">
        <v>446</v>
      </c>
      <c r="E903" t="s">
        <v>1051</v>
      </c>
      <c r="F903">
        <v>2509</v>
      </c>
      <c r="G903" t="s">
        <v>2012</v>
      </c>
      <c r="H903" t="s">
        <v>2408</v>
      </c>
      <c r="I903" t="s">
        <v>2383</v>
      </c>
      <c r="J903" t="s">
        <v>1089</v>
      </c>
      <c r="K903" t="s">
        <v>1055</v>
      </c>
      <c r="L903" t="s">
        <v>1993</v>
      </c>
      <c r="M903" t="s">
        <v>980</v>
      </c>
      <c r="N903" t="s">
        <v>1056</v>
      </c>
      <c r="O903" t="s">
        <v>446</v>
      </c>
      <c r="P903" t="s">
        <v>1053</v>
      </c>
      <c r="Q903" t="b">
        <v>1</v>
      </c>
      <c r="R903" t="b">
        <v>0</v>
      </c>
      <c r="S903" t="s">
        <v>2363</v>
      </c>
      <c r="T903" t="s">
        <v>446</v>
      </c>
      <c r="U903" t="s">
        <v>1951</v>
      </c>
      <c r="V903" t="s">
        <v>1964</v>
      </c>
      <c r="W903" t="s">
        <v>2387</v>
      </c>
      <c r="X903" t="s">
        <v>2365</v>
      </c>
      <c r="Y903" t="s">
        <v>446</v>
      </c>
      <c r="Z903" t="s">
        <v>446</v>
      </c>
      <c r="AA903" t="s">
        <v>343</v>
      </c>
      <c r="AB903" t="s">
        <v>446</v>
      </c>
      <c r="AC903" t="b">
        <v>0</v>
      </c>
      <c r="AD903" t="b">
        <v>1</v>
      </c>
    </row>
    <row r="904" spans="1:30" x14ac:dyDescent="0.25">
      <c r="A904" t="s">
        <v>42</v>
      </c>
      <c r="B904" t="s">
        <v>1553</v>
      </c>
      <c r="C904" t="s">
        <v>345</v>
      </c>
      <c r="D904" t="s">
        <v>446</v>
      </c>
      <c r="E904" t="s">
        <v>978</v>
      </c>
      <c r="F904">
        <v>5282</v>
      </c>
      <c r="G904" t="s">
        <v>2012</v>
      </c>
      <c r="H904" t="s">
        <v>2409</v>
      </c>
      <c r="I904" t="s">
        <v>2410</v>
      </c>
      <c r="J904" t="s">
        <v>1089</v>
      </c>
      <c r="K904" t="s">
        <v>984</v>
      </c>
      <c r="L904" t="s">
        <v>1948</v>
      </c>
      <c r="M904" t="s">
        <v>980</v>
      </c>
      <c r="N904" t="s">
        <v>985</v>
      </c>
      <c r="O904" t="s">
        <v>446</v>
      </c>
      <c r="P904" t="s">
        <v>981</v>
      </c>
      <c r="Q904" t="b">
        <v>1</v>
      </c>
      <c r="R904" t="b">
        <v>0</v>
      </c>
      <c r="S904" t="s">
        <v>1950</v>
      </c>
      <c r="T904" t="s">
        <v>446</v>
      </c>
      <c r="U904" t="s">
        <v>1951</v>
      </c>
      <c r="V904" t="s">
        <v>1093</v>
      </c>
      <c r="W904" t="s">
        <v>1952</v>
      </c>
      <c r="X904" t="s">
        <v>2411</v>
      </c>
      <c r="Y904" t="s">
        <v>2410</v>
      </c>
      <c r="Z904" t="s">
        <v>446</v>
      </c>
      <c r="AA904" t="s">
        <v>345</v>
      </c>
      <c r="AB904" t="s">
        <v>446</v>
      </c>
      <c r="AC904" t="b">
        <v>0</v>
      </c>
      <c r="AD904" t="b">
        <v>1</v>
      </c>
    </row>
    <row r="905" spans="1:30" x14ac:dyDescent="0.25">
      <c r="A905" t="s">
        <v>42</v>
      </c>
      <c r="B905" t="s">
        <v>1554</v>
      </c>
      <c r="C905" t="s">
        <v>345</v>
      </c>
      <c r="D905" t="s">
        <v>446</v>
      </c>
      <c r="E905" t="s">
        <v>986</v>
      </c>
      <c r="F905">
        <v>4643</v>
      </c>
      <c r="G905" t="s">
        <v>2012</v>
      </c>
      <c r="H905" t="s">
        <v>2412</v>
      </c>
      <c r="I905" t="s">
        <v>2410</v>
      </c>
      <c r="J905" t="s">
        <v>1089</v>
      </c>
      <c r="K905" t="s">
        <v>990</v>
      </c>
      <c r="L905" t="s">
        <v>1955</v>
      </c>
      <c r="M905" t="s">
        <v>980</v>
      </c>
      <c r="N905" t="s">
        <v>991</v>
      </c>
      <c r="O905" t="s">
        <v>446</v>
      </c>
      <c r="P905" t="s">
        <v>988</v>
      </c>
      <c r="Q905" t="b">
        <v>1</v>
      </c>
      <c r="R905" t="b">
        <v>0</v>
      </c>
      <c r="S905" t="s">
        <v>1950</v>
      </c>
      <c r="T905" t="s">
        <v>446</v>
      </c>
      <c r="U905" t="s">
        <v>1951</v>
      </c>
      <c r="V905" t="s">
        <v>1093</v>
      </c>
      <c r="W905" t="s">
        <v>1952</v>
      </c>
      <c r="X905" t="s">
        <v>2411</v>
      </c>
      <c r="Y905" t="s">
        <v>2410</v>
      </c>
      <c r="Z905" t="s">
        <v>446</v>
      </c>
      <c r="AA905" t="s">
        <v>345</v>
      </c>
      <c r="AB905" t="s">
        <v>446</v>
      </c>
      <c r="AC905" t="b">
        <v>0</v>
      </c>
      <c r="AD905" t="b">
        <v>1</v>
      </c>
    </row>
    <row r="906" spans="1:30" x14ac:dyDescent="0.25">
      <c r="A906" t="s">
        <v>42</v>
      </c>
      <c r="B906" t="s">
        <v>1555</v>
      </c>
      <c r="C906" t="s">
        <v>345</v>
      </c>
      <c r="D906" t="s">
        <v>446</v>
      </c>
      <c r="E906" t="s">
        <v>992</v>
      </c>
      <c r="F906">
        <v>3698</v>
      </c>
      <c r="G906" t="s">
        <v>2012</v>
      </c>
      <c r="H906" t="s">
        <v>2413</v>
      </c>
      <c r="I906" t="s">
        <v>2410</v>
      </c>
      <c r="J906" t="s">
        <v>1089</v>
      </c>
      <c r="K906" t="s">
        <v>996</v>
      </c>
      <c r="L906" t="s">
        <v>1958</v>
      </c>
      <c r="M906" t="s">
        <v>980</v>
      </c>
      <c r="N906" t="s">
        <v>997</v>
      </c>
      <c r="O906" t="s">
        <v>446</v>
      </c>
      <c r="P906" t="s">
        <v>994</v>
      </c>
      <c r="Q906" t="b">
        <v>1</v>
      </c>
      <c r="R906" t="b">
        <v>0</v>
      </c>
      <c r="S906" t="s">
        <v>1950</v>
      </c>
      <c r="T906" t="s">
        <v>446</v>
      </c>
      <c r="U906" t="s">
        <v>1951</v>
      </c>
      <c r="V906" t="s">
        <v>1093</v>
      </c>
      <c r="W906" t="s">
        <v>1952</v>
      </c>
      <c r="X906" t="s">
        <v>2411</v>
      </c>
      <c r="Y906" t="s">
        <v>2410</v>
      </c>
      <c r="Z906" t="s">
        <v>446</v>
      </c>
      <c r="AA906" t="s">
        <v>345</v>
      </c>
      <c r="AB906" t="s">
        <v>446</v>
      </c>
      <c r="AC906" t="b">
        <v>0</v>
      </c>
      <c r="AD906" t="b">
        <v>1</v>
      </c>
    </row>
    <row r="907" spans="1:30" x14ac:dyDescent="0.25">
      <c r="A907" t="s">
        <v>42</v>
      </c>
      <c r="B907" t="s">
        <v>1556</v>
      </c>
      <c r="C907" t="s">
        <v>345</v>
      </c>
      <c r="D907" t="s">
        <v>446</v>
      </c>
      <c r="E907" t="s">
        <v>998</v>
      </c>
      <c r="F907">
        <v>348</v>
      </c>
      <c r="G907" t="s">
        <v>2012</v>
      </c>
      <c r="H907" t="s">
        <v>2414</v>
      </c>
      <c r="I907" t="s">
        <v>2415</v>
      </c>
      <c r="J907" t="s">
        <v>1089</v>
      </c>
      <c r="K907" t="s">
        <v>1003</v>
      </c>
      <c r="L907" t="s">
        <v>2031</v>
      </c>
      <c r="M907" t="s">
        <v>1000</v>
      </c>
      <c r="N907" t="s">
        <v>1004</v>
      </c>
      <c r="O907" t="s">
        <v>446</v>
      </c>
      <c r="P907" t="s">
        <v>1001</v>
      </c>
      <c r="Q907" t="b">
        <v>1</v>
      </c>
      <c r="R907" t="b">
        <v>0</v>
      </c>
      <c r="S907" t="s">
        <v>1950</v>
      </c>
      <c r="T907" t="s">
        <v>446</v>
      </c>
      <c r="U907" t="s">
        <v>1951</v>
      </c>
      <c r="V907" t="s">
        <v>1093</v>
      </c>
      <c r="W907" t="s">
        <v>1952</v>
      </c>
      <c r="X907" t="s">
        <v>2416</v>
      </c>
      <c r="Y907" t="s">
        <v>2417</v>
      </c>
      <c r="Z907" t="s">
        <v>446</v>
      </c>
      <c r="AA907" t="s">
        <v>345</v>
      </c>
      <c r="AB907" t="s">
        <v>446</v>
      </c>
      <c r="AC907" t="b">
        <v>0</v>
      </c>
      <c r="AD907" t="b">
        <v>1</v>
      </c>
    </row>
    <row r="908" spans="1:30" x14ac:dyDescent="0.25">
      <c r="A908" t="s">
        <v>42</v>
      </c>
      <c r="B908" t="s">
        <v>1557</v>
      </c>
      <c r="C908" t="s">
        <v>345</v>
      </c>
      <c r="D908" t="s">
        <v>446</v>
      </c>
      <c r="E908" t="s">
        <v>1006</v>
      </c>
      <c r="F908">
        <v>5722</v>
      </c>
      <c r="G908" t="s">
        <v>2012</v>
      </c>
      <c r="H908" t="s">
        <v>2418</v>
      </c>
      <c r="I908" t="s">
        <v>2410</v>
      </c>
      <c r="J908" t="s">
        <v>1089</v>
      </c>
      <c r="K908" t="s">
        <v>1967</v>
      </c>
      <c r="L908" t="s">
        <v>1968</v>
      </c>
      <c r="M908" t="s">
        <v>980</v>
      </c>
      <c r="N908" t="s">
        <v>1969</v>
      </c>
      <c r="O908" t="s">
        <v>446</v>
      </c>
      <c r="P908" t="s">
        <v>1009</v>
      </c>
      <c r="Q908" t="b">
        <v>1</v>
      </c>
      <c r="R908" t="b">
        <v>0</v>
      </c>
      <c r="S908" t="s">
        <v>1950</v>
      </c>
      <c r="T908" t="s">
        <v>446</v>
      </c>
      <c r="U908" t="s">
        <v>1951</v>
      </c>
      <c r="V908" t="s">
        <v>1093</v>
      </c>
      <c r="W908" t="s">
        <v>1952</v>
      </c>
      <c r="X908" t="s">
        <v>2411</v>
      </c>
      <c r="Y908" t="s">
        <v>2410</v>
      </c>
      <c r="Z908" t="s">
        <v>446</v>
      </c>
      <c r="AA908" t="s">
        <v>345</v>
      </c>
      <c r="AB908" t="s">
        <v>446</v>
      </c>
      <c r="AC908" t="b">
        <v>0</v>
      </c>
      <c r="AD908" t="b">
        <v>1</v>
      </c>
    </row>
    <row r="909" spans="1:30" x14ac:dyDescent="0.25">
      <c r="A909" t="s">
        <v>42</v>
      </c>
      <c r="B909" t="s">
        <v>1558</v>
      </c>
      <c r="C909" t="s">
        <v>345</v>
      </c>
      <c r="D909" t="s">
        <v>446</v>
      </c>
      <c r="E909" t="s">
        <v>1013</v>
      </c>
      <c r="F909">
        <v>3502</v>
      </c>
      <c r="G909" t="s">
        <v>2012</v>
      </c>
      <c r="H909" t="s">
        <v>2419</v>
      </c>
      <c r="I909" t="s">
        <v>2410</v>
      </c>
      <c r="J909" t="s">
        <v>1089</v>
      </c>
      <c r="K909" t="s">
        <v>1016</v>
      </c>
      <c r="L909" t="s">
        <v>1972</v>
      </c>
      <c r="M909" t="s">
        <v>980</v>
      </c>
      <c r="N909" t="s">
        <v>1017</v>
      </c>
      <c r="O909" t="s">
        <v>446</v>
      </c>
      <c r="P909" t="s">
        <v>1015</v>
      </c>
      <c r="Q909" t="b">
        <v>1</v>
      </c>
      <c r="R909" t="b">
        <v>0</v>
      </c>
      <c r="S909" t="s">
        <v>1950</v>
      </c>
      <c r="T909" t="s">
        <v>446</v>
      </c>
      <c r="U909" t="s">
        <v>1951</v>
      </c>
      <c r="V909" t="s">
        <v>1093</v>
      </c>
      <c r="W909" t="s">
        <v>1952</v>
      </c>
      <c r="X909" t="s">
        <v>2411</v>
      </c>
      <c r="Y909" t="s">
        <v>2410</v>
      </c>
      <c r="Z909" t="s">
        <v>446</v>
      </c>
      <c r="AA909" t="s">
        <v>345</v>
      </c>
      <c r="AB909" t="s">
        <v>446</v>
      </c>
      <c r="AC909" t="b">
        <v>0</v>
      </c>
      <c r="AD909" t="b">
        <v>1</v>
      </c>
    </row>
    <row r="910" spans="1:30" x14ac:dyDescent="0.25">
      <c r="A910" t="s">
        <v>42</v>
      </c>
      <c r="B910" t="s">
        <v>1559</v>
      </c>
      <c r="C910" t="s">
        <v>345</v>
      </c>
      <c r="D910" t="s">
        <v>446</v>
      </c>
      <c r="E910" t="s">
        <v>1018</v>
      </c>
      <c r="F910">
        <v>1817</v>
      </c>
      <c r="G910" t="s">
        <v>2012</v>
      </c>
      <c r="H910" t="s">
        <v>2420</v>
      </c>
      <c r="I910" t="s">
        <v>2410</v>
      </c>
      <c r="J910" t="s">
        <v>1089</v>
      </c>
      <c r="K910" t="s">
        <v>1021</v>
      </c>
      <c r="L910" t="s">
        <v>1975</v>
      </c>
      <c r="M910" t="s">
        <v>980</v>
      </c>
      <c r="N910" t="s">
        <v>1022</v>
      </c>
      <c r="O910" t="s">
        <v>446</v>
      </c>
      <c r="P910" t="s">
        <v>1020</v>
      </c>
      <c r="Q910" t="b">
        <v>1</v>
      </c>
      <c r="R910" t="b">
        <v>0</v>
      </c>
      <c r="S910" t="s">
        <v>1950</v>
      </c>
      <c r="T910" t="s">
        <v>446</v>
      </c>
      <c r="U910" t="s">
        <v>1951</v>
      </c>
      <c r="V910" t="s">
        <v>1093</v>
      </c>
      <c r="W910" t="s">
        <v>1952</v>
      </c>
      <c r="X910" t="s">
        <v>2411</v>
      </c>
      <c r="Y910" t="s">
        <v>2410</v>
      </c>
      <c r="Z910" t="s">
        <v>446</v>
      </c>
      <c r="AA910" t="s">
        <v>345</v>
      </c>
      <c r="AB910" t="s">
        <v>446</v>
      </c>
      <c r="AC910" t="b">
        <v>0</v>
      </c>
      <c r="AD910" t="b">
        <v>1</v>
      </c>
    </row>
    <row r="911" spans="1:30" x14ac:dyDescent="0.25">
      <c r="A911" t="s">
        <v>42</v>
      </c>
      <c r="B911" t="s">
        <v>1560</v>
      </c>
      <c r="C911" t="s">
        <v>345</v>
      </c>
      <c r="D911" t="s">
        <v>446</v>
      </c>
      <c r="E911" t="s">
        <v>1023</v>
      </c>
      <c r="F911">
        <v>360</v>
      </c>
      <c r="G911" t="s">
        <v>2012</v>
      </c>
      <c r="H911" t="s">
        <v>2421</v>
      </c>
      <c r="I911" t="s">
        <v>2415</v>
      </c>
      <c r="J911" t="s">
        <v>1089</v>
      </c>
      <c r="K911" t="s">
        <v>1026</v>
      </c>
      <c r="L911" t="s">
        <v>1979</v>
      </c>
      <c r="M911" t="s">
        <v>1000</v>
      </c>
      <c r="N911" t="s">
        <v>1027</v>
      </c>
      <c r="O911" t="s">
        <v>446</v>
      </c>
      <c r="P911" t="s">
        <v>1025</v>
      </c>
      <c r="Q911" t="b">
        <v>1</v>
      </c>
      <c r="R911" t="b">
        <v>0</v>
      </c>
      <c r="S911" t="s">
        <v>1950</v>
      </c>
      <c r="T911" t="s">
        <v>446</v>
      </c>
      <c r="U911" t="s">
        <v>1951</v>
      </c>
      <c r="V911" t="s">
        <v>1093</v>
      </c>
      <c r="W911" t="s">
        <v>1952</v>
      </c>
      <c r="X911" t="s">
        <v>2416</v>
      </c>
      <c r="Y911" t="s">
        <v>2417</v>
      </c>
      <c r="Z911" t="s">
        <v>446</v>
      </c>
      <c r="AA911" t="s">
        <v>345</v>
      </c>
      <c r="AB911" t="s">
        <v>446</v>
      </c>
      <c r="AC911" t="b">
        <v>0</v>
      </c>
      <c r="AD911" t="b">
        <v>1</v>
      </c>
    </row>
    <row r="912" spans="1:30" x14ac:dyDescent="0.25">
      <c r="A912" t="s">
        <v>42</v>
      </c>
      <c r="B912" t="s">
        <v>1561</v>
      </c>
      <c r="C912" t="s">
        <v>345</v>
      </c>
      <c r="D912" t="s">
        <v>446</v>
      </c>
      <c r="E912" t="s">
        <v>1029</v>
      </c>
      <c r="F912">
        <v>5045</v>
      </c>
      <c r="G912" t="s">
        <v>2012</v>
      </c>
      <c r="H912" t="s">
        <v>2422</v>
      </c>
      <c r="I912" t="s">
        <v>2410</v>
      </c>
      <c r="J912" t="s">
        <v>1089</v>
      </c>
      <c r="K912" t="s">
        <v>1033</v>
      </c>
      <c r="L912" t="s">
        <v>1982</v>
      </c>
      <c r="M912" t="s">
        <v>980</v>
      </c>
      <c r="N912" t="s">
        <v>1034</v>
      </c>
      <c r="O912" t="s">
        <v>446</v>
      </c>
      <c r="P912" t="s">
        <v>1031</v>
      </c>
      <c r="Q912" t="b">
        <v>1</v>
      </c>
      <c r="R912" t="b">
        <v>0</v>
      </c>
      <c r="S912" t="s">
        <v>1950</v>
      </c>
      <c r="T912" t="s">
        <v>446</v>
      </c>
      <c r="U912" t="s">
        <v>1951</v>
      </c>
      <c r="V912" t="s">
        <v>1093</v>
      </c>
      <c r="W912" t="s">
        <v>1952</v>
      </c>
      <c r="X912" t="s">
        <v>2411</v>
      </c>
      <c r="Y912" t="s">
        <v>2410</v>
      </c>
      <c r="Z912" t="s">
        <v>446</v>
      </c>
      <c r="AA912" t="s">
        <v>345</v>
      </c>
      <c r="AB912" t="s">
        <v>446</v>
      </c>
      <c r="AC912" t="b">
        <v>0</v>
      </c>
      <c r="AD912" t="b">
        <v>1</v>
      </c>
    </row>
    <row r="913" spans="1:30" x14ac:dyDescent="0.25">
      <c r="A913" t="s">
        <v>42</v>
      </c>
      <c r="B913" t="s">
        <v>1562</v>
      </c>
      <c r="C913" t="s">
        <v>345</v>
      </c>
      <c r="D913" t="s">
        <v>446</v>
      </c>
      <c r="E913" t="s">
        <v>1035</v>
      </c>
      <c r="F913">
        <v>4040</v>
      </c>
      <c r="G913" t="s">
        <v>2012</v>
      </c>
      <c r="H913" t="s">
        <v>2423</v>
      </c>
      <c r="I913" t="s">
        <v>2410</v>
      </c>
      <c r="J913" t="s">
        <v>1089</v>
      </c>
      <c r="K913" t="s">
        <v>1038</v>
      </c>
      <c r="L913" t="s">
        <v>1985</v>
      </c>
      <c r="M913" t="s">
        <v>980</v>
      </c>
      <c r="N913" t="s">
        <v>1039</v>
      </c>
      <c r="O913" t="s">
        <v>446</v>
      </c>
      <c r="P913" t="s">
        <v>1037</v>
      </c>
      <c r="Q913" t="b">
        <v>1</v>
      </c>
      <c r="R913" t="b">
        <v>0</v>
      </c>
      <c r="S913" t="s">
        <v>1950</v>
      </c>
      <c r="T913" t="s">
        <v>446</v>
      </c>
      <c r="U913" t="s">
        <v>1951</v>
      </c>
      <c r="V913" t="s">
        <v>1093</v>
      </c>
      <c r="W913" t="s">
        <v>1952</v>
      </c>
      <c r="X913" t="s">
        <v>2411</v>
      </c>
      <c r="Y913" t="s">
        <v>2410</v>
      </c>
      <c r="Z913" t="s">
        <v>446</v>
      </c>
      <c r="AA913" t="s">
        <v>345</v>
      </c>
      <c r="AB913" t="s">
        <v>446</v>
      </c>
      <c r="AC913" t="b">
        <v>0</v>
      </c>
      <c r="AD913" t="b">
        <v>1</v>
      </c>
    </row>
    <row r="914" spans="1:30" x14ac:dyDescent="0.25">
      <c r="A914" t="s">
        <v>42</v>
      </c>
      <c r="B914" t="s">
        <v>1563</v>
      </c>
      <c r="C914" t="s">
        <v>345</v>
      </c>
      <c r="D914" t="s">
        <v>446</v>
      </c>
      <c r="E914" t="s">
        <v>1040</v>
      </c>
      <c r="F914">
        <v>1992</v>
      </c>
      <c r="G914" t="s">
        <v>2012</v>
      </c>
      <c r="H914" t="s">
        <v>2424</v>
      </c>
      <c r="I914" t="s">
        <v>2410</v>
      </c>
      <c r="J914" t="s">
        <v>1089</v>
      </c>
      <c r="K914" t="s">
        <v>1043</v>
      </c>
      <c r="L914" t="s">
        <v>1988</v>
      </c>
      <c r="M914" t="s">
        <v>980</v>
      </c>
      <c r="N914" t="s">
        <v>1044</v>
      </c>
      <c r="O914" t="s">
        <v>446</v>
      </c>
      <c r="P914" t="s">
        <v>1042</v>
      </c>
      <c r="Q914" t="b">
        <v>1</v>
      </c>
      <c r="R914" t="b">
        <v>0</v>
      </c>
      <c r="S914" t="s">
        <v>1950</v>
      </c>
      <c r="T914" t="s">
        <v>446</v>
      </c>
      <c r="U914" t="s">
        <v>1951</v>
      </c>
      <c r="V914" t="s">
        <v>1093</v>
      </c>
      <c r="W914" t="s">
        <v>1952</v>
      </c>
      <c r="X914" t="s">
        <v>2411</v>
      </c>
      <c r="Y914" t="s">
        <v>2410</v>
      </c>
      <c r="Z914" t="s">
        <v>446</v>
      </c>
      <c r="AA914" t="s">
        <v>345</v>
      </c>
      <c r="AB914" t="s">
        <v>446</v>
      </c>
      <c r="AC914" t="b">
        <v>0</v>
      </c>
      <c r="AD914" t="b">
        <v>1</v>
      </c>
    </row>
    <row r="915" spans="1:30" x14ac:dyDescent="0.25">
      <c r="A915" t="s">
        <v>42</v>
      </c>
      <c r="B915" t="s">
        <v>1564</v>
      </c>
      <c r="C915" t="s">
        <v>345</v>
      </c>
      <c r="D915" t="s">
        <v>446</v>
      </c>
      <c r="E915" t="s">
        <v>1045</v>
      </c>
      <c r="F915">
        <v>56</v>
      </c>
      <c r="G915" t="s">
        <v>2012</v>
      </c>
      <c r="H915" t="s">
        <v>2425</v>
      </c>
      <c r="I915" t="s">
        <v>2415</v>
      </c>
      <c r="J915" t="s">
        <v>1089</v>
      </c>
      <c r="K915" t="s">
        <v>1048</v>
      </c>
      <c r="L915" t="s">
        <v>1991</v>
      </c>
      <c r="M915" t="s">
        <v>1000</v>
      </c>
      <c r="N915" t="s">
        <v>1049</v>
      </c>
      <c r="O915" t="s">
        <v>446</v>
      </c>
      <c r="P915" t="s">
        <v>1047</v>
      </c>
      <c r="Q915" t="b">
        <v>1</v>
      </c>
      <c r="R915" t="b">
        <v>0</v>
      </c>
      <c r="S915" t="s">
        <v>1950</v>
      </c>
      <c r="T915" t="s">
        <v>446</v>
      </c>
      <c r="U915" t="s">
        <v>1951</v>
      </c>
      <c r="V915" t="s">
        <v>1093</v>
      </c>
      <c r="W915" t="s">
        <v>1952</v>
      </c>
      <c r="X915" t="s">
        <v>2416</v>
      </c>
      <c r="Y915" t="s">
        <v>2417</v>
      </c>
      <c r="Z915" t="s">
        <v>446</v>
      </c>
      <c r="AA915" t="s">
        <v>345</v>
      </c>
      <c r="AB915" t="s">
        <v>446</v>
      </c>
      <c r="AC915" t="b">
        <v>0</v>
      </c>
      <c r="AD915" t="b">
        <v>1</v>
      </c>
    </row>
    <row r="916" spans="1:30" x14ac:dyDescent="0.25">
      <c r="A916" t="s">
        <v>42</v>
      </c>
      <c r="B916" t="s">
        <v>1565</v>
      </c>
      <c r="C916" t="s">
        <v>345</v>
      </c>
      <c r="D916" t="s">
        <v>446</v>
      </c>
      <c r="E916" t="s">
        <v>1051</v>
      </c>
      <c r="F916">
        <v>250</v>
      </c>
      <c r="G916" t="s">
        <v>2012</v>
      </c>
      <c r="H916" t="s">
        <v>2426</v>
      </c>
      <c r="I916" t="s">
        <v>2410</v>
      </c>
      <c r="J916" t="s">
        <v>1089</v>
      </c>
      <c r="K916" t="s">
        <v>1055</v>
      </c>
      <c r="L916" t="s">
        <v>1993</v>
      </c>
      <c r="M916" t="s">
        <v>980</v>
      </c>
      <c r="N916" t="s">
        <v>1056</v>
      </c>
      <c r="O916" t="s">
        <v>446</v>
      </c>
      <c r="P916" t="s">
        <v>1053</v>
      </c>
      <c r="Q916" t="b">
        <v>1</v>
      </c>
      <c r="R916" t="b">
        <v>0</v>
      </c>
      <c r="S916" t="s">
        <v>1950</v>
      </c>
      <c r="T916" t="s">
        <v>446</v>
      </c>
      <c r="U916" t="s">
        <v>1951</v>
      </c>
      <c r="V916" t="s">
        <v>1093</v>
      </c>
      <c r="W916" t="s">
        <v>1952</v>
      </c>
      <c r="X916" t="s">
        <v>2411</v>
      </c>
      <c r="Y916" t="s">
        <v>2410</v>
      </c>
      <c r="Z916" t="s">
        <v>446</v>
      </c>
      <c r="AA916" t="s">
        <v>345</v>
      </c>
      <c r="AB916" t="s">
        <v>446</v>
      </c>
      <c r="AC916" t="b">
        <v>0</v>
      </c>
      <c r="AD916" t="b">
        <v>1</v>
      </c>
    </row>
    <row r="917" spans="1:30" x14ac:dyDescent="0.25">
      <c r="A917" t="s">
        <v>42</v>
      </c>
      <c r="B917" t="s">
        <v>2427</v>
      </c>
      <c r="C917" t="s">
        <v>346</v>
      </c>
      <c r="D917" t="s">
        <v>446</v>
      </c>
      <c r="E917" t="s">
        <v>978</v>
      </c>
      <c r="F917">
        <v>36945</v>
      </c>
      <c r="G917" t="s">
        <v>2012</v>
      </c>
      <c r="H917" t="s">
        <v>2428</v>
      </c>
      <c r="I917" t="s">
        <v>2429</v>
      </c>
      <c r="J917" t="s">
        <v>1089</v>
      </c>
      <c r="K917" t="s">
        <v>984</v>
      </c>
      <c r="L917" t="s">
        <v>1948</v>
      </c>
      <c r="M917" t="s">
        <v>980</v>
      </c>
      <c r="N917" t="s">
        <v>985</v>
      </c>
      <c r="O917" t="s">
        <v>446</v>
      </c>
      <c r="P917" t="s">
        <v>981</v>
      </c>
      <c r="Q917" t="b">
        <v>1</v>
      </c>
      <c r="R917" t="b">
        <v>1</v>
      </c>
      <c r="S917" t="s">
        <v>2160</v>
      </c>
      <c r="T917" t="s">
        <v>446</v>
      </c>
      <c r="U917" t="s">
        <v>1951</v>
      </c>
      <c r="V917" t="s">
        <v>1093</v>
      </c>
      <c r="W917" t="s">
        <v>1952</v>
      </c>
      <c r="X917" t="s">
        <v>446</v>
      </c>
      <c r="Y917" t="s">
        <v>2430</v>
      </c>
      <c r="Z917" t="s">
        <v>2367</v>
      </c>
      <c r="AA917" t="s">
        <v>346</v>
      </c>
      <c r="AB917" t="s">
        <v>2368</v>
      </c>
      <c r="AC917" t="b">
        <v>0</v>
      </c>
      <c r="AD917" t="b">
        <v>1</v>
      </c>
    </row>
    <row r="918" spans="1:30" x14ac:dyDescent="0.25">
      <c r="A918" t="s">
        <v>42</v>
      </c>
      <c r="B918" t="s">
        <v>2431</v>
      </c>
      <c r="C918" t="s">
        <v>346</v>
      </c>
      <c r="D918" t="s">
        <v>446</v>
      </c>
      <c r="E918" t="s">
        <v>986</v>
      </c>
      <c r="F918">
        <v>36797</v>
      </c>
      <c r="G918" t="s">
        <v>2012</v>
      </c>
      <c r="H918" t="s">
        <v>2432</v>
      </c>
      <c r="I918" t="s">
        <v>2429</v>
      </c>
      <c r="J918" t="s">
        <v>1089</v>
      </c>
      <c r="K918" t="s">
        <v>990</v>
      </c>
      <c r="L918" t="s">
        <v>1955</v>
      </c>
      <c r="M918" t="s">
        <v>980</v>
      </c>
      <c r="N918" t="s">
        <v>991</v>
      </c>
      <c r="O918" t="s">
        <v>446</v>
      </c>
      <c r="P918" t="s">
        <v>988</v>
      </c>
      <c r="Q918" t="b">
        <v>1</v>
      </c>
      <c r="R918" t="b">
        <v>1</v>
      </c>
      <c r="S918" t="s">
        <v>2160</v>
      </c>
      <c r="T918" t="s">
        <v>446</v>
      </c>
      <c r="U918" t="s">
        <v>1951</v>
      </c>
      <c r="V918" t="s">
        <v>1093</v>
      </c>
      <c r="W918" t="s">
        <v>1952</v>
      </c>
      <c r="X918" t="s">
        <v>446</v>
      </c>
      <c r="Y918" t="s">
        <v>2430</v>
      </c>
      <c r="Z918" t="s">
        <v>2367</v>
      </c>
      <c r="AA918" t="s">
        <v>346</v>
      </c>
      <c r="AB918" t="s">
        <v>2368</v>
      </c>
      <c r="AC918" t="b">
        <v>0</v>
      </c>
      <c r="AD918" t="b">
        <v>1</v>
      </c>
    </row>
    <row r="919" spans="1:30" x14ac:dyDescent="0.25">
      <c r="A919" t="s">
        <v>42</v>
      </c>
      <c r="B919" t="s">
        <v>2433</v>
      </c>
      <c r="C919" t="s">
        <v>346</v>
      </c>
      <c r="D919" t="s">
        <v>446</v>
      </c>
      <c r="E919" t="s">
        <v>992</v>
      </c>
      <c r="F919">
        <v>36256</v>
      </c>
      <c r="G919" t="s">
        <v>2012</v>
      </c>
      <c r="H919" t="s">
        <v>2434</v>
      </c>
      <c r="I919" t="s">
        <v>2429</v>
      </c>
      <c r="J919" t="s">
        <v>1089</v>
      </c>
      <c r="K919" t="s">
        <v>996</v>
      </c>
      <c r="L919" t="s">
        <v>1958</v>
      </c>
      <c r="M919" t="s">
        <v>980</v>
      </c>
      <c r="N919" t="s">
        <v>997</v>
      </c>
      <c r="O919" t="s">
        <v>446</v>
      </c>
      <c r="P919" t="s">
        <v>994</v>
      </c>
      <c r="Q919" t="b">
        <v>1</v>
      </c>
      <c r="R919" t="b">
        <v>1</v>
      </c>
      <c r="S919" t="s">
        <v>2160</v>
      </c>
      <c r="T919" t="s">
        <v>446</v>
      </c>
      <c r="U919" t="s">
        <v>1951</v>
      </c>
      <c r="V919" t="s">
        <v>1093</v>
      </c>
      <c r="W919" t="s">
        <v>1952</v>
      </c>
      <c r="X919" t="s">
        <v>446</v>
      </c>
      <c r="Y919" t="s">
        <v>2430</v>
      </c>
      <c r="Z919" t="s">
        <v>2367</v>
      </c>
      <c r="AA919" t="s">
        <v>346</v>
      </c>
      <c r="AB919" t="s">
        <v>2368</v>
      </c>
      <c r="AC919" t="b">
        <v>0</v>
      </c>
      <c r="AD919" t="b">
        <v>1</v>
      </c>
    </row>
    <row r="920" spans="1:30" x14ac:dyDescent="0.25">
      <c r="A920" t="s">
        <v>42</v>
      </c>
      <c r="B920" t="s">
        <v>2435</v>
      </c>
      <c r="C920" t="s">
        <v>346</v>
      </c>
      <c r="D920" t="s">
        <v>446</v>
      </c>
      <c r="E920" t="s">
        <v>998</v>
      </c>
      <c r="F920">
        <v>37507</v>
      </c>
      <c r="G920" t="s">
        <v>2012</v>
      </c>
      <c r="H920" t="s">
        <v>2436</v>
      </c>
      <c r="I920" t="s">
        <v>2437</v>
      </c>
      <c r="J920" t="s">
        <v>1089</v>
      </c>
      <c r="K920" t="s">
        <v>1026</v>
      </c>
      <c r="L920" t="s">
        <v>1979</v>
      </c>
      <c r="M920" t="s">
        <v>1000</v>
      </c>
      <c r="N920" t="s">
        <v>1027</v>
      </c>
      <c r="O920" t="s">
        <v>446</v>
      </c>
      <c r="P920" t="s">
        <v>1001</v>
      </c>
      <c r="Q920" t="b">
        <v>1</v>
      </c>
      <c r="R920" t="b">
        <v>1</v>
      </c>
      <c r="S920" t="s">
        <v>2160</v>
      </c>
      <c r="T920" t="s">
        <v>446</v>
      </c>
      <c r="U920" t="s">
        <v>1951</v>
      </c>
      <c r="V920" t="s">
        <v>1093</v>
      </c>
      <c r="W920" t="s">
        <v>1952</v>
      </c>
      <c r="X920" t="s">
        <v>2438</v>
      </c>
      <c r="Y920" t="s">
        <v>2437</v>
      </c>
      <c r="Z920" t="s">
        <v>446</v>
      </c>
      <c r="AA920" t="s">
        <v>346</v>
      </c>
      <c r="AB920" t="s">
        <v>446</v>
      </c>
      <c r="AC920" t="b">
        <v>0</v>
      </c>
      <c r="AD920" t="b">
        <v>1</v>
      </c>
    </row>
    <row r="921" spans="1:30" x14ac:dyDescent="0.25">
      <c r="A921" t="s">
        <v>42</v>
      </c>
      <c r="B921" t="s">
        <v>2439</v>
      </c>
      <c r="C921" t="s">
        <v>346</v>
      </c>
      <c r="D921" t="s">
        <v>446</v>
      </c>
      <c r="E921" t="s">
        <v>1006</v>
      </c>
      <c r="F921">
        <v>36496</v>
      </c>
      <c r="G921" t="s">
        <v>2012</v>
      </c>
      <c r="H921" t="s">
        <v>2440</v>
      </c>
      <c r="I921" t="s">
        <v>2429</v>
      </c>
      <c r="J921" t="s">
        <v>1089</v>
      </c>
      <c r="K921" t="s">
        <v>1967</v>
      </c>
      <c r="L921" t="s">
        <v>1968</v>
      </c>
      <c r="M921" t="s">
        <v>980</v>
      </c>
      <c r="N921" t="s">
        <v>1969</v>
      </c>
      <c r="O921" t="s">
        <v>446</v>
      </c>
      <c r="P921" t="s">
        <v>1009</v>
      </c>
      <c r="Q921" t="b">
        <v>1</v>
      </c>
      <c r="R921" t="b">
        <v>1</v>
      </c>
      <c r="S921" t="s">
        <v>2160</v>
      </c>
      <c r="T921" t="s">
        <v>446</v>
      </c>
      <c r="U921" t="s">
        <v>1951</v>
      </c>
      <c r="V921" t="s">
        <v>1093</v>
      </c>
      <c r="W921" t="s">
        <v>1952</v>
      </c>
      <c r="X921" t="s">
        <v>446</v>
      </c>
      <c r="Y921" t="s">
        <v>446</v>
      </c>
      <c r="Z921" t="s">
        <v>446</v>
      </c>
      <c r="AA921" t="s">
        <v>346</v>
      </c>
      <c r="AB921" t="s">
        <v>446</v>
      </c>
      <c r="AC921" t="b">
        <v>0</v>
      </c>
      <c r="AD921" t="b">
        <v>1</v>
      </c>
    </row>
    <row r="922" spans="1:30" x14ac:dyDescent="0.25">
      <c r="A922" t="s">
        <v>42</v>
      </c>
      <c r="B922" t="s">
        <v>2441</v>
      </c>
      <c r="C922" t="s">
        <v>346</v>
      </c>
      <c r="D922" t="s">
        <v>446</v>
      </c>
      <c r="E922" t="s">
        <v>1013</v>
      </c>
      <c r="F922">
        <v>40024</v>
      </c>
      <c r="G922" t="s">
        <v>2012</v>
      </c>
      <c r="H922" t="s">
        <v>2442</v>
      </c>
      <c r="I922" t="s">
        <v>2437</v>
      </c>
      <c r="J922" t="s">
        <v>1089</v>
      </c>
      <c r="K922" t="s">
        <v>1016</v>
      </c>
      <c r="L922" t="s">
        <v>1972</v>
      </c>
      <c r="M922" t="s">
        <v>980</v>
      </c>
      <c r="N922" t="s">
        <v>1017</v>
      </c>
      <c r="O922" t="s">
        <v>446</v>
      </c>
      <c r="P922" t="s">
        <v>1015</v>
      </c>
      <c r="Q922" t="b">
        <v>1</v>
      </c>
      <c r="R922" t="b">
        <v>1</v>
      </c>
      <c r="S922" t="s">
        <v>2160</v>
      </c>
      <c r="T922" t="s">
        <v>446</v>
      </c>
      <c r="U922" t="s">
        <v>1951</v>
      </c>
      <c r="V922" t="s">
        <v>1093</v>
      </c>
      <c r="W922" t="s">
        <v>1952</v>
      </c>
      <c r="X922" t="s">
        <v>2438</v>
      </c>
      <c r="Y922" t="s">
        <v>2437</v>
      </c>
      <c r="Z922" t="s">
        <v>446</v>
      </c>
      <c r="AA922" t="s">
        <v>346</v>
      </c>
      <c r="AB922" t="s">
        <v>446</v>
      </c>
      <c r="AC922" t="b">
        <v>0</v>
      </c>
      <c r="AD922" t="b">
        <v>1</v>
      </c>
    </row>
    <row r="923" spans="1:30" x14ac:dyDescent="0.25">
      <c r="A923" t="s">
        <v>42</v>
      </c>
      <c r="B923" t="s">
        <v>2443</v>
      </c>
      <c r="C923" t="s">
        <v>346</v>
      </c>
      <c r="D923" t="s">
        <v>446</v>
      </c>
      <c r="E923" t="s">
        <v>1018</v>
      </c>
      <c r="F923">
        <v>44061</v>
      </c>
      <c r="G923" t="s">
        <v>2012</v>
      </c>
      <c r="H923" t="s">
        <v>2444</v>
      </c>
      <c r="I923" t="s">
        <v>2437</v>
      </c>
      <c r="J923" t="s">
        <v>1089</v>
      </c>
      <c r="K923" t="s">
        <v>1021</v>
      </c>
      <c r="L923" t="s">
        <v>1975</v>
      </c>
      <c r="M923" t="s">
        <v>980</v>
      </c>
      <c r="N923" t="s">
        <v>1022</v>
      </c>
      <c r="O923" t="s">
        <v>446</v>
      </c>
      <c r="P923" t="s">
        <v>1020</v>
      </c>
      <c r="Q923" t="b">
        <v>1</v>
      </c>
      <c r="R923" t="b">
        <v>1</v>
      </c>
      <c r="S923" t="s">
        <v>2160</v>
      </c>
      <c r="T923" t="s">
        <v>446</v>
      </c>
      <c r="U923" t="s">
        <v>1951</v>
      </c>
      <c r="V923" t="s">
        <v>1093</v>
      </c>
      <c r="W923" t="s">
        <v>1952</v>
      </c>
      <c r="X923" t="s">
        <v>2438</v>
      </c>
      <c r="Y923" t="s">
        <v>2437</v>
      </c>
      <c r="Z923" t="s">
        <v>446</v>
      </c>
      <c r="AA923" t="s">
        <v>346</v>
      </c>
      <c r="AB923" t="s">
        <v>446</v>
      </c>
      <c r="AC923" t="b">
        <v>0</v>
      </c>
      <c r="AD923" t="b">
        <v>1</v>
      </c>
    </row>
    <row r="924" spans="1:30" x14ac:dyDescent="0.25">
      <c r="A924" t="s">
        <v>42</v>
      </c>
      <c r="B924" t="s">
        <v>2445</v>
      </c>
      <c r="C924" t="s">
        <v>346</v>
      </c>
      <c r="D924" t="s">
        <v>446</v>
      </c>
      <c r="E924" t="s">
        <v>1023</v>
      </c>
      <c r="F924">
        <v>43023</v>
      </c>
      <c r="G924" t="s">
        <v>2012</v>
      </c>
      <c r="H924" t="s">
        <v>2446</v>
      </c>
      <c r="I924" t="s">
        <v>2437</v>
      </c>
      <c r="J924" t="s">
        <v>1089</v>
      </c>
      <c r="K924" t="s">
        <v>1026</v>
      </c>
      <c r="L924" t="s">
        <v>1979</v>
      </c>
      <c r="M924" t="s">
        <v>1000</v>
      </c>
      <c r="N924" t="s">
        <v>1027</v>
      </c>
      <c r="O924" t="s">
        <v>446</v>
      </c>
      <c r="P924" t="s">
        <v>1025</v>
      </c>
      <c r="Q924" t="b">
        <v>1</v>
      </c>
      <c r="R924" t="b">
        <v>1</v>
      </c>
      <c r="S924" t="s">
        <v>2160</v>
      </c>
      <c r="T924" t="s">
        <v>446</v>
      </c>
      <c r="U924" t="s">
        <v>1951</v>
      </c>
      <c r="V924" t="s">
        <v>1093</v>
      </c>
      <c r="W924" t="s">
        <v>1952</v>
      </c>
      <c r="X924" t="s">
        <v>2438</v>
      </c>
      <c r="Y924" t="s">
        <v>2437</v>
      </c>
      <c r="Z924" t="s">
        <v>446</v>
      </c>
      <c r="AA924" t="s">
        <v>346</v>
      </c>
      <c r="AB924" t="s">
        <v>446</v>
      </c>
      <c r="AC924" t="b">
        <v>0</v>
      </c>
      <c r="AD924" t="b">
        <v>1</v>
      </c>
    </row>
    <row r="925" spans="1:30" x14ac:dyDescent="0.25">
      <c r="A925" t="s">
        <v>42</v>
      </c>
      <c r="B925" t="s">
        <v>1566</v>
      </c>
      <c r="C925" t="s">
        <v>346</v>
      </c>
      <c r="D925" t="s">
        <v>446</v>
      </c>
      <c r="E925" t="s">
        <v>1029</v>
      </c>
      <c r="F925">
        <v>43693</v>
      </c>
      <c r="G925" t="s">
        <v>2012</v>
      </c>
      <c r="H925" t="s">
        <v>2447</v>
      </c>
      <c r="I925" t="s">
        <v>2437</v>
      </c>
      <c r="J925" t="s">
        <v>1089</v>
      </c>
      <c r="K925" t="s">
        <v>1033</v>
      </c>
      <c r="L925" t="s">
        <v>1982</v>
      </c>
      <c r="M925" t="s">
        <v>980</v>
      </c>
      <c r="N925" t="s">
        <v>1034</v>
      </c>
      <c r="O925" t="s">
        <v>446</v>
      </c>
      <c r="P925" t="s">
        <v>1031</v>
      </c>
      <c r="Q925" t="b">
        <v>1</v>
      </c>
      <c r="R925" t="b">
        <v>0</v>
      </c>
      <c r="S925" t="s">
        <v>1950</v>
      </c>
      <c r="T925" t="s">
        <v>446</v>
      </c>
      <c r="U925" t="s">
        <v>1951</v>
      </c>
      <c r="V925" t="s">
        <v>1093</v>
      </c>
      <c r="W925" t="s">
        <v>1952</v>
      </c>
      <c r="X925" t="s">
        <v>2438</v>
      </c>
      <c r="Y925" t="s">
        <v>2437</v>
      </c>
      <c r="Z925" t="s">
        <v>446</v>
      </c>
      <c r="AA925" t="s">
        <v>346</v>
      </c>
      <c r="AB925" t="s">
        <v>446</v>
      </c>
      <c r="AC925" t="b">
        <v>0</v>
      </c>
      <c r="AD925" t="b">
        <v>1</v>
      </c>
    </row>
    <row r="926" spans="1:30" x14ac:dyDescent="0.25">
      <c r="A926" t="s">
        <v>42</v>
      </c>
      <c r="B926" t="s">
        <v>1568</v>
      </c>
      <c r="C926" t="s">
        <v>346</v>
      </c>
      <c r="D926" t="s">
        <v>446</v>
      </c>
      <c r="E926" t="s">
        <v>1035</v>
      </c>
      <c r="F926">
        <v>45067</v>
      </c>
      <c r="G926" t="s">
        <v>2012</v>
      </c>
      <c r="H926" t="s">
        <v>2448</v>
      </c>
      <c r="I926" t="s">
        <v>2437</v>
      </c>
      <c r="J926" t="s">
        <v>1089</v>
      </c>
      <c r="K926" t="s">
        <v>1038</v>
      </c>
      <c r="L926" t="s">
        <v>1985</v>
      </c>
      <c r="M926" t="s">
        <v>980</v>
      </c>
      <c r="N926" t="s">
        <v>1039</v>
      </c>
      <c r="O926" t="s">
        <v>446</v>
      </c>
      <c r="P926" t="s">
        <v>1037</v>
      </c>
      <c r="Q926" t="b">
        <v>1</v>
      </c>
      <c r="R926" t="b">
        <v>0</v>
      </c>
      <c r="S926" t="s">
        <v>1950</v>
      </c>
      <c r="T926" t="s">
        <v>446</v>
      </c>
      <c r="U926" t="s">
        <v>1951</v>
      </c>
      <c r="V926" t="s">
        <v>1093</v>
      </c>
      <c r="W926" t="s">
        <v>1952</v>
      </c>
      <c r="X926" t="s">
        <v>2438</v>
      </c>
      <c r="Y926" t="s">
        <v>2437</v>
      </c>
      <c r="Z926" t="s">
        <v>446</v>
      </c>
      <c r="AA926" t="s">
        <v>346</v>
      </c>
      <c r="AB926" t="s">
        <v>446</v>
      </c>
      <c r="AC926" t="b">
        <v>0</v>
      </c>
      <c r="AD926" t="b">
        <v>1</v>
      </c>
    </row>
    <row r="927" spans="1:30" x14ac:dyDescent="0.25">
      <c r="A927" t="s">
        <v>42</v>
      </c>
      <c r="B927" t="s">
        <v>1570</v>
      </c>
      <c r="C927" t="s">
        <v>346</v>
      </c>
      <c r="D927" t="s">
        <v>446</v>
      </c>
      <c r="E927" t="s">
        <v>1040</v>
      </c>
      <c r="F927">
        <v>45097</v>
      </c>
      <c r="G927" t="s">
        <v>2012</v>
      </c>
      <c r="H927" t="s">
        <v>2449</v>
      </c>
      <c r="I927" t="s">
        <v>2437</v>
      </c>
      <c r="J927" t="s">
        <v>1089</v>
      </c>
      <c r="K927" t="s">
        <v>1043</v>
      </c>
      <c r="L927" t="s">
        <v>1988</v>
      </c>
      <c r="M927" t="s">
        <v>980</v>
      </c>
      <c r="N927" t="s">
        <v>1044</v>
      </c>
      <c r="O927" t="s">
        <v>446</v>
      </c>
      <c r="P927" t="s">
        <v>1042</v>
      </c>
      <c r="Q927" t="b">
        <v>1</v>
      </c>
      <c r="R927" t="b">
        <v>0</v>
      </c>
      <c r="S927" t="s">
        <v>1950</v>
      </c>
      <c r="T927" t="s">
        <v>446</v>
      </c>
      <c r="U927" t="s">
        <v>1951</v>
      </c>
      <c r="V927" t="s">
        <v>1093</v>
      </c>
      <c r="W927" t="s">
        <v>1952</v>
      </c>
      <c r="X927" t="s">
        <v>2438</v>
      </c>
      <c r="Y927" t="s">
        <v>2437</v>
      </c>
      <c r="Z927" t="s">
        <v>446</v>
      </c>
      <c r="AA927" t="s">
        <v>346</v>
      </c>
      <c r="AB927" t="s">
        <v>446</v>
      </c>
      <c r="AC927" t="b">
        <v>0</v>
      </c>
      <c r="AD927" t="b">
        <v>1</v>
      </c>
    </row>
    <row r="928" spans="1:30" x14ac:dyDescent="0.25">
      <c r="A928" t="s">
        <v>42</v>
      </c>
      <c r="B928" t="s">
        <v>1572</v>
      </c>
      <c r="C928" t="s">
        <v>346</v>
      </c>
      <c r="D928" t="s">
        <v>446</v>
      </c>
      <c r="E928" t="s">
        <v>1045</v>
      </c>
      <c r="F928">
        <v>43941</v>
      </c>
      <c r="G928" t="s">
        <v>2012</v>
      </c>
      <c r="H928" t="s">
        <v>2450</v>
      </c>
      <c r="I928" t="s">
        <v>2437</v>
      </c>
      <c r="J928" t="s">
        <v>1089</v>
      </c>
      <c r="K928" t="s">
        <v>1048</v>
      </c>
      <c r="L928" t="s">
        <v>1991</v>
      </c>
      <c r="M928" t="s">
        <v>1000</v>
      </c>
      <c r="N928" t="s">
        <v>1049</v>
      </c>
      <c r="O928" t="s">
        <v>446</v>
      </c>
      <c r="P928" t="s">
        <v>1047</v>
      </c>
      <c r="Q928" t="b">
        <v>1</v>
      </c>
      <c r="R928" t="b">
        <v>0</v>
      </c>
      <c r="S928" t="s">
        <v>1950</v>
      </c>
      <c r="T928" t="s">
        <v>446</v>
      </c>
      <c r="U928" t="s">
        <v>1951</v>
      </c>
      <c r="V928" t="s">
        <v>1093</v>
      </c>
      <c r="W928" t="s">
        <v>1952</v>
      </c>
      <c r="X928" t="s">
        <v>2438</v>
      </c>
      <c r="Y928" t="s">
        <v>2437</v>
      </c>
      <c r="Z928" t="s">
        <v>446</v>
      </c>
      <c r="AA928" t="s">
        <v>346</v>
      </c>
      <c r="AB928" t="s">
        <v>446</v>
      </c>
      <c r="AC928" t="b">
        <v>0</v>
      </c>
      <c r="AD928" t="b">
        <v>1</v>
      </c>
    </row>
    <row r="929" spans="1:30" x14ac:dyDescent="0.25">
      <c r="A929" t="s">
        <v>42</v>
      </c>
      <c r="B929" t="s">
        <v>2451</v>
      </c>
      <c r="C929" t="s">
        <v>346</v>
      </c>
      <c r="D929" t="s">
        <v>446</v>
      </c>
      <c r="E929" t="s">
        <v>1051</v>
      </c>
      <c r="F929">
        <v>43558</v>
      </c>
      <c r="G929" t="s">
        <v>2012</v>
      </c>
      <c r="H929" t="s">
        <v>2452</v>
      </c>
      <c r="I929" t="s">
        <v>2437</v>
      </c>
      <c r="J929" t="s">
        <v>1089</v>
      </c>
      <c r="K929" t="s">
        <v>1055</v>
      </c>
      <c r="L929" t="s">
        <v>1993</v>
      </c>
      <c r="M929" t="s">
        <v>980</v>
      </c>
      <c r="N929" t="s">
        <v>1056</v>
      </c>
      <c r="O929" t="s">
        <v>446</v>
      </c>
      <c r="P929" t="s">
        <v>1053</v>
      </c>
      <c r="Q929" t="b">
        <v>1</v>
      </c>
      <c r="R929" t="b">
        <v>1</v>
      </c>
      <c r="S929" t="s">
        <v>2160</v>
      </c>
      <c r="T929" t="s">
        <v>446</v>
      </c>
      <c r="U929" t="s">
        <v>1951</v>
      </c>
      <c r="V929" t="s">
        <v>1093</v>
      </c>
      <c r="W929" t="s">
        <v>1952</v>
      </c>
      <c r="X929" t="s">
        <v>2438</v>
      </c>
      <c r="Y929" t="s">
        <v>2437</v>
      </c>
      <c r="Z929" t="s">
        <v>446</v>
      </c>
      <c r="AA929" t="s">
        <v>346</v>
      </c>
      <c r="AB929" t="s">
        <v>446</v>
      </c>
      <c r="AC929" t="b">
        <v>0</v>
      </c>
      <c r="AD929" t="b">
        <v>1</v>
      </c>
    </row>
    <row r="930" spans="1:30" x14ac:dyDescent="0.25">
      <c r="A930" t="s">
        <v>42</v>
      </c>
      <c r="B930" t="s">
        <v>1574</v>
      </c>
      <c r="C930" t="s">
        <v>347</v>
      </c>
      <c r="D930" t="s">
        <v>446</v>
      </c>
      <c r="E930" t="s">
        <v>978</v>
      </c>
      <c r="F930">
        <v>3171</v>
      </c>
      <c r="G930" t="s">
        <v>2012</v>
      </c>
      <c r="H930" t="s">
        <v>2453</v>
      </c>
      <c r="I930" t="s">
        <v>2454</v>
      </c>
      <c r="J930" t="s">
        <v>1089</v>
      </c>
      <c r="K930" t="s">
        <v>984</v>
      </c>
      <c r="L930" t="s">
        <v>1948</v>
      </c>
      <c r="M930" t="s">
        <v>980</v>
      </c>
      <c r="N930" t="s">
        <v>985</v>
      </c>
      <c r="O930" t="s">
        <v>446</v>
      </c>
      <c r="P930" t="s">
        <v>981</v>
      </c>
      <c r="Q930" t="b">
        <v>1</v>
      </c>
      <c r="R930" t="b">
        <v>0</v>
      </c>
      <c r="S930" t="s">
        <v>1950</v>
      </c>
      <c r="T930" t="s">
        <v>446</v>
      </c>
      <c r="U930" t="s">
        <v>1951</v>
      </c>
      <c r="V930" t="s">
        <v>1093</v>
      </c>
      <c r="W930" t="s">
        <v>1952</v>
      </c>
      <c r="X930" t="s">
        <v>2455</v>
      </c>
      <c r="Y930" t="s">
        <v>2456</v>
      </c>
      <c r="Z930" t="s">
        <v>2457</v>
      </c>
      <c r="AA930" t="s">
        <v>347</v>
      </c>
      <c r="AB930" t="s">
        <v>2458</v>
      </c>
      <c r="AC930" t="b">
        <v>0</v>
      </c>
      <c r="AD930" t="b">
        <v>1</v>
      </c>
    </row>
    <row r="931" spans="1:30" x14ac:dyDescent="0.25">
      <c r="A931" t="s">
        <v>42</v>
      </c>
      <c r="B931" t="s">
        <v>1575</v>
      </c>
      <c r="C931" t="s">
        <v>347</v>
      </c>
      <c r="D931" t="s">
        <v>446</v>
      </c>
      <c r="E931" t="s">
        <v>986</v>
      </c>
      <c r="F931">
        <v>2714</v>
      </c>
      <c r="G931" t="s">
        <v>2012</v>
      </c>
      <c r="H931" t="s">
        <v>2459</v>
      </c>
      <c r="I931" t="s">
        <v>2454</v>
      </c>
      <c r="J931" t="s">
        <v>1089</v>
      </c>
      <c r="K931" t="s">
        <v>990</v>
      </c>
      <c r="L931" t="s">
        <v>1955</v>
      </c>
      <c r="M931" t="s">
        <v>980</v>
      </c>
      <c r="N931" t="s">
        <v>991</v>
      </c>
      <c r="O931" t="s">
        <v>446</v>
      </c>
      <c r="P931" t="s">
        <v>988</v>
      </c>
      <c r="Q931" t="b">
        <v>1</v>
      </c>
      <c r="R931" t="b">
        <v>0</v>
      </c>
      <c r="S931" t="s">
        <v>1950</v>
      </c>
      <c r="T931" t="s">
        <v>446</v>
      </c>
      <c r="U931" t="s">
        <v>1951</v>
      </c>
      <c r="V931" t="s">
        <v>1093</v>
      </c>
      <c r="W931" t="s">
        <v>1952</v>
      </c>
      <c r="X931" t="s">
        <v>2455</v>
      </c>
      <c r="Y931" t="s">
        <v>2456</v>
      </c>
      <c r="Z931" t="s">
        <v>2457</v>
      </c>
      <c r="AA931" t="s">
        <v>347</v>
      </c>
      <c r="AB931" t="s">
        <v>2458</v>
      </c>
      <c r="AC931" t="b">
        <v>0</v>
      </c>
      <c r="AD931" t="b">
        <v>1</v>
      </c>
    </row>
    <row r="932" spans="1:30" x14ac:dyDescent="0.25">
      <c r="A932" t="s">
        <v>42</v>
      </c>
      <c r="B932" t="s">
        <v>1576</v>
      </c>
      <c r="C932" t="s">
        <v>347</v>
      </c>
      <c r="D932" t="s">
        <v>446</v>
      </c>
      <c r="E932" t="s">
        <v>992</v>
      </c>
      <c r="F932">
        <v>2733</v>
      </c>
      <c r="G932" t="s">
        <v>2012</v>
      </c>
      <c r="H932" t="s">
        <v>2460</v>
      </c>
      <c r="I932" t="s">
        <v>2454</v>
      </c>
      <c r="J932" t="s">
        <v>1089</v>
      </c>
      <c r="K932" t="s">
        <v>996</v>
      </c>
      <c r="L932" t="s">
        <v>1958</v>
      </c>
      <c r="M932" t="s">
        <v>980</v>
      </c>
      <c r="N932" t="s">
        <v>997</v>
      </c>
      <c r="O932" t="s">
        <v>446</v>
      </c>
      <c r="P932" t="s">
        <v>994</v>
      </c>
      <c r="Q932" t="b">
        <v>1</v>
      </c>
      <c r="R932" t="b">
        <v>0</v>
      </c>
      <c r="S932" t="s">
        <v>1950</v>
      </c>
      <c r="T932" t="s">
        <v>446</v>
      </c>
      <c r="U932" t="s">
        <v>1951</v>
      </c>
      <c r="V932" t="s">
        <v>1093</v>
      </c>
      <c r="W932" t="s">
        <v>1952</v>
      </c>
      <c r="X932" t="s">
        <v>2455</v>
      </c>
      <c r="Y932" t="s">
        <v>2456</v>
      </c>
      <c r="Z932" t="s">
        <v>2457</v>
      </c>
      <c r="AA932" t="s">
        <v>347</v>
      </c>
      <c r="AB932" t="s">
        <v>2458</v>
      </c>
      <c r="AC932" t="b">
        <v>0</v>
      </c>
      <c r="AD932" t="b">
        <v>1</v>
      </c>
    </row>
    <row r="933" spans="1:30" x14ac:dyDescent="0.25">
      <c r="A933" t="s">
        <v>42</v>
      </c>
      <c r="B933" t="s">
        <v>1577</v>
      </c>
      <c r="C933" t="s">
        <v>347</v>
      </c>
      <c r="D933" t="s">
        <v>446</v>
      </c>
      <c r="E933" t="s">
        <v>998</v>
      </c>
      <c r="F933">
        <v>2639</v>
      </c>
      <c r="G933" t="s">
        <v>2012</v>
      </c>
      <c r="H933" t="s">
        <v>2461</v>
      </c>
      <c r="I933" t="s">
        <v>2454</v>
      </c>
      <c r="J933" t="s">
        <v>1089</v>
      </c>
      <c r="K933" t="s">
        <v>1003</v>
      </c>
      <c r="L933" t="s">
        <v>2031</v>
      </c>
      <c r="M933" t="s">
        <v>1000</v>
      </c>
      <c r="N933" t="s">
        <v>1004</v>
      </c>
      <c r="O933" t="s">
        <v>446</v>
      </c>
      <c r="P933" t="s">
        <v>1001</v>
      </c>
      <c r="Q933" t="b">
        <v>1</v>
      </c>
      <c r="R933" t="b">
        <v>0</v>
      </c>
      <c r="S933" t="s">
        <v>1950</v>
      </c>
      <c r="T933" t="s">
        <v>446</v>
      </c>
      <c r="U933" t="s">
        <v>1951</v>
      </c>
      <c r="V933" t="s">
        <v>1093</v>
      </c>
      <c r="W933" t="s">
        <v>1952</v>
      </c>
      <c r="X933" t="s">
        <v>2455</v>
      </c>
      <c r="Y933" t="s">
        <v>2456</v>
      </c>
      <c r="Z933" t="s">
        <v>2457</v>
      </c>
      <c r="AA933" t="s">
        <v>347</v>
      </c>
      <c r="AB933" t="s">
        <v>2458</v>
      </c>
      <c r="AC933" t="b">
        <v>0</v>
      </c>
      <c r="AD933" t="b">
        <v>1</v>
      </c>
    </row>
    <row r="934" spans="1:30" x14ac:dyDescent="0.25">
      <c r="A934" t="s">
        <v>42</v>
      </c>
      <c r="B934" t="s">
        <v>1578</v>
      </c>
      <c r="C934" t="s">
        <v>347</v>
      </c>
      <c r="D934" t="s">
        <v>446</v>
      </c>
      <c r="E934" t="s">
        <v>1006</v>
      </c>
      <c r="F934">
        <v>2521</v>
      </c>
      <c r="G934" t="s">
        <v>2012</v>
      </c>
      <c r="H934" t="s">
        <v>2462</v>
      </c>
      <c r="I934" t="s">
        <v>2454</v>
      </c>
      <c r="J934" t="s">
        <v>1089</v>
      </c>
      <c r="K934" t="s">
        <v>1967</v>
      </c>
      <c r="L934" t="s">
        <v>1968</v>
      </c>
      <c r="M934" t="s">
        <v>980</v>
      </c>
      <c r="N934" t="s">
        <v>1969</v>
      </c>
      <c r="O934" t="s">
        <v>446</v>
      </c>
      <c r="P934" t="s">
        <v>1009</v>
      </c>
      <c r="Q934" t="b">
        <v>1</v>
      </c>
      <c r="R934" t="b">
        <v>0</v>
      </c>
      <c r="S934" t="s">
        <v>1950</v>
      </c>
      <c r="T934" t="s">
        <v>446</v>
      </c>
      <c r="U934" t="s">
        <v>1951</v>
      </c>
      <c r="V934" t="s">
        <v>1093</v>
      </c>
      <c r="W934" t="s">
        <v>1952</v>
      </c>
      <c r="X934" t="s">
        <v>2455</v>
      </c>
      <c r="Y934" t="s">
        <v>2463</v>
      </c>
      <c r="Z934" t="s">
        <v>446</v>
      </c>
      <c r="AA934" t="s">
        <v>347</v>
      </c>
      <c r="AB934" t="s">
        <v>446</v>
      </c>
      <c r="AC934" t="b">
        <v>0</v>
      </c>
      <c r="AD934" t="b">
        <v>1</v>
      </c>
    </row>
    <row r="935" spans="1:30" x14ac:dyDescent="0.25">
      <c r="A935" t="s">
        <v>42</v>
      </c>
      <c r="B935" t="s">
        <v>1579</v>
      </c>
      <c r="C935" t="s">
        <v>347</v>
      </c>
      <c r="D935" t="s">
        <v>446</v>
      </c>
      <c r="E935" t="s">
        <v>1013</v>
      </c>
      <c r="F935">
        <v>2366</v>
      </c>
      <c r="G935" t="s">
        <v>2012</v>
      </c>
      <c r="H935" t="s">
        <v>2464</v>
      </c>
      <c r="I935" t="s">
        <v>2454</v>
      </c>
      <c r="J935" t="s">
        <v>1089</v>
      </c>
      <c r="K935" t="s">
        <v>1016</v>
      </c>
      <c r="L935" t="s">
        <v>1972</v>
      </c>
      <c r="M935" t="s">
        <v>980</v>
      </c>
      <c r="N935" t="s">
        <v>1017</v>
      </c>
      <c r="O935" t="s">
        <v>446</v>
      </c>
      <c r="P935" t="s">
        <v>1015</v>
      </c>
      <c r="Q935" t="b">
        <v>1</v>
      </c>
      <c r="R935" t="b">
        <v>0</v>
      </c>
      <c r="S935" t="s">
        <v>1950</v>
      </c>
      <c r="T935" t="s">
        <v>446</v>
      </c>
      <c r="U935" t="s">
        <v>1951</v>
      </c>
      <c r="V935" t="s">
        <v>1093</v>
      </c>
      <c r="W935" t="s">
        <v>1952</v>
      </c>
      <c r="X935" t="s">
        <v>2455</v>
      </c>
      <c r="Y935" t="s">
        <v>2456</v>
      </c>
      <c r="Z935" t="s">
        <v>2457</v>
      </c>
      <c r="AA935" t="s">
        <v>347</v>
      </c>
      <c r="AB935" t="s">
        <v>2458</v>
      </c>
      <c r="AC935" t="b">
        <v>0</v>
      </c>
      <c r="AD935" t="b">
        <v>1</v>
      </c>
    </row>
    <row r="936" spans="1:30" x14ac:dyDescent="0.25">
      <c r="A936" t="s">
        <v>42</v>
      </c>
      <c r="B936" t="s">
        <v>1580</v>
      </c>
      <c r="C936" t="s">
        <v>347</v>
      </c>
      <c r="D936" t="s">
        <v>446</v>
      </c>
      <c r="E936" t="s">
        <v>1018</v>
      </c>
      <c r="F936">
        <v>2292</v>
      </c>
      <c r="G936" t="s">
        <v>2012</v>
      </c>
      <c r="H936" t="s">
        <v>2465</v>
      </c>
      <c r="I936" t="s">
        <v>2454</v>
      </c>
      <c r="J936" t="s">
        <v>1089</v>
      </c>
      <c r="K936" t="s">
        <v>1021</v>
      </c>
      <c r="L936" t="s">
        <v>1975</v>
      </c>
      <c r="M936" t="s">
        <v>980</v>
      </c>
      <c r="N936" t="s">
        <v>1022</v>
      </c>
      <c r="O936" t="s">
        <v>446</v>
      </c>
      <c r="P936" t="s">
        <v>1020</v>
      </c>
      <c r="Q936" t="b">
        <v>1</v>
      </c>
      <c r="R936" t="b">
        <v>0</v>
      </c>
      <c r="S936" t="s">
        <v>1950</v>
      </c>
      <c r="T936" t="s">
        <v>446</v>
      </c>
      <c r="U936" t="s">
        <v>1951</v>
      </c>
      <c r="V936" t="s">
        <v>1093</v>
      </c>
      <c r="W936" t="s">
        <v>1952</v>
      </c>
      <c r="X936" t="s">
        <v>2455</v>
      </c>
      <c r="Y936" t="s">
        <v>2456</v>
      </c>
      <c r="Z936" t="s">
        <v>2457</v>
      </c>
      <c r="AA936" t="s">
        <v>347</v>
      </c>
      <c r="AB936" t="s">
        <v>2458</v>
      </c>
      <c r="AC936" t="b">
        <v>0</v>
      </c>
      <c r="AD936" t="b">
        <v>1</v>
      </c>
    </row>
    <row r="937" spans="1:30" x14ac:dyDescent="0.25">
      <c r="A937" t="s">
        <v>42</v>
      </c>
      <c r="B937" t="s">
        <v>1581</v>
      </c>
      <c r="C937" t="s">
        <v>347</v>
      </c>
      <c r="D937" t="s">
        <v>446</v>
      </c>
      <c r="E937" t="s">
        <v>1023</v>
      </c>
      <c r="F937">
        <v>2469</v>
      </c>
      <c r="G937" t="s">
        <v>2012</v>
      </c>
      <c r="H937" t="s">
        <v>2466</v>
      </c>
      <c r="I937" t="s">
        <v>2454</v>
      </c>
      <c r="J937" t="s">
        <v>1089</v>
      </c>
      <c r="K937" t="s">
        <v>1026</v>
      </c>
      <c r="L937" t="s">
        <v>1979</v>
      </c>
      <c r="M937" t="s">
        <v>1000</v>
      </c>
      <c r="N937" t="s">
        <v>1027</v>
      </c>
      <c r="O937" t="s">
        <v>446</v>
      </c>
      <c r="P937" t="s">
        <v>1025</v>
      </c>
      <c r="Q937" t="b">
        <v>1</v>
      </c>
      <c r="R937" t="b">
        <v>0</v>
      </c>
      <c r="S937" t="s">
        <v>1950</v>
      </c>
      <c r="T937" t="s">
        <v>446</v>
      </c>
      <c r="U937" t="s">
        <v>1951</v>
      </c>
      <c r="V937" t="s">
        <v>1093</v>
      </c>
      <c r="W937" t="s">
        <v>1952</v>
      </c>
      <c r="X937" t="s">
        <v>2455</v>
      </c>
      <c r="Y937" t="s">
        <v>2456</v>
      </c>
      <c r="Z937" t="s">
        <v>2457</v>
      </c>
      <c r="AA937" t="s">
        <v>347</v>
      </c>
      <c r="AB937" t="s">
        <v>2458</v>
      </c>
      <c r="AC937" t="b">
        <v>0</v>
      </c>
      <c r="AD937" t="b">
        <v>1</v>
      </c>
    </row>
    <row r="938" spans="1:30" x14ac:dyDescent="0.25">
      <c r="A938" t="s">
        <v>42</v>
      </c>
      <c r="B938" t="s">
        <v>1582</v>
      </c>
      <c r="C938" t="s">
        <v>347</v>
      </c>
      <c r="D938" t="s">
        <v>446</v>
      </c>
      <c r="E938" t="s">
        <v>1029</v>
      </c>
      <c r="F938">
        <v>2311</v>
      </c>
      <c r="G938" t="s">
        <v>2012</v>
      </c>
      <c r="H938" t="s">
        <v>2467</v>
      </c>
      <c r="I938" t="s">
        <v>2454</v>
      </c>
      <c r="J938" t="s">
        <v>1089</v>
      </c>
      <c r="K938" t="s">
        <v>1033</v>
      </c>
      <c r="L938" t="s">
        <v>1982</v>
      </c>
      <c r="M938" t="s">
        <v>980</v>
      </c>
      <c r="N938" t="s">
        <v>1034</v>
      </c>
      <c r="O938" t="s">
        <v>446</v>
      </c>
      <c r="P938" t="s">
        <v>1031</v>
      </c>
      <c r="Q938" t="b">
        <v>1</v>
      </c>
      <c r="R938" t="b">
        <v>0</v>
      </c>
      <c r="S938" t="s">
        <v>1950</v>
      </c>
      <c r="T938" t="s">
        <v>446</v>
      </c>
      <c r="U938" t="s">
        <v>1951</v>
      </c>
      <c r="V938" t="s">
        <v>1093</v>
      </c>
      <c r="W938" t="s">
        <v>1952</v>
      </c>
      <c r="X938" t="s">
        <v>2455</v>
      </c>
      <c r="Y938" t="s">
        <v>2456</v>
      </c>
      <c r="Z938" t="s">
        <v>2457</v>
      </c>
      <c r="AA938" t="s">
        <v>347</v>
      </c>
      <c r="AB938" t="s">
        <v>2458</v>
      </c>
      <c r="AC938" t="b">
        <v>0</v>
      </c>
      <c r="AD938" t="b">
        <v>1</v>
      </c>
    </row>
    <row r="939" spans="1:30" x14ac:dyDescent="0.25">
      <c r="A939" t="s">
        <v>42</v>
      </c>
      <c r="B939" t="s">
        <v>1583</v>
      </c>
      <c r="C939" t="s">
        <v>347</v>
      </c>
      <c r="D939" t="s">
        <v>446</v>
      </c>
      <c r="E939" t="s">
        <v>1035</v>
      </c>
      <c r="F939">
        <v>2375</v>
      </c>
      <c r="G939" t="s">
        <v>2012</v>
      </c>
      <c r="H939" t="s">
        <v>2468</v>
      </c>
      <c r="I939" t="s">
        <v>2454</v>
      </c>
      <c r="J939" t="s">
        <v>1089</v>
      </c>
      <c r="K939" t="s">
        <v>1038</v>
      </c>
      <c r="L939" t="s">
        <v>1985</v>
      </c>
      <c r="M939" t="s">
        <v>980</v>
      </c>
      <c r="N939" t="s">
        <v>1039</v>
      </c>
      <c r="O939" t="s">
        <v>446</v>
      </c>
      <c r="P939" t="s">
        <v>1037</v>
      </c>
      <c r="Q939" t="b">
        <v>1</v>
      </c>
      <c r="R939" t="b">
        <v>0</v>
      </c>
      <c r="S939" t="s">
        <v>1950</v>
      </c>
      <c r="T939" t="s">
        <v>446</v>
      </c>
      <c r="U939" t="s">
        <v>1951</v>
      </c>
      <c r="V939" t="s">
        <v>1093</v>
      </c>
      <c r="W939" t="s">
        <v>1952</v>
      </c>
      <c r="X939" t="s">
        <v>2455</v>
      </c>
      <c r="Y939" t="s">
        <v>2456</v>
      </c>
      <c r="Z939" t="s">
        <v>2457</v>
      </c>
      <c r="AA939" t="s">
        <v>347</v>
      </c>
      <c r="AB939" t="s">
        <v>2458</v>
      </c>
      <c r="AC939" t="b">
        <v>0</v>
      </c>
      <c r="AD939" t="b">
        <v>1</v>
      </c>
    </row>
    <row r="940" spans="1:30" x14ac:dyDescent="0.25">
      <c r="A940" t="s">
        <v>42</v>
      </c>
      <c r="B940" t="s">
        <v>1584</v>
      </c>
      <c r="C940" t="s">
        <v>347</v>
      </c>
      <c r="D940" t="s">
        <v>446</v>
      </c>
      <c r="E940" t="s">
        <v>1040</v>
      </c>
      <c r="F940">
        <v>2435</v>
      </c>
      <c r="G940" t="s">
        <v>2012</v>
      </c>
      <c r="H940" t="s">
        <v>2469</v>
      </c>
      <c r="I940" t="s">
        <v>2454</v>
      </c>
      <c r="J940" t="s">
        <v>1089</v>
      </c>
      <c r="K940" t="s">
        <v>1043</v>
      </c>
      <c r="L940" t="s">
        <v>1988</v>
      </c>
      <c r="M940" t="s">
        <v>980</v>
      </c>
      <c r="N940" t="s">
        <v>1044</v>
      </c>
      <c r="O940" t="s">
        <v>446</v>
      </c>
      <c r="P940" t="s">
        <v>1042</v>
      </c>
      <c r="Q940" t="b">
        <v>1</v>
      </c>
      <c r="R940" t="b">
        <v>0</v>
      </c>
      <c r="S940" t="s">
        <v>1950</v>
      </c>
      <c r="T940" t="s">
        <v>446</v>
      </c>
      <c r="U940" t="s">
        <v>1951</v>
      </c>
      <c r="V940" t="s">
        <v>1093</v>
      </c>
      <c r="W940" t="s">
        <v>1952</v>
      </c>
      <c r="X940" t="s">
        <v>2455</v>
      </c>
      <c r="Y940" t="s">
        <v>2456</v>
      </c>
      <c r="Z940" t="s">
        <v>2457</v>
      </c>
      <c r="AA940" t="s">
        <v>347</v>
      </c>
      <c r="AB940" t="s">
        <v>2458</v>
      </c>
      <c r="AC940" t="b">
        <v>0</v>
      </c>
      <c r="AD940" t="b">
        <v>1</v>
      </c>
    </row>
    <row r="941" spans="1:30" x14ac:dyDescent="0.25">
      <c r="A941" t="s">
        <v>42</v>
      </c>
      <c r="B941" t="s">
        <v>1585</v>
      </c>
      <c r="C941" t="s">
        <v>347</v>
      </c>
      <c r="D941" t="s">
        <v>446</v>
      </c>
      <c r="E941" t="s">
        <v>1045</v>
      </c>
      <c r="F941">
        <v>2406</v>
      </c>
      <c r="G941" t="s">
        <v>2012</v>
      </c>
      <c r="H941" t="s">
        <v>2470</v>
      </c>
      <c r="I941" t="s">
        <v>2454</v>
      </c>
      <c r="J941" t="s">
        <v>1089</v>
      </c>
      <c r="K941" t="s">
        <v>1048</v>
      </c>
      <c r="L941" t="s">
        <v>1991</v>
      </c>
      <c r="M941" t="s">
        <v>1000</v>
      </c>
      <c r="N941" t="s">
        <v>1049</v>
      </c>
      <c r="O941" t="s">
        <v>446</v>
      </c>
      <c r="P941" t="s">
        <v>1047</v>
      </c>
      <c r="Q941" t="b">
        <v>1</v>
      </c>
      <c r="R941" t="b">
        <v>0</v>
      </c>
      <c r="S941" t="s">
        <v>1950</v>
      </c>
      <c r="T941" t="s">
        <v>446</v>
      </c>
      <c r="U941" t="s">
        <v>1951</v>
      </c>
      <c r="V941" t="s">
        <v>1093</v>
      </c>
      <c r="W941" t="s">
        <v>1952</v>
      </c>
      <c r="X941" t="s">
        <v>2455</v>
      </c>
      <c r="Y941" t="s">
        <v>2456</v>
      </c>
      <c r="Z941" t="s">
        <v>2457</v>
      </c>
      <c r="AA941" t="s">
        <v>347</v>
      </c>
      <c r="AB941" t="s">
        <v>2458</v>
      </c>
      <c r="AC941" t="b">
        <v>0</v>
      </c>
      <c r="AD941" t="b">
        <v>1</v>
      </c>
    </row>
    <row r="942" spans="1:30" x14ac:dyDescent="0.25">
      <c r="A942" t="s">
        <v>42</v>
      </c>
      <c r="B942" t="s">
        <v>1587</v>
      </c>
      <c r="C942" t="s">
        <v>347</v>
      </c>
      <c r="D942" t="s">
        <v>446</v>
      </c>
      <c r="E942" t="s">
        <v>1051</v>
      </c>
      <c r="F942">
        <v>2615</v>
      </c>
      <c r="G942" t="s">
        <v>2012</v>
      </c>
      <c r="H942" t="s">
        <v>2471</v>
      </c>
      <c r="I942" t="s">
        <v>2454</v>
      </c>
      <c r="J942" t="s">
        <v>1089</v>
      </c>
      <c r="K942" t="s">
        <v>1055</v>
      </c>
      <c r="L942" t="s">
        <v>1993</v>
      </c>
      <c r="M942" t="s">
        <v>980</v>
      </c>
      <c r="N942" t="s">
        <v>1056</v>
      </c>
      <c r="O942" t="s">
        <v>446</v>
      </c>
      <c r="P942" t="s">
        <v>1053</v>
      </c>
      <c r="Q942" t="b">
        <v>1</v>
      </c>
      <c r="R942" t="b">
        <v>0</v>
      </c>
      <c r="S942" t="s">
        <v>1950</v>
      </c>
      <c r="T942" t="s">
        <v>446</v>
      </c>
      <c r="U942" t="s">
        <v>1951</v>
      </c>
      <c r="V942" t="s">
        <v>1093</v>
      </c>
      <c r="W942" t="s">
        <v>1952</v>
      </c>
      <c r="X942" t="s">
        <v>2455</v>
      </c>
      <c r="Y942" t="s">
        <v>2463</v>
      </c>
      <c r="Z942" t="s">
        <v>446</v>
      </c>
      <c r="AA942" t="s">
        <v>347</v>
      </c>
      <c r="AB942" t="s">
        <v>446</v>
      </c>
      <c r="AC942" t="b">
        <v>0</v>
      </c>
      <c r="AD942" t="b">
        <v>1</v>
      </c>
    </row>
    <row r="943" spans="1:30" x14ac:dyDescent="0.25">
      <c r="A943" t="s">
        <v>42</v>
      </c>
      <c r="B943" t="s">
        <v>2472</v>
      </c>
      <c r="C943" t="s">
        <v>348</v>
      </c>
      <c r="D943" t="s">
        <v>446</v>
      </c>
      <c r="E943" t="s">
        <v>978</v>
      </c>
      <c r="F943">
        <v>7874</v>
      </c>
      <c r="G943" t="s">
        <v>2012</v>
      </c>
      <c r="H943" t="s">
        <v>2473</v>
      </c>
      <c r="I943" t="s">
        <v>2474</v>
      </c>
      <c r="J943" t="s">
        <v>1089</v>
      </c>
      <c r="K943" t="s">
        <v>984</v>
      </c>
      <c r="L943" t="s">
        <v>1948</v>
      </c>
      <c r="M943" t="s">
        <v>980</v>
      </c>
      <c r="N943" t="s">
        <v>985</v>
      </c>
      <c r="O943" t="s">
        <v>446</v>
      </c>
      <c r="P943" t="s">
        <v>981</v>
      </c>
      <c r="Q943" t="b">
        <v>1</v>
      </c>
      <c r="R943" t="b">
        <v>0</v>
      </c>
      <c r="S943" t="s">
        <v>2363</v>
      </c>
      <c r="T943" t="s">
        <v>446</v>
      </c>
      <c r="U943" t="s">
        <v>1951</v>
      </c>
      <c r="V943" t="s">
        <v>1964</v>
      </c>
      <c r="W943" t="s">
        <v>2475</v>
      </c>
      <c r="X943" t="s">
        <v>2476</v>
      </c>
      <c r="Y943" t="s">
        <v>2477</v>
      </c>
      <c r="Z943" t="s">
        <v>2478</v>
      </c>
      <c r="AA943" t="s">
        <v>2479</v>
      </c>
      <c r="AB943" t="s">
        <v>2480</v>
      </c>
      <c r="AC943" t="b">
        <v>0</v>
      </c>
      <c r="AD943" t="b">
        <v>1</v>
      </c>
    </row>
    <row r="944" spans="1:30" x14ac:dyDescent="0.25">
      <c r="A944" t="s">
        <v>42</v>
      </c>
      <c r="B944" t="s">
        <v>2481</v>
      </c>
      <c r="C944" t="s">
        <v>348</v>
      </c>
      <c r="D944" t="s">
        <v>446</v>
      </c>
      <c r="E944" t="s">
        <v>986</v>
      </c>
      <c r="F944">
        <v>8449</v>
      </c>
      <c r="G944" t="s">
        <v>2012</v>
      </c>
      <c r="H944" t="s">
        <v>2482</v>
      </c>
      <c r="I944" t="s">
        <v>2474</v>
      </c>
      <c r="J944" t="s">
        <v>1089</v>
      </c>
      <c r="K944" t="s">
        <v>990</v>
      </c>
      <c r="L944" t="s">
        <v>1955</v>
      </c>
      <c r="M944" t="s">
        <v>980</v>
      </c>
      <c r="N944" t="s">
        <v>991</v>
      </c>
      <c r="O944" t="s">
        <v>446</v>
      </c>
      <c r="P944" t="s">
        <v>988</v>
      </c>
      <c r="Q944" t="b">
        <v>1</v>
      </c>
      <c r="R944" t="b">
        <v>0</v>
      </c>
      <c r="S944" t="s">
        <v>2363</v>
      </c>
      <c r="T944" t="s">
        <v>446</v>
      </c>
      <c r="U944" t="s">
        <v>1951</v>
      </c>
      <c r="V944" t="s">
        <v>1964</v>
      </c>
      <c r="W944" t="s">
        <v>2475</v>
      </c>
      <c r="X944" t="s">
        <v>2476</v>
      </c>
      <c r="Y944" t="s">
        <v>2477</v>
      </c>
      <c r="Z944" t="s">
        <v>2478</v>
      </c>
      <c r="AA944" t="s">
        <v>2479</v>
      </c>
      <c r="AB944" t="s">
        <v>2480</v>
      </c>
      <c r="AC944" t="b">
        <v>0</v>
      </c>
      <c r="AD944" t="b">
        <v>1</v>
      </c>
    </row>
    <row r="945" spans="1:30" x14ac:dyDescent="0.25">
      <c r="A945" t="s">
        <v>42</v>
      </c>
      <c r="B945" t="s">
        <v>2483</v>
      </c>
      <c r="C945" t="s">
        <v>348</v>
      </c>
      <c r="D945" t="s">
        <v>446</v>
      </c>
      <c r="E945" t="s">
        <v>992</v>
      </c>
      <c r="F945">
        <v>8427</v>
      </c>
      <c r="G945" t="s">
        <v>2012</v>
      </c>
      <c r="H945" t="s">
        <v>2484</v>
      </c>
      <c r="I945" t="s">
        <v>2474</v>
      </c>
      <c r="J945" t="s">
        <v>1089</v>
      </c>
      <c r="K945" t="s">
        <v>996</v>
      </c>
      <c r="L945" t="s">
        <v>1958</v>
      </c>
      <c r="M945" t="s">
        <v>980</v>
      </c>
      <c r="N945" t="s">
        <v>997</v>
      </c>
      <c r="O945" t="s">
        <v>446</v>
      </c>
      <c r="P945" t="s">
        <v>994</v>
      </c>
      <c r="Q945" t="b">
        <v>1</v>
      </c>
      <c r="R945" t="b">
        <v>0</v>
      </c>
      <c r="S945" t="s">
        <v>2363</v>
      </c>
      <c r="T945" t="s">
        <v>446</v>
      </c>
      <c r="U945" t="s">
        <v>1951</v>
      </c>
      <c r="V945" t="s">
        <v>1964</v>
      </c>
      <c r="W945" t="s">
        <v>2475</v>
      </c>
      <c r="X945" t="s">
        <v>2476</v>
      </c>
      <c r="Y945" t="s">
        <v>2477</v>
      </c>
      <c r="Z945" t="s">
        <v>2478</v>
      </c>
      <c r="AA945" t="s">
        <v>2479</v>
      </c>
      <c r="AB945" t="s">
        <v>2480</v>
      </c>
      <c r="AC945" t="b">
        <v>0</v>
      </c>
      <c r="AD945" t="b">
        <v>1</v>
      </c>
    </row>
    <row r="946" spans="1:30" x14ac:dyDescent="0.25">
      <c r="A946" t="s">
        <v>42</v>
      </c>
      <c r="B946" t="s">
        <v>2485</v>
      </c>
      <c r="C946" t="s">
        <v>348</v>
      </c>
      <c r="D946" t="s">
        <v>446</v>
      </c>
      <c r="E946" t="s">
        <v>998</v>
      </c>
      <c r="F946">
        <v>8466</v>
      </c>
      <c r="G946" t="s">
        <v>2012</v>
      </c>
      <c r="H946" t="s">
        <v>2486</v>
      </c>
      <c r="I946" t="s">
        <v>2487</v>
      </c>
      <c r="J946" t="s">
        <v>1089</v>
      </c>
      <c r="K946" t="s">
        <v>2488</v>
      </c>
      <c r="L946" t="s">
        <v>2489</v>
      </c>
      <c r="M946" t="s">
        <v>1000</v>
      </c>
      <c r="N946" t="s">
        <v>2490</v>
      </c>
      <c r="O946" t="s">
        <v>446</v>
      </c>
      <c r="P946" t="s">
        <v>1001</v>
      </c>
      <c r="Q946" t="b">
        <v>1</v>
      </c>
      <c r="R946" t="b">
        <v>0</v>
      </c>
      <c r="S946" t="s">
        <v>2363</v>
      </c>
      <c r="T946" t="s">
        <v>446</v>
      </c>
      <c r="U946" t="s">
        <v>1951</v>
      </c>
      <c r="V946" t="s">
        <v>1964</v>
      </c>
      <c r="W946" t="s">
        <v>2475</v>
      </c>
      <c r="X946" t="s">
        <v>2491</v>
      </c>
      <c r="Y946" t="s">
        <v>2492</v>
      </c>
      <c r="Z946" t="s">
        <v>2478</v>
      </c>
      <c r="AA946" t="s">
        <v>2479</v>
      </c>
      <c r="AB946" t="s">
        <v>2480</v>
      </c>
      <c r="AC946" t="b">
        <v>0</v>
      </c>
      <c r="AD946" t="b">
        <v>1</v>
      </c>
    </row>
    <row r="947" spans="1:30" x14ac:dyDescent="0.25">
      <c r="A947" t="s">
        <v>42</v>
      </c>
      <c r="B947" t="s">
        <v>2493</v>
      </c>
      <c r="C947" t="s">
        <v>348</v>
      </c>
      <c r="D947" t="s">
        <v>446</v>
      </c>
      <c r="E947" t="s">
        <v>1006</v>
      </c>
      <c r="F947">
        <v>5465</v>
      </c>
      <c r="G947" t="s">
        <v>1945</v>
      </c>
      <c r="H947" t="s">
        <v>2494</v>
      </c>
      <c r="I947" t="s">
        <v>2495</v>
      </c>
      <c r="J947" t="s">
        <v>1089</v>
      </c>
      <c r="K947" t="s">
        <v>1967</v>
      </c>
      <c r="L947" t="s">
        <v>1968</v>
      </c>
      <c r="M947" t="s">
        <v>980</v>
      </c>
      <c r="N947" t="s">
        <v>1969</v>
      </c>
      <c r="O947" t="s">
        <v>446</v>
      </c>
      <c r="P947" t="s">
        <v>1009</v>
      </c>
      <c r="Q947" t="b">
        <v>1</v>
      </c>
      <c r="R947" t="b">
        <v>0</v>
      </c>
      <c r="S947" t="s">
        <v>2363</v>
      </c>
      <c r="T947" t="s">
        <v>446</v>
      </c>
      <c r="U947" t="s">
        <v>1951</v>
      </c>
      <c r="V947" t="s">
        <v>1964</v>
      </c>
      <c r="W947" t="s">
        <v>2496</v>
      </c>
      <c r="X947" t="s">
        <v>2497</v>
      </c>
      <c r="Y947" t="s">
        <v>2498</v>
      </c>
      <c r="Z947" t="s">
        <v>446</v>
      </c>
      <c r="AA947" t="s">
        <v>348</v>
      </c>
      <c r="AB947" t="s">
        <v>446</v>
      </c>
      <c r="AC947" t="b">
        <v>0</v>
      </c>
      <c r="AD947" t="b">
        <v>1</v>
      </c>
    </row>
    <row r="948" spans="1:30" x14ac:dyDescent="0.25">
      <c r="A948" t="s">
        <v>42</v>
      </c>
      <c r="B948" t="s">
        <v>2499</v>
      </c>
      <c r="C948" t="s">
        <v>348</v>
      </c>
      <c r="D948" t="s">
        <v>446</v>
      </c>
      <c r="E948" t="s">
        <v>1013</v>
      </c>
      <c r="F948">
        <v>4077</v>
      </c>
      <c r="G948" t="s">
        <v>2012</v>
      </c>
      <c r="H948" t="s">
        <v>2500</v>
      </c>
      <c r="I948" t="s">
        <v>2501</v>
      </c>
      <c r="J948" t="s">
        <v>1089</v>
      </c>
      <c r="K948" t="s">
        <v>1016</v>
      </c>
      <c r="L948" t="s">
        <v>1972</v>
      </c>
      <c r="M948" t="s">
        <v>980</v>
      </c>
      <c r="N948" t="s">
        <v>1017</v>
      </c>
      <c r="O948" t="s">
        <v>446</v>
      </c>
      <c r="P948" t="s">
        <v>1015</v>
      </c>
      <c r="Q948" t="b">
        <v>1</v>
      </c>
      <c r="R948" t="b">
        <v>0</v>
      </c>
      <c r="S948" t="s">
        <v>2363</v>
      </c>
      <c r="T948" t="s">
        <v>446</v>
      </c>
      <c r="U948" t="s">
        <v>1951</v>
      </c>
      <c r="V948" t="s">
        <v>1964</v>
      </c>
      <c r="W948" t="s">
        <v>2502</v>
      </c>
      <c r="X948" t="s">
        <v>2476</v>
      </c>
      <c r="Y948" t="s">
        <v>2492</v>
      </c>
      <c r="Z948" t="s">
        <v>2478</v>
      </c>
      <c r="AA948" t="s">
        <v>2479</v>
      </c>
      <c r="AB948" t="s">
        <v>2480</v>
      </c>
      <c r="AC948" t="b">
        <v>0</v>
      </c>
      <c r="AD948" t="b">
        <v>1</v>
      </c>
    </row>
    <row r="949" spans="1:30" x14ac:dyDescent="0.25">
      <c r="A949" t="s">
        <v>42</v>
      </c>
      <c r="B949" t="s">
        <v>2503</v>
      </c>
      <c r="C949" t="s">
        <v>348</v>
      </c>
      <c r="D949" t="s">
        <v>446</v>
      </c>
      <c r="E949" t="s">
        <v>1018</v>
      </c>
      <c r="F949">
        <v>4257</v>
      </c>
      <c r="G949" t="s">
        <v>2012</v>
      </c>
      <c r="H949" t="s">
        <v>2504</v>
      </c>
      <c r="I949" t="s">
        <v>2501</v>
      </c>
      <c r="J949" t="s">
        <v>1089</v>
      </c>
      <c r="K949" t="s">
        <v>1021</v>
      </c>
      <c r="L949" t="s">
        <v>1975</v>
      </c>
      <c r="M949" t="s">
        <v>980</v>
      </c>
      <c r="N949" t="s">
        <v>1022</v>
      </c>
      <c r="O949" t="s">
        <v>446</v>
      </c>
      <c r="P949" t="s">
        <v>1020</v>
      </c>
      <c r="Q949" t="b">
        <v>1</v>
      </c>
      <c r="R949" t="b">
        <v>0</v>
      </c>
      <c r="S949" t="s">
        <v>2363</v>
      </c>
      <c r="T949" t="s">
        <v>446</v>
      </c>
      <c r="U949" t="s">
        <v>1951</v>
      </c>
      <c r="V949" t="s">
        <v>1964</v>
      </c>
      <c r="W949" t="s">
        <v>2502</v>
      </c>
      <c r="X949" t="s">
        <v>2476</v>
      </c>
      <c r="Y949" t="s">
        <v>2492</v>
      </c>
      <c r="Z949" t="s">
        <v>2478</v>
      </c>
      <c r="AA949" t="s">
        <v>2479</v>
      </c>
      <c r="AB949" t="s">
        <v>2480</v>
      </c>
      <c r="AC949" t="b">
        <v>0</v>
      </c>
      <c r="AD949" t="b">
        <v>1</v>
      </c>
    </row>
    <row r="950" spans="1:30" x14ac:dyDescent="0.25">
      <c r="A950" t="s">
        <v>42</v>
      </c>
      <c r="B950" t="s">
        <v>2505</v>
      </c>
      <c r="C950" t="s">
        <v>348</v>
      </c>
      <c r="D950" t="s">
        <v>446</v>
      </c>
      <c r="E950" t="s">
        <v>1023</v>
      </c>
      <c r="F950">
        <v>4084</v>
      </c>
      <c r="G950" t="s">
        <v>2012</v>
      </c>
      <c r="H950" t="s">
        <v>2506</v>
      </c>
      <c r="I950" t="s">
        <v>2487</v>
      </c>
      <c r="J950" t="s">
        <v>1089</v>
      </c>
      <c r="K950" t="s">
        <v>1026</v>
      </c>
      <c r="L950" t="s">
        <v>1979</v>
      </c>
      <c r="M950" t="s">
        <v>1000</v>
      </c>
      <c r="N950" t="s">
        <v>1027</v>
      </c>
      <c r="O950" t="s">
        <v>446</v>
      </c>
      <c r="P950" t="s">
        <v>1025</v>
      </c>
      <c r="Q950" t="b">
        <v>1</v>
      </c>
      <c r="R950" t="b">
        <v>0</v>
      </c>
      <c r="S950" t="s">
        <v>2363</v>
      </c>
      <c r="T950" t="s">
        <v>446</v>
      </c>
      <c r="U950" t="s">
        <v>1951</v>
      </c>
      <c r="V950" t="s">
        <v>1964</v>
      </c>
      <c r="W950" t="s">
        <v>2502</v>
      </c>
      <c r="X950" t="s">
        <v>2491</v>
      </c>
      <c r="Y950" t="s">
        <v>2492</v>
      </c>
      <c r="Z950" t="s">
        <v>2478</v>
      </c>
      <c r="AA950" t="s">
        <v>2479</v>
      </c>
      <c r="AB950" t="s">
        <v>2480</v>
      </c>
      <c r="AC950" t="b">
        <v>0</v>
      </c>
      <c r="AD950" t="b">
        <v>1</v>
      </c>
    </row>
    <row r="951" spans="1:30" x14ac:dyDescent="0.25">
      <c r="A951" t="s">
        <v>42</v>
      </c>
      <c r="B951" t="s">
        <v>1588</v>
      </c>
      <c r="C951" t="s">
        <v>348</v>
      </c>
      <c r="D951" t="s">
        <v>446</v>
      </c>
      <c r="E951" t="s">
        <v>1029</v>
      </c>
      <c r="F951">
        <v>4313</v>
      </c>
      <c r="G951" t="s">
        <v>2019</v>
      </c>
      <c r="H951" t="s">
        <v>2507</v>
      </c>
      <c r="I951" t="s">
        <v>2501</v>
      </c>
      <c r="J951" t="s">
        <v>1089</v>
      </c>
      <c r="K951" t="s">
        <v>1033</v>
      </c>
      <c r="L951" t="s">
        <v>1982</v>
      </c>
      <c r="M951" t="s">
        <v>980</v>
      </c>
      <c r="N951" t="s">
        <v>1034</v>
      </c>
      <c r="O951" t="s">
        <v>446</v>
      </c>
      <c r="P951" t="s">
        <v>1031</v>
      </c>
      <c r="Q951" t="b">
        <v>1</v>
      </c>
      <c r="R951" t="b">
        <v>0</v>
      </c>
      <c r="S951" t="s">
        <v>1963</v>
      </c>
      <c r="T951" t="s">
        <v>2508</v>
      </c>
      <c r="U951" t="s">
        <v>2023</v>
      </c>
      <c r="V951" t="s">
        <v>1964</v>
      </c>
      <c r="W951" t="s">
        <v>2509</v>
      </c>
      <c r="X951" t="s">
        <v>2510</v>
      </c>
      <c r="Y951" t="s">
        <v>2492</v>
      </c>
      <c r="Z951" t="s">
        <v>2478</v>
      </c>
      <c r="AA951" t="s">
        <v>2479</v>
      </c>
      <c r="AB951" t="s">
        <v>2480</v>
      </c>
      <c r="AC951" t="b">
        <v>0</v>
      </c>
      <c r="AD951" t="b">
        <v>1</v>
      </c>
    </row>
    <row r="952" spans="1:30" x14ac:dyDescent="0.25">
      <c r="A952" t="s">
        <v>42</v>
      </c>
      <c r="B952" t="s">
        <v>1590</v>
      </c>
      <c r="C952" t="s">
        <v>348</v>
      </c>
      <c r="D952" t="s">
        <v>446</v>
      </c>
      <c r="E952" t="s">
        <v>1035</v>
      </c>
      <c r="F952">
        <v>4856</v>
      </c>
      <c r="G952" t="s">
        <v>2019</v>
      </c>
      <c r="H952" t="s">
        <v>2511</v>
      </c>
      <c r="I952" t="s">
        <v>2501</v>
      </c>
      <c r="J952" t="s">
        <v>1089</v>
      </c>
      <c r="K952" t="s">
        <v>1038</v>
      </c>
      <c r="L952" t="s">
        <v>1985</v>
      </c>
      <c r="M952" t="s">
        <v>980</v>
      </c>
      <c r="N952" t="s">
        <v>1039</v>
      </c>
      <c r="O952" t="s">
        <v>446</v>
      </c>
      <c r="P952" t="s">
        <v>1037</v>
      </c>
      <c r="Q952" t="b">
        <v>1</v>
      </c>
      <c r="R952" t="b">
        <v>0</v>
      </c>
      <c r="S952" t="s">
        <v>1963</v>
      </c>
      <c r="T952" t="s">
        <v>2508</v>
      </c>
      <c r="U952" t="s">
        <v>2023</v>
      </c>
      <c r="V952" t="s">
        <v>1964</v>
      </c>
      <c r="W952" t="s">
        <v>2509</v>
      </c>
      <c r="X952" t="s">
        <v>2510</v>
      </c>
      <c r="Y952" t="s">
        <v>2492</v>
      </c>
      <c r="Z952" t="s">
        <v>2478</v>
      </c>
      <c r="AA952" t="s">
        <v>2479</v>
      </c>
      <c r="AB952" t="s">
        <v>2480</v>
      </c>
      <c r="AC952" t="b">
        <v>0</v>
      </c>
      <c r="AD952" t="b">
        <v>1</v>
      </c>
    </row>
    <row r="953" spans="1:30" x14ac:dyDescent="0.25">
      <c r="A953" t="s">
        <v>42</v>
      </c>
      <c r="B953" t="s">
        <v>1592</v>
      </c>
      <c r="C953" t="s">
        <v>348</v>
      </c>
      <c r="D953" t="s">
        <v>446</v>
      </c>
      <c r="E953" t="s">
        <v>1040</v>
      </c>
      <c r="F953">
        <v>4667</v>
      </c>
      <c r="G953" t="s">
        <v>2019</v>
      </c>
      <c r="H953" t="s">
        <v>2512</v>
      </c>
      <c r="I953" t="s">
        <v>2501</v>
      </c>
      <c r="J953" t="s">
        <v>1089</v>
      </c>
      <c r="K953" t="s">
        <v>1043</v>
      </c>
      <c r="L953" t="s">
        <v>1988</v>
      </c>
      <c r="M953" t="s">
        <v>980</v>
      </c>
      <c r="N953" t="s">
        <v>1044</v>
      </c>
      <c r="O953" t="s">
        <v>446</v>
      </c>
      <c r="P953" t="s">
        <v>1042</v>
      </c>
      <c r="Q953" t="b">
        <v>1</v>
      </c>
      <c r="R953" t="b">
        <v>0</v>
      </c>
      <c r="S953" t="s">
        <v>1963</v>
      </c>
      <c r="T953" t="s">
        <v>2508</v>
      </c>
      <c r="U953" t="s">
        <v>2023</v>
      </c>
      <c r="V953" t="s">
        <v>1964</v>
      </c>
      <c r="W953" t="s">
        <v>2509</v>
      </c>
      <c r="X953" t="s">
        <v>2510</v>
      </c>
      <c r="Y953" t="s">
        <v>2492</v>
      </c>
      <c r="Z953" t="s">
        <v>2478</v>
      </c>
      <c r="AA953" t="s">
        <v>2479</v>
      </c>
      <c r="AB953" t="s">
        <v>2480</v>
      </c>
      <c r="AC953" t="b">
        <v>0</v>
      </c>
      <c r="AD953" t="b">
        <v>1</v>
      </c>
    </row>
    <row r="954" spans="1:30" x14ac:dyDescent="0.25">
      <c r="A954" t="s">
        <v>42</v>
      </c>
      <c r="B954" t="s">
        <v>1594</v>
      </c>
      <c r="C954" t="s">
        <v>348</v>
      </c>
      <c r="D954" t="s">
        <v>446</v>
      </c>
      <c r="E954" t="s">
        <v>1045</v>
      </c>
      <c r="F954">
        <v>4735</v>
      </c>
      <c r="G954" t="s">
        <v>2019</v>
      </c>
      <c r="H954" t="s">
        <v>2513</v>
      </c>
      <c r="I954" t="s">
        <v>2487</v>
      </c>
      <c r="J954" t="s">
        <v>1089</v>
      </c>
      <c r="K954" t="s">
        <v>1048</v>
      </c>
      <c r="L954" t="s">
        <v>1991</v>
      </c>
      <c r="M954" t="s">
        <v>1000</v>
      </c>
      <c r="N954" t="s">
        <v>1049</v>
      </c>
      <c r="O954" t="s">
        <v>446</v>
      </c>
      <c r="P954" t="s">
        <v>1047</v>
      </c>
      <c r="Q954" t="b">
        <v>1</v>
      </c>
      <c r="R954" t="b">
        <v>0</v>
      </c>
      <c r="S954" t="s">
        <v>1963</v>
      </c>
      <c r="T954" t="s">
        <v>2514</v>
      </c>
      <c r="U954" t="s">
        <v>2023</v>
      </c>
      <c r="V954" t="s">
        <v>1964</v>
      </c>
      <c r="W954" t="s">
        <v>2509</v>
      </c>
      <c r="X954" t="s">
        <v>2515</v>
      </c>
      <c r="Y954" t="s">
        <v>2492</v>
      </c>
      <c r="Z954" t="s">
        <v>2478</v>
      </c>
      <c r="AA954" t="s">
        <v>2479</v>
      </c>
      <c r="AB954" t="s">
        <v>2480</v>
      </c>
      <c r="AC954" t="b">
        <v>0</v>
      </c>
      <c r="AD954" t="b">
        <v>1</v>
      </c>
    </row>
    <row r="955" spans="1:30" x14ac:dyDescent="0.25">
      <c r="A955" t="s">
        <v>42</v>
      </c>
      <c r="B955" t="s">
        <v>2516</v>
      </c>
      <c r="C955" t="s">
        <v>348</v>
      </c>
      <c r="D955" t="s">
        <v>446</v>
      </c>
      <c r="E955" t="s">
        <v>1051</v>
      </c>
      <c r="F955">
        <v>4425</v>
      </c>
      <c r="G955" t="s">
        <v>1945</v>
      </c>
      <c r="H955" t="s">
        <v>2517</v>
      </c>
      <c r="I955" t="s">
        <v>2495</v>
      </c>
      <c r="J955" t="s">
        <v>1089</v>
      </c>
      <c r="K955" t="s">
        <v>1055</v>
      </c>
      <c r="L955" t="s">
        <v>1993</v>
      </c>
      <c r="M955" t="s">
        <v>980</v>
      </c>
      <c r="N955" t="s">
        <v>1056</v>
      </c>
      <c r="O955" t="s">
        <v>446</v>
      </c>
      <c r="P955" t="s">
        <v>1053</v>
      </c>
      <c r="Q955" t="b">
        <v>1</v>
      </c>
      <c r="R955" t="b">
        <v>0</v>
      </c>
      <c r="S955" t="s">
        <v>2363</v>
      </c>
      <c r="T955" t="s">
        <v>446</v>
      </c>
      <c r="U955" t="s">
        <v>1951</v>
      </c>
      <c r="V955" t="s">
        <v>1964</v>
      </c>
      <c r="W955" t="s">
        <v>2496</v>
      </c>
      <c r="X955" t="s">
        <v>2497</v>
      </c>
      <c r="Y955" t="s">
        <v>2498</v>
      </c>
      <c r="Z955" t="s">
        <v>446</v>
      </c>
      <c r="AA955" t="s">
        <v>348</v>
      </c>
      <c r="AB955" t="s">
        <v>446</v>
      </c>
      <c r="AC955" t="b">
        <v>0</v>
      </c>
      <c r="AD955" t="b">
        <v>1</v>
      </c>
    </row>
    <row r="956" spans="1:30" x14ac:dyDescent="0.25">
      <c r="A956" t="s">
        <v>42</v>
      </c>
      <c r="B956" t="s">
        <v>1596</v>
      </c>
      <c r="C956" t="s">
        <v>351</v>
      </c>
      <c r="D956" t="s">
        <v>446</v>
      </c>
      <c r="E956" t="s">
        <v>978</v>
      </c>
      <c r="F956">
        <v>20649</v>
      </c>
      <c r="G956" t="s">
        <v>2012</v>
      </c>
      <c r="H956" t="s">
        <v>2518</v>
      </c>
      <c r="I956" t="s">
        <v>2519</v>
      </c>
      <c r="J956" t="s">
        <v>1089</v>
      </c>
      <c r="K956" t="s">
        <v>984</v>
      </c>
      <c r="L956" t="s">
        <v>1948</v>
      </c>
      <c r="M956" t="s">
        <v>980</v>
      </c>
      <c r="N956" t="s">
        <v>985</v>
      </c>
      <c r="O956" t="s">
        <v>446</v>
      </c>
      <c r="P956" t="s">
        <v>981</v>
      </c>
      <c r="Q956" t="b">
        <v>1</v>
      </c>
      <c r="R956" t="b">
        <v>0</v>
      </c>
      <c r="S956" t="s">
        <v>1950</v>
      </c>
      <c r="T956" t="s">
        <v>446</v>
      </c>
      <c r="U956" t="s">
        <v>1951</v>
      </c>
      <c r="V956" t="s">
        <v>1093</v>
      </c>
      <c r="W956" t="s">
        <v>1952</v>
      </c>
      <c r="X956" t="s">
        <v>2520</v>
      </c>
      <c r="Y956" t="s">
        <v>2521</v>
      </c>
      <c r="Z956" t="s">
        <v>446</v>
      </c>
      <c r="AA956" t="s">
        <v>351</v>
      </c>
      <c r="AB956" t="s">
        <v>446</v>
      </c>
      <c r="AC956" t="b">
        <v>0</v>
      </c>
      <c r="AD956" t="b">
        <v>1</v>
      </c>
    </row>
    <row r="957" spans="1:30" x14ac:dyDescent="0.25">
      <c r="A957" t="s">
        <v>42</v>
      </c>
      <c r="B957" t="s">
        <v>1598</v>
      </c>
      <c r="C957" t="s">
        <v>351</v>
      </c>
      <c r="D957" t="s">
        <v>446</v>
      </c>
      <c r="E957" t="s">
        <v>986</v>
      </c>
      <c r="F957">
        <v>20753</v>
      </c>
      <c r="G957" t="s">
        <v>2012</v>
      </c>
      <c r="H957" t="s">
        <v>2522</v>
      </c>
      <c r="I957" t="s">
        <v>2519</v>
      </c>
      <c r="J957" t="s">
        <v>1089</v>
      </c>
      <c r="K957" t="s">
        <v>990</v>
      </c>
      <c r="L957" t="s">
        <v>1955</v>
      </c>
      <c r="M957" t="s">
        <v>980</v>
      </c>
      <c r="N957" t="s">
        <v>991</v>
      </c>
      <c r="O957" t="s">
        <v>446</v>
      </c>
      <c r="P957" t="s">
        <v>988</v>
      </c>
      <c r="Q957" t="b">
        <v>1</v>
      </c>
      <c r="R957" t="b">
        <v>0</v>
      </c>
      <c r="S957" t="s">
        <v>1950</v>
      </c>
      <c r="T957" t="s">
        <v>446</v>
      </c>
      <c r="U957" t="s">
        <v>1951</v>
      </c>
      <c r="V957" t="s">
        <v>1093</v>
      </c>
      <c r="W957" t="s">
        <v>1952</v>
      </c>
      <c r="X957" t="s">
        <v>2520</v>
      </c>
      <c r="Y957" t="s">
        <v>2521</v>
      </c>
      <c r="Z957" t="s">
        <v>446</v>
      </c>
      <c r="AA957" t="s">
        <v>351</v>
      </c>
      <c r="AB957" t="s">
        <v>446</v>
      </c>
      <c r="AC957" t="b">
        <v>0</v>
      </c>
      <c r="AD957" t="b">
        <v>1</v>
      </c>
    </row>
    <row r="958" spans="1:30" x14ac:dyDescent="0.25">
      <c r="A958" t="s">
        <v>42</v>
      </c>
      <c r="B958" t="s">
        <v>1600</v>
      </c>
      <c r="C958" t="s">
        <v>351</v>
      </c>
      <c r="D958" t="s">
        <v>446</v>
      </c>
      <c r="E958" t="s">
        <v>992</v>
      </c>
      <c r="F958">
        <v>20841</v>
      </c>
      <c r="G958" t="s">
        <v>2012</v>
      </c>
      <c r="H958" t="s">
        <v>2523</v>
      </c>
      <c r="I958" t="s">
        <v>2519</v>
      </c>
      <c r="J958" t="s">
        <v>1089</v>
      </c>
      <c r="K958" t="s">
        <v>996</v>
      </c>
      <c r="L958" t="s">
        <v>1958</v>
      </c>
      <c r="M958" t="s">
        <v>980</v>
      </c>
      <c r="N958" t="s">
        <v>997</v>
      </c>
      <c r="O958" t="s">
        <v>446</v>
      </c>
      <c r="P958" t="s">
        <v>994</v>
      </c>
      <c r="Q958" t="b">
        <v>1</v>
      </c>
      <c r="R958" t="b">
        <v>0</v>
      </c>
      <c r="S958" t="s">
        <v>1950</v>
      </c>
      <c r="T958" t="s">
        <v>446</v>
      </c>
      <c r="U958" t="s">
        <v>1951</v>
      </c>
      <c r="V958" t="s">
        <v>1093</v>
      </c>
      <c r="W958" t="s">
        <v>1952</v>
      </c>
      <c r="X958" t="s">
        <v>2520</v>
      </c>
      <c r="Y958" t="s">
        <v>2521</v>
      </c>
      <c r="Z958" t="s">
        <v>446</v>
      </c>
      <c r="AA958" t="s">
        <v>351</v>
      </c>
      <c r="AB958" t="s">
        <v>446</v>
      </c>
      <c r="AC958" t="b">
        <v>0</v>
      </c>
      <c r="AD958" t="b">
        <v>1</v>
      </c>
    </row>
    <row r="959" spans="1:30" x14ac:dyDescent="0.25">
      <c r="A959" t="s">
        <v>42</v>
      </c>
      <c r="B959" t="s">
        <v>1602</v>
      </c>
      <c r="C959" t="s">
        <v>351</v>
      </c>
      <c r="D959" t="s">
        <v>446</v>
      </c>
      <c r="E959" t="s">
        <v>998</v>
      </c>
      <c r="F959">
        <v>20969</v>
      </c>
      <c r="G959" t="s">
        <v>2012</v>
      </c>
      <c r="H959" t="s">
        <v>2524</v>
      </c>
      <c r="I959" t="s">
        <v>2519</v>
      </c>
      <c r="J959" t="s">
        <v>1089</v>
      </c>
      <c r="K959" t="s">
        <v>1003</v>
      </c>
      <c r="L959" t="s">
        <v>2031</v>
      </c>
      <c r="M959" t="s">
        <v>1000</v>
      </c>
      <c r="N959" t="s">
        <v>1004</v>
      </c>
      <c r="O959" t="s">
        <v>446</v>
      </c>
      <c r="P959" t="s">
        <v>1001</v>
      </c>
      <c r="Q959" t="b">
        <v>1</v>
      </c>
      <c r="R959" t="b">
        <v>0</v>
      </c>
      <c r="S959" t="s">
        <v>1950</v>
      </c>
      <c r="T959" t="s">
        <v>446</v>
      </c>
      <c r="U959" t="s">
        <v>1951</v>
      </c>
      <c r="V959" t="s">
        <v>1093</v>
      </c>
      <c r="W959" t="s">
        <v>1952</v>
      </c>
      <c r="X959" t="s">
        <v>2520</v>
      </c>
      <c r="Y959" t="s">
        <v>2521</v>
      </c>
      <c r="Z959" t="s">
        <v>446</v>
      </c>
      <c r="AA959" t="s">
        <v>351</v>
      </c>
      <c r="AB959" t="s">
        <v>446</v>
      </c>
      <c r="AC959" t="b">
        <v>0</v>
      </c>
      <c r="AD959" t="b">
        <v>1</v>
      </c>
    </row>
    <row r="960" spans="1:30" x14ac:dyDescent="0.25">
      <c r="A960" t="s">
        <v>42</v>
      </c>
      <c r="B960" t="s">
        <v>1604</v>
      </c>
      <c r="C960" t="s">
        <v>351</v>
      </c>
      <c r="D960" t="s">
        <v>446</v>
      </c>
      <c r="E960" t="s">
        <v>1006</v>
      </c>
      <c r="F960">
        <v>21081</v>
      </c>
      <c r="G960" t="s">
        <v>2012</v>
      </c>
      <c r="H960" t="s">
        <v>2525</v>
      </c>
      <c r="I960" t="s">
        <v>2519</v>
      </c>
      <c r="J960" t="s">
        <v>1089</v>
      </c>
      <c r="K960" t="s">
        <v>1967</v>
      </c>
      <c r="L960" t="s">
        <v>1968</v>
      </c>
      <c r="M960" t="s">
        <v>980</v>
      </c>
      <c r="N960" t="s">
        <v>1969</v>
      </c>
      <c r="O960" t="s">
        <v>446</v>
      </c>
      <c r="P960" t="s">
        <v>1009</v>
      </c>
      <c r="Q960" t="b">
        <v>1</v>
      </c>
      <c r="R960" t="b">
        <v>0</v>
      </c>
      <c r="S960" t="s">
        <v>1950</v>
      </c>
      <c r="T960" t="s">
        <v>446</v>
      </c>
      <c r="U960" t="s">
        <v>1951</v>
      </c>
      <c r="V960" t="s">
        <v>1093</v>
      </c>
      <c r="W960" t="s">
        <v>1952</v>
      </c>
      <c r="X960" t="s">
        <v>2520</v>
      </c>
      <c r="Y960" t="s">
        <v>2521</v>
      </c>
      <c r="Z960" t="s">
        <v>446</v>
      </c>
      <c r="AA960" t="s">
        <v>351</v>
      </c>
      <c r="AB960" t="s">
        <v>446</v>
      </c>
      <c r="AC960" t="b">
        <v>0</v>
      </c>
      <c r="AD960" t="b">
        <v>1</v>
      </c>
    </row>
    <row r="961" spans="1:30" x14ac:dyDescent="0.25">
      <c r="A961" t="s">
        <v>42</v>
      </c>
      <c r="B961" t="s">
        <v>1606</v>
      </c>
      <c r="C961" t="s">
        <v>351</v>
      </c>
      <c r="D961" t="s">
        <v>446</v>
      </c>
      <c r="E961" t="s">
        <v>1013</v>
      </c>
      <c r="F961">
        <v>21228</v>
      </c>
      <c r="G961" t="s">
        <v>2012</v>
      </c>
      <c r="H961" t="s">
        <v>2526</v>
      </c>
      <c r="I961" t="s">
        <v>2519</v>
      </c>
      <c r="J961" t="s">
        <v>1089</v>
      </c>
      <c r="K961" t="s">
        <v>1016</v>
      </c>
      <c r="L961" t="s">
        <v>1972</v>
      </c>
      <c r="M961" t="s">
        <v>980</v>
      </c>
      <c r="N961" t="s">
        <v>1017</v>
      </c>
      <c r="O961" t="s">
        <v>446</v>
      </c>
      <c r="P961" t="s">
        <v>1015</v>
      </c>
      <c r="Q961" t="b">
        <v>1</v>
      </c>
      <c r="R961" t="b">
        <v>0</v>
      </c>
      <c r="S961" t="s">
        <v>1950</v>
      </c>
      <c r="T961" t="s">
        <v>446</v>
      </c>
      <c r="U961" t="s">
        <v>1951</v>
      </c>
      <c r="V961" t="s">
        <v>1093</v>
      </c>
      <c r="W961" t="s">
        <v>1952</v>
      </c>
      <c r="X961" t="s">
        <v>2520</v>
      </c>
      <c r="Y961" t="s">
        <v>2521</v>
      </c>
      <c r="Z961" t="s">
        <v>446</v>
      </c>
      <c r="AA961" t="s">
        <v>351</v>
      </c>
      <c r="AB961" t="s">
        <v>446</v>
      </c>
      <c r="AC961" t="b">
        <v>0</v>
      </c>
      <c r="AD961" t="b">
        <v>1</v>
      </c>
    </row>
    <row r="962" spans="1:30" x14ac:dyDescent="0.25">
      <c r="A962" t="s">
        <v>42</v>
      </c>
      <c r="B962" t="s">
        <v>1608</v>
      </c>
      <c r="C962" t="s">
        <v>351</v>
      </c>
      <c r="D962" t="s">
        <v>446</v>
      </c>
      <c r="E962" t="s">
        <v>1018</v>
      </c>
      <c r="F962">
        <v>21470</v>
      </c>
      <c r="G962" t="s">
        <v>2012</v>
      </c>
      <c r="H962" t="s">
        <v>2527</v>
      </c>
      <c r="I962" t="s">
        <v>2519</v>
      </c>
      <c r="J962" t="s">
        <v>1089</v>
      </c>
      <c r="K962" t="s">
        <v>1021</v>
      </c>
      <c r="L962" t="s">
        <v>1975</v>
      </c>
      <c r="M962" t="s">
        <v>980</v>
      </c>
      <c r="N962" t="s">
        <v>1022</v>
      </c>
      <c r="O962" t="s">
        <v>446</v>
      </c>
      <c r="P962" t="s">
        <v>1020</v>
      </c>
      <c r="Q962" t="b">
        <v>1</v>
      </c>
      <c r="R962" t="b">
        <v>0</v>
      </c>
      <c r="S962" t="s">
        <v>1950</v>
      </c>
      <c r="T962" t="s">
        <v>446</v>
      </c>
      <c r="U962" t="s">
        <v>1951</v>
      </c>
      <c r="V962" t="s">
        <v>1093</v>
      </c>
      <c r="W962" t="s">
        <v>1952</v>
      </c>
      <c r="X962" t="s">
        <v>2520</v>
      </c>
      <c r="Y962" t="s">
        <v>2521</v>
      </c>
      <c r="Z962" t="s">
        <v>446</v>
      </c>
      <c r="AA962" t="s">
        <v>351</v>
      </c>
      <c r="AB962" t="s">
        <v>446</v>
      </c>
      <c r="AC962" t="b">
        <v>0</v>
      </c>
      <c r="AD962" t="b">
        <v>1</v>
      </c>
    </row>
    <row r="963" spans="1:30" x14ac:dyDescent="0.25">
      <c r="A963" t="s">
        <v>42</v>
      </c>
      <c r="B963" t="s">
        <v>1610</v>
      </c>
      <c r="C963" t="s">
        <v>351</v>
      </c>
      <c r="D963" t="s">
        <v>446</v>
      </c>
      <c r="E963" t="s">
        <v>1023</v>
      </c>
      <c r="F963">
        <v>21561</v>
      </c>
      <c r="G963" t="s">
        <v>2012</v>
      </c>
      <c r="H963" t="s">
        <v>2528</v>
      </c>
      <c r="I963" t="s">
        <v>2519</v>
      </c>
      <c r="J963" t="s">
        <v>1089</v>
      </c>
      <c r="K963" t="s">
        <v>1026</v>
      </c>
      <c r="L963" t="s">
        <v>1979</v>
      </c>
      <c r="M963" t="s">
        <v>1000</v>
      </c>
      <c r="N963" t="s">
        <v>1027</v>
      </c>
      <c r="O963" t="s">
        <v>446</v>
      </c>
      <c r="P963" t="s">
        <v>1025</v>
      </c>
      <c r="Q963" t="b">
        <v>1</v>
      </c>
      <c r="R963" t="b">
        <v>0</v>
      </c>
      <c r="S963" t="s">
        <v>1950</v>
      </c>
      <c r="T963" t="s">
        <v>446</v>
      </c>
      <c r="U963" t="s">
        <v>1951</v>
      </c>
      <c r="V963" t="s">
        <v>1093</v>
      </c>
      <c r="W963" t="s">
        <v>1952</v>
      </c>
      <c r="X963" t="s">
        <v>2520</v>
      </c>
      <c r="Y963" t="s">
        <v>2521</v>
      </c>
      <c r="Z963" t="s">
        <v>446</v>
      </c>
      <c r="AA963" t="s">
        <v>351</v>
      </c>
      <c r="AB963" t="s">
        <v>446</v>
      </c>
      <c r="AC963" t="b">
        <v>0</v>
      </c>
      <c r="AD963" t="b">
        <v>1</v>
      </c>
    </row>
    <row r="964" spans="1:30" x14ac:dyDescent="0.25">
      <c r="A964" t="s">
        <v>42</v>
      </c>
      <c r="B964" t="s">
        <v>1612</v>
      </c>
      <c r="C964" t="s">
        <v>351</v>
      </c>
      <c r="D964" t="s">
        <v>446</v>
      </c>
      <c r="E964" t="s">
        <v>1029</v>
      </c>
      <c r="F964">
        <v>21633</v>
      </c>
      <c r="G964" t="s">
        <v>2012</v>
      </c>
      <c r="H964" t="s">
        <v>2529</v>
      </c>
      <c r="I964" t="s">
        <v>2519</v>
      </c>
      <c r="J964" t="s">
        <v>1089</v>
      </c>
      <c r="K964" t="s">
        <v>1033</v>
      </c>
      <c r="L964" t="s">
        <v>1982</v>
      </c>
      <c r="M964" t="s">
        <v>980</v>
      </c>
      <c r="N964" t="s">
        <v>1034</v>
      </c>
      <c r="O964" t="s">
        <v>446</v>
      </c>
      <c r="P964" t="s">
        <v>1031</v>
      </c>
      <c r="Q964" t="b">
        <v>1</v>
      </c>
      <c r="R964" t="b">
        <v>0</v>
      </c>
      <c r="S964" t="s">
        <v>1950</v>
      </c>
      <c r="T964" t="s">
        <v>446</v>
      </c>
      <c r="U964" t="s">
        <v>1951</v>
      </c>
      <c r="V964" t="s">
        <v>1093</v>
      </c>
      <c r="W964" t="s">
        <v>1952</v>
      </c>
      <c r="X964" t="s">
        <v>2520</v>
      </c>
      <c r="Y964" t="s">
        <v>2521</v>
      </c>
      <c r="Z964" t="s">
        <v>446</v>
      </c>
      <c r="AA964" t="s">
        <v>351</v>
      </c>
      <c r="AB964" t="s">
        <v>446</v>
      </c>
      <c r="AC964" t="b">
        <v>0</v>
      </c>
      <c r="AD964" t="b">
        <v>1</v>
      </c>
    </row>
    <row r="965" spans="1:30" x14ac:dyDescent="0.25">
      <c r="A965" t="s">
        <v>42</v>
      </c>
      <c r="B965" t="s">
        <v>1614</v>
      </c>
      <c r="C965" t="s">
        <v>351</v>
      </c>
      <c r="D965" t="s">
        <v>446</v>
      </c>
      <c r="E965" t="s">
        <v>1035</v>
      </c>
      <c r="F965">
        <v>21730</v>
      </c>
      <c r="G965" t="s">
        <v>2012</v>
      </c>
      <c r="H965" t="s">
        <v>2530</v>
      </c>
      <c r="I965" t="s">
        <v>2519</v>
      </c>
      <c r="J965" t="s">
        <v>1089</v>
      </c>
      <c r="K965" t="s">
        <v>1038</v>
      </c>
      <c r="L965" t="s">
        <v>1985</v>
      </c>
      <c r="M965" t="s">
        <v>980</v>
      </c>
      <c r="N965" t="s">
        <v>1039</v>
      </c>
      <c r="O965" t="s">
        <v>446</v>
      </c>
      <c r="P965" t="s">
        <v>1037</v>
      </c>
      <c r="Q965" t="b">
        <v>1</v>
      </c>
      <c r="R965" t="b">
        <v>0</v>
      </c>
      <c r="S965" t="s">
        <v>1950</v>
      </c>
      <c r="T965" t="s">
        <v>446</v>
      </c>
      <c r="U965" t="s">
        <v>1951</v>
      </c>
      <c r="V965" t="s">
        <v>1093</v>
      </c>
      <c r="W965" t="s">
        <v>1952</v>
      </c>
      <c r="X965" t="s">
        <v>2520</v>
      </c>
      <c r="Y965" t="s">
        <v>2521</v>
      </c>
      <c r="Z965" t="s">
        <v>446</v>
      </c>
      <c r="AA965" t="s">
        <v>351</v>
      </c>
      <c r="AB965" t="s">
        <v>446</v>
      </c>
      <c r="AC965" t="b">
        <v>0</v>
      </c>
      <c r="AD965" t="b">
        <v>1</v>
      </c>
    </row>
    <row r="966" spans="1:30" x14ac:dyDescent="0.25">
      <c r="A966" t="s">
        <v>42</v>
      </c>
      <c r="B966" t="s">
        <v>1616</v>
      </c>
      <c r="C966" t="s">
        <v>351</v>
      </c>
      <c r="D966" t="s">
        <v>446</v>
      </c>
      <c r="E966" t="s">
        <v>1040</v>
      </c>
      <c r="F966">
        <v>22249</v>
      </c>
      <c r="G966" t="s">
        <v>2012</v>
      </c>
      <c r="H966" t="s">
        <v>2531</v>
      </c>
      <c r="I966" t="s">
        <v>2519</v>
      </c>
      <c r="J966" t="s">
        <v>1089</v>
      </c>
      <c r="K966" t="s">
        <v>1043</v>
      </c>
      <c r="L966" t="s">
        <v>1988</v>
      </c>
      <c r="M966" t="s">
        <v>980</v>
      </c>
      <c r="N966" t="s">
        <v>1044</v>
      </c>
      <c r="O966" t="s">
        <v>446</v>
      </c>
      <c r="P966" t="s">
        <v>1042</v>
      </c>
      <c r="Q966" t="b">
        <v>1</v>
      </c>
      <c r="R966" t="b">
        <v>0</v>
      </c>
      <c r="S966" t="s">
        <v>1950</v>
      </c>
      <c r="T966" t="s">
        <v>446</v>
      </c>
      <c r="U966" t="s">
        <v>1951</v>
      </c>
      <c r="V966" t="s">
        <v>1093</v>
      </c>
      <c r="W966" t="s">
        <v>1952</v>
      </c>
      <c r="X966" t="s">
        <v>2520</v>
      </c>
      <c r="Y966" t="s">
        <v>2521</v>
      </c>
      <c r="Z966" t="s">
        <v>446</v>
      </c>
      <c r="AA966" t="s">
        <v>351</v>
      </c>
      <c r="AB966" t="s">
        <v>446</v>
      </c>
      <c r="AC966" t="b">
        <v>0</v>
      </c>
      <c r="AD966" t="b">
        <v>1</v>
      </c>
    </row>
    <row r="967" spans="1:30" x14ac:dyDescent="0.25">
      <c r="A967" t="s">
        <v>42</v>
      </c>
      <c r="B967" t="s">
        <v>1618</v>
      </c>
      <c r="C967" t="s">
        <v>351</v>
      </c>
      <c r="D967" t="s">
        <v>446</v>
      </c>
      <c r="E967" t="s">
        <v>1045</v>
      </c>
      <c r="F967">
        <v>22341</v>
      </c>
      <c r="G967" t="s">
        <v>2012</v>
      </c>
      <c r="H967" t="s">
        <v>2532</v>
      </c>
      <c r="I967" t="s">
        <v>2519</v>
      </c>
      <c r="J967" t="s">
        <v>1089</v>
      </c>
      <c r="K967" t="s">
        <v>1048</v>
      </c>
      <c r="L967" t="s">
        <v>1991</v>
      </c>
      <c r="M967" t="s">
        <v>1000</v>
      </c>
      <c r="N967" t="s">
        <v>1049</v>
      </c>
      <c r="O967" t="s">
        <v>446</v>
      </c>
      <c r="P967" t="s">
        <v>1047</v>
      </c>
      <c r="Q967" t="b">
        <v>1</v>
      </c>
      <c r="R967" t="b">
        <v>0</v>
      </c>
      <c r="S967" t="s">
        <v>1950</v>
      </c>
      <c r="T967" t="s">
        <v>446</v>
      </c>
      <c r="U967" t="s">
        <v>1951</v>
      </c>
      <c r="V967" t="s">
        <v>1093</v>
      </c>
      <c r="W967" t="s">
        <v>1952</v>
      </c>
      <c r="X967" t="s">
        <v>2520</v>
      </c>
      <c r="Y967" t="s">
        <v>2521</v>
      </c>
      <c r="Z967" t="s">
        <v>446</v>
      </c>
      <c r="AA967" t="s">
        <v>351</v>
      </c>
      <c r="AB967" t="s">
        <v>446</v>
      </c>
      <c r="AC967" t="b">
        <v>0</v>
      </c>
      <c r="AD967" t="b">
        <v>1</v>
      </c>
    </row>
    <row r="968" spans="1:30" x14ac:dyDescent="0.25">
      <c r="A968" t="s">
        <v>42</v>
      </c>
      <c r="B968" t="s">
        <v>1620</v>
      </c>
      <c r="C968" t="s">
        <v>351</v>
      </c>
      <c r="D968" t="s">
        <v>446</v>
      </c>
      <c r="E968" t="s">
        <v>1051</v>
      </c>
      <c r="F968">
        <v>22394</v>
      </c>
      <c r="G968" t="s">
        <v>2012</v>
      </c>
      <c r="H968" t="s">
        <v>2533</v>
      </c>
      <c r="I968" t="s">
        <v>2519</v>
      </c>
      <c r="J968" t="s">
        <v>1089</v>
      </c>
      <c r="K968" t="s">
        <v>1055</v>
      </c>
      <c r="L968" t="s">
        <v>1993</v>
      </c>
      <c r="M968" t="s">
        <v>980</v>
      </c>
      <c r="N968" t="s">
        <v>1056</v>
      </c>
      <c r="O968" t="s">
        <v>446</v>
      </c>
      <c r="P968" t="s">
        <v>1053</v>
      </c>
      <c r="Q968" t="b">
        <v>1</v>
      </c>
      <c r="R968" t="b">
        <v>0</v>
      </c>
      <c r="S968" t="s">
        <v>1950</v>
      </c>
      <c r="T968" t="s">
        <v>446</v>
      </c>
      <c r="U968" t="s">
        <v>1951</v>
      </c>
      <c r="V968" t="s">
        <v>1093</v>
      </c>
      <c r="W968" t="s">
        <v>1952</v>
      </c>
      <c r="X968" t="s">
        <v>2520</v>
      </c>
      <c r="Y968" t="s">
        <v>2521</v>
      </c>
      <c r="Z968" t="s">
        <v>446</v>
      </c>
      <c r="AA968" t="s">
        <v>351</v>
      </c>
      <c r="AB968" t="s">
        <v>446</v>
      </c>
      <c r="AC968" t="b">
        <v>0</v>
      </c>
      <c r="AD968" t="b">
        <v>1</v>
      </c>
    </row>
    <row r="969" spans="1:30" x14ac:dyDescent="0.25">
      <c r="A969" t="s">
        <v>42</v>
      </c>
      <c r="B969" t="s">
        <v>1622</v>
      </c>
      <c r="C969" t="s">
        <v>352</v>
      </c>
      <c r="D969" t="s">
        <v>446</v>
      </c>
      <c r="E969" t="s">
        <v>978</v>
      </c>
      <c r="F969">
        <v>72137</v>
      </c>
      <c r="G969" t="s">
        <v>1945</v>
      </c>
      <c r="H969" t="s">
        <v>2534</v>
      </c>
      <c r="I969" t="s">
        <v>2535</v>
      </c>
      <c r="J969" t="s">
        <v>1089</v>
      </c>
      <c r="K969" t="s">
        <v>984</v>
      </c>
      <c r="L969" t="s">
        <v>1948</v>
      </c>
      <c r="M969" t="s">
        <v>980</v>
      </c>
      <c r="N969" t="s">
        <v>985</v>
      </c>
      <c r="O969" t="s">
        <v>446</v>
      </c>
      <c r="P969" t="s">
        <v>981</v>
      </c>
      <c r="Q969" t="b">
        <v>1</v>
      </c>
      <c r="R969" t="b">
        <v>0</v>
      </c>
      <c r="S969" t="s">
        <v>1950</v>
      </c>
      <c r="T969" t="s">
        <v>446</v>
      </c>
      <c r="U969" t="s">
        <v>1951</v>
      </c>
      <c r="V969" t="s">
        <v>1093</v>
      </c>
      <c r="W969" t="s">
        <v>1952</v>
      </c>
      <c r="X969" t="s">
        <v>2536</v>
      </c>
      <c r="Y969" t="s">
        <v>2537</v>
      </c>
      <c r="Z969" t="s">
        <v>446</v>
      </c>
      <c r="AA969" t="s">
        <v>352</v>
      </c>
      <c r="AB969" t="s">
        <v>446</v>
      </c>
      <c r="AC969" t="b">
        <v>0</v>
      </c>
      <c r="AD969" t="b">
        <v>1</v>
      </c>
    </row>
    <row r="970" spans="1:30" x14ac:dyDescent="0.25">
      <c r="A970" t="s">
        <v>42</v>
      </c>
      <c r="B970" t="s">
        <v>1623</v>
      </c>
      <c r="C970" t="s">
        <v>352</v>
      </c>
      <c r="D970" t="s">
        <v>446</v>
      </c>
      <c r="E970" t="s">
        <v>986</v>
      </c>
      <c r="F970">
        <v>72695</v>
      </c>
      <c r="G970" t="s">
        <v>1945</v>
      </c>
      <c r="H970" t="s">
        <v>2538</v>
      </c>
      <c r="I970" t="s">
        <v>2535</v>
      </c>
      <c r="J970" t="s">
        <v>1089</v>
      </c>
      <c r="K970" t="s">
        <v>990</v>
      </c>
      <c r="L970" t="s">
        <v>1955</v>
      </c>
      <c r="M970" t="s">
        <v>980</v>
      </c>
      <c r="N970" t="s">
        <v>991</v>
      </c>
      <c r="O970" t="s">
        <v>446</v>
      </c>
      <c r="P970" t="s">
        <v>988</v>
      </c>
      <c r="Q970" t="b">
        <v>1</v>
      </c>
      <c r="R970" t="b">
        <v>0</v>
      </c>
      <c r="S970" t="s">
        <v>1950</v>
      </c>
      <c r="T970" t="s">
        <v>446</v>
      </c>
      <c r="U970" t="s">
        <v>1951</v>
      </c>
      <c r="V970" t="s">
        <v>1093</v>
      </c>
      <c r="W970" t="s">
        <v>1952</v>
      </c>
      <c r="X970" t="s">
        <v>2536</v>
      </c>
      <c r="Y970" t="s">
        <v>2537</v>
      </c>
      <c r="Z970" t="s">
        <v>446</v>
      </c>
      <c r="AA970" t="s">
        <v>352</v>
      </c>
      <c r="AB970" t="s">
        <v>446</v>
      </c>
      <c r="AC970" t="b">
        <v>0</v>
      </c>
      <c r="AD970" t="b">
        <v>1</v>
      </c>
    </row>
    <row r="971" spans="1:30" x14ac:dyDescent="0.25">
      <c r="A971" t="s">
        <v>42</v>
      </c>
      <c r="B971" t="s">
        <v>1625</v>
      </c>
      <c r="C971" t="s">
        <v>352</v>
      </c>
      <c r="D971" t="s">
        <v>446</v>
      </c>
      <c r="E971" t="s">
        <v>992</v>
      </c>
      <c r="F971">
        <v>73793</v>
      </c>
      <c r="G971" t="s">
        <v>1945</v>
      </c>
      <c r="H971" t="s">
        <v>2539</v>
      </c>
      <c r="I971" t="s">
        <v>2535</v>
      </c>
      <c r="J971" t="s">
        <v>1089</v>
      </c>
      <c r="K971" t="s">
        <v>996</v>
      </c>
      <c r="L971" t="s">
        <v>1958</v>
      </c>
      <c r="M971" t="s">
        <v>980</v>
      </c>
      <c r="N971" t="s">
        <v>997</v>
      </c>
      <c r="O971" t="s">
        <v>446</v>
      </c>
      <c r="P971" t="s">
        <v>994</v>
      </c>
      <c r="Q971" t="b">
        <v>1</v>
      </c>
      <c r="R971" t="b">
        <v>0</v>
      </c>
      <c r="S971" t="s">
        <v>1950</v>
      </c>
      <c r="T971" t="s">
        <v>446</v>
      </c>
      <c r="U971" t="s">
        <v>1951</v>
      </c>
      <c r="V971" t="s">
        <v>1093</v>
      </c>
      <c r="W971" t="s">
        <v>1952</v>
      </c>
      <c r="X971" t="s">
        <v>2536</v>
      </c>
      <c r="Y971" t="s">
        <v>2537</v>
      </c>
      <c r="Z971" t="s">
        <v>446</v>
      </c>
      <c r="AA971" t="s">
        <v>352</v>
      </c>
      <c r="AB971" t="s">
        <v>446</v>
      </c>
      <c r="AC971" t="b">
        <v>0</v>
      </c>
      <c r="AD971" t="b">
        <v>1</v>
      </c>
    </row>
    <row r="972" spans="1:30" x14ac:dyDescent="0.25">
      <c r="A972" t="s">
        <v>42</v>
      </c>
      <c r="B972" t="s">
        <v>1627</v>
      </c>
      <c r="C972" t="s">
        <v>352</v>
      </c>
      <c r="D972" t="s">
        <v>446</v>
      </c>
      <c r="E972" t="s">
        <v>998</v>
      </c>
      <c r="F972">
        <v>73782</v>
      </c>
      <c r="G972" t="s">
        <v>1945</v>
      </c>
      <c r="H972" t="s">
        <v>2540</v>
      </c>
      <c r="I972" t="s">
        <v>2535</v>
      </c>
      <c r="J972" t="s">
        <v>1089</v>
      </c>
      <c r="K972" t="s">
        <v>1003</v>
      </c>
      <c r="L972" t="s">
        <v>2031</v>
      </c>
      <c r="M972" t="s">
        <v>1000</v>
      </c>
      <c r="N972" t="s">
        <v>1004</v>
      </c>
      <c r="O972" t="s">
        <v>446</v>
      </c>
      <c r="P972" t="s">
        <v>1001</v>
      </c>
      <c r="Q972" t="b">
        <v>1</v>
      </c>
      <c r="R972" t="b">
        <v>0</v>
      </c>
      <c r="S972" t="s">
        <v>1950</v>
      </c>
      <c r="T972" t="s">
        <v>446</v>
      </c>
      <c r="U972" t="s">
        <v>1951</v>
      </c>
      <c r="V972" t="s">
        <v>1093</v>
      </c>
      <c r="W972" t="s">
        <v>1952</v>
      </c>
      <c r="X972" t="s">
        <v>2536</v>
      </c>
      <c r="Y972" t="s">
        <v>2537</v>
      </c>
      <c r="Z972" t="s">
        <v>446</v>
      </c>
      <c r="AA972" t="s">
        <v>352</v>
      </c>
      <c r="AB972" t="s">
        <v>446</v>
      </c>
      <c r="AC972" t="b">
        <v>0</v>
      </c>
      <c r="AD972" t="b">
        <v>1</v>
      </c>
    </row>
    <row r="973" spans="1:30" x14ac:dyDescent="0.25">
      <c r="A973" t="s">
        <v>42</v>
      </c>
      <c r="B973" t="s">
        <v>1629</v>
      </c>
      <c r="C973" t="s">
        <v>352</v>
      </c>
      <c r="D973" t="s">
        <v>446</v>
      </c>
      <c r="E973" t="s">
        <v>1006</v>
      </c>
      <c r="F973">
        <v>74868</v>
      </c>
      <c r="G973" t="s">
        <v>1945</v>
      </c>
      <c r="H973" t="s">
        <v>2541</v>
      </c>
      <c r="I973" t="s">
        <v>2535</v>
      </c>
      <c r="J973" t="s">
        <v>1089</v>
      </c>
      <c r="K973" t="s">
        <v>1967</v>
      </c>
      <c r="L973" t="s">
        <v>1968</v>
      </c>
      <c r="M973" t="s">
        <v>980</v>
      </c>
      <c r="N973" t="s">
        <v>1969</v>
      </c>
      <c r="O973" t="s">
        <v>446</v>
      </c>
      <c r="P973" t="s">
        <v>1009</v>
      </c>
      <c r="Q973" t="b">
        <v>1</v>
      </c>
      <c r="R973" t="b">
        <v>0</v>
      </c>
      <c r="S973" t="s">
        <v>1950</v>
      </c>
      <c r="T973" t="s">
        <v>446</v>
      </c>
      <c r="U973" t="s">
        <v>1951</v>
      </c>
      <c r="V973" t="s">
        <v>1093</v>
      </c>
      <c r="W973" t="s">
        <v>1952</v>
      </c>
      <c r="X973" t="s">
        <v>2536</v>
      </c>
      <c r="Y973" t="s">
        <v>2537</v>
      </c>
      <c r="Z973" t="s">
        <v>446</v>
      </c>
      <c r="AA973" t="s">
        <v>352</v>
      </c>
      <c r="AB973" t="s">
        <v>446</v>
      </c>
      <c r="AC973" t="b">
        <v>0</v>
      </c>
      <c r="AD973" t="b">
        <v>1</v>
      </c>
    </row>
    <row r="974" spans="1:30" x14ac:dyDescent="0.25">
      <c r="A974" t="s">
        <v>42</v>
      </c>
      <c r="B974" t="s">
        <v>1631</v>
      </c>
      <c r="C974" t="s">
        <v>352</v>
      </c>
      <c r="D974" t="s">
        <v>446</v>
      </c>
      <c r="E974" t="s">
        <v>1013</v>
      </c>
      <c r="F974">
        <v>75189</v>
      </c>
      <c r="G974" t="s">
        <v>1945</v>
      </c>
      <c r="H974" t="s">
        <v>2542</v>
      </c>
      <c r="I974" t="s">
        <v>2535</v>
      </c>
      <c r="J974" t="s">
        <v>1089</v>
      </c>
      <c r="K974" t="s">
        <v>1016</v>
      </c>
      <c r="L974" t="s">
        <v>1972</v>
      </c>
      <c r="M974" t="s">
        <v>980</v>
      </c>
      <c r="N974" t="s">
        <v>1017</v>
      </c>
      <c r="O974" t="s">
        <v>446</v>
      </c>
      <c r="P974" t="s">
        <v>1015</v>
      </c>
      <c r="Q974" t="b">
        <v>1</v>
      </c>
      <c r="R974" t="b">
        <v>0</v>
      </c>
      <c r="S974" t="s">
        <v>1950</v>
      </c>
      <c r="T974" t="s">
        <v>446</v>
      </c>
      <c r="U974" t="s">
        <v>1951</v>
      </c>
      <c r="V974" t="s">
        <v>1093</v>
      </c>
      <c r="W974" t="s">
        <v>1952</v>
      </c>
      <c r="X974" t="s">
        <v>2536</v>
      </c>
      <c r="Y974" t="s">
        <v>2537</v>
      </c>
      <c r="Z974" t="s">
        <v>446</v>
      </c>
      <c r="AA974" t="s">
        <v>352</v>
      </c>
      <c r="AB974" t="s">
        <v>446</v>
      </c>
      <c r="AC974" t="b">
        <v>0</v>
      </c>
      <c r="AD974" t="b">
        <v>1</v>
      </c>
    </row>
    <row r="975" spans="1:30" x14ac:dyDescent="0.25">
      <c r="A975" t="s">
        <v>42</v>
      </c>
      <c r="B975" t="s">
        <v>1633</v>
      </c>
      <c r="C975" t="s">
        <v>352</v>
      </c>
      <c r="D975" t="s">
        <v>446</v>
      </c>
      <c r="E975" t="s">
        <v>1018</v>
      </c>
      <c r="F975">
        <v>75946</v>
      </c>
      <c r="G975" t="s">
        <v>1945</v>
      </c>
      <c r="H975" t="s">
        <v>2543</v>
      </c>
      <c r="I975" t="s">
        <v>2535</v>
      </c>
      <c r="J975" t="s">
        <v>1089</v>
      </c>
      <c r="K975" t="s">
        <v>1021</v>
      </c>
      <c r="L975" t="s">
        <v>1975</v>
      </c>
      <c r="M975" t="s">
        <v>980</v>
      </c>
      <c r="N975" t="s">
        <v>1022</v>
      </c>
      <c r="O975" t="s">
        <v>446</v>
      </c>
      <c r="P975" t="s">
        <v>1020</v>
      </c>
      <c r="Q975" t="b">
        <v>1</v>
      </c>
      <c r="R975" t="b">
        <v>0</v>
      </c>
      <c r="S975" t="s">
        <v>1950</v>
      </c>
      <c r="T975" t="s">
        <v>446</v>
      </c>
      <c r="U975" t="s">
        <v>1951</v>
      </c>
      <c r="V975" t="s">
        <v>1093</v>
      </c>
      <c r="W975" t="s">
        <v>1952</v>
      </c>
      <c r="X975" t="s">
        <v>2536</v>
      </c>
      <c r="Y975" t="s">
        <v>2537</v>
      </c>
      <c r="Z975" t="s">
        <v>446</v>
      </c>
      <c r="AA975" t="s">
        <v>352</v>
      </c>
      <c r="AB975" t="s">
        <v>446</v>
      </c>
      <c r="AC975" t="b">
        <v>0</v>
      </c>
      <c r="AD975" t="b">
        <v>1</v>
      </c>
    </row>
    <row r="976" spans="1:30" x14ac:dyDescent="0.25">
      <c r="A976" t="s">
        <v>42</v>
      </c>
      <c r="B976" t="s">
        <v>1635</v>
      </c>
      <c r="C976" t="s">
        <v>352</v>
      </c>
      <c r="D976" t="s">
        <v>446</v>
      </c>
      <c r="E976" t="s">
        <v>1023</v>
      </c>
      <c r="F976">
        <v>76054</v>
      </c>
      <c r="G976" t="s">
        <v>1945</v>
      </c>
      <c r="H976" t="s">
        <v>2544</v>
      </c>
      <c r="I976" t="s">
        <v>2535</v>
      </c>
      <c r="J976" t="s">
        <v>1089</v>
      </c>
      <c r="K976" t="s">
        <v>1026</v>
      </c>
      <c r="L976" t="s">
        <v>1979</v>
      </c>
      <c r="M976" t="s">
        <v>1000</v>
      </c>
      <c r="N976" t="s">
        <v>1027</v>
      </c>
      <c r="O976" t="s">
        <v>446</v>
      </c>
      <c r="P976" t="s">
        <v>1025</v>
      </c>
      <c r="Q976" t="b">
        <v>1</v>
      </c>
      <c r="R976" t="b">
        <v>0</v>
      </c>
      <c r="S976" t="s">
        <v>1950</v>
      </c>
      <c r="T976" t="s">
        <v>446</v>
      </c>
      <c r="U976" t="s">
        <v>1951</v>
      </c>
      <c r="V976" t="s">
        <v>1093</v>
      </c>
      <c r="W976" t="s">
        <v>1952</v>
      </c>
      <c r="X976" t="s">
        <v>2536</v>
      </c>
      <c r="Y976" t="s">
        <v>2537</v>
      </c>
      <c r="Z976" t="s">
        <v>446</v>
      </c>
      <c r="AA976" t="s">
        <v>352</v>
      </c>
      <c r="AB976" t="s">
        <v>446</v>
      </c>
      <c r="AC976" t="b">
        <v>0</v>
      </c>
      <c r="AD976" t="b">
        <v>1</v>
      </c>
    </row>
    <row r="977" spans="1:30" x14ac:dyDescent="0.25">
      <c r="A977" t="s">
        <v>42</v>
      </c>
      <c r="B977" t="s">
        <v>1637</v>
      </c>
      <c r="C977" t="s">
        <v>352</v>
      </c>
      <c r="D977" t="s">
        <v>446</v>
      </c>
      <c r="E977" t="s">
        <v>1029</v>
      </c>
      <c r="F977">
        <v>77189</v>
      </c>
      <c r="G977" t="s">
        <v>1945</v>
      </c>
      <c r="H977" t="s">
        <v>2545</v>
      </c>
      <c r="I977" t="s">
        <v>2535</v>
      </c>
      <c r="J977" t="s">
        <v>1089</v>
      </c>
      <c r="K977" t="s">
        <v>1033</v>
      </c>
      <c r="L977" t="s">
        <v>1982</v>
      </c>
      <c r="M977" t="s">
        <v>980</v>
      </c>
      <c r="N977" t="s">
        <v>1034</v>
      </c>
      <c r="O977" t="s">
        <v>446</v>
      </c>
      <c r="P977" t="s">
        <v>1031</v>
      </c>
      <c r="Q977" t="b">
        <v>1</v>
      </c>
      <c r="R977" t="b">
        <v>0</v>
      </c>
      <c r="S977" t="s">
        <v>1950</v>
      </c>
      <c r="T977" t="s">
        <v>446</v>
      </c>
      <c r="U977" t="s">
        <v>1951</v>
      </c>
      <c r="V977" t="s">
        <v>1093</v>
      </c>
      <c r="W977" t="s">
        <v>1952</v>
      </c>
      <c r="X977" t="s">
        <v>2536</v>
      </c>
      <c r="Y977" t="s">
        <v>2537</v>
      </c>
      <c r="Z977" t="s">
        <v>446</v>
      </c>
      <c r="AA977" t="s">
        <v>352</v>
      </c>
      <c r="AB977" t="s">
        <v>446</v>
      </c>
      <c r="AC977" t="b">
        <v>0</v>
      </c>
      <c r="AD977" t="b">
        <v>1</v>
      </c>
    </row>
    <row r="978" spans="1:30" x14ac:dyDescent="0.25">
      <c r="A978" t="s">
        <v>42</v>
      </c>
      <c r="B978" t="s">
        <v>1639</v>
      </c>
      <c r="C978" t="s">
        <v>352</v>
      </c>
      <c r="D978" t="s">
        <v>446</v>
      </c>
      <c r="E978" t="s">
        <v>1035</v>
      </c>
      <c r="F978">
        <v>78803</v>
      </c>
      <c r="G978" t="s">
        <v>1945</v>
      </c>
      <c r="H978" t="s">
        <v>2546</v>
      </c>
      <c r="I978" t="s">
        <v>2535</v>
      </c>
      <c r="J978" t="s">
        <v>1089</v>
      </c>
      <c r="K978" t="s">
        <v>1038</v>
      </c>
      <c r="L978" t="s">
        <v>1985</v>
      </c>
      <c r="M978" t="s">
        <v>980</v>
      </c>
      <c r="N978" t="s">
        <v>1039</v>
      </c>
      <c r="O978" t="s">
        <v>446</v>
      </c>
      <c r="P978" t="s">
        <v>1037</v>
      </c>
      <c r="Q978" t="b">
        <v>1</v>
      </c>
      <c r="R978" t="b">
        <v>0</v>
      </c>
      <c r="S978" t="s">
        <v>1950</v>
      </c>
      <c r="T978" t="s">
        <v>446</v>
      </c>
      <c r="U978" t="s">
        <v>1951</v>
      </c>
      <c r="V978" t="s">
        <v>1093</v>
      </c>
      <c r="W978" t="s">
        <v>1952</v>
      </c>
      <c r="X978" t="s">
        <v>2536</v>
      </c>
      <c r="Y978" t="s">
        <v>2537</v>
      </c>
      <c r="Z978" t="s">
        <v>446</v>
      </c>
      <c r="AA978" t="s">
        <v>352</v>
      </c>
      <c r="AB978" t="s">
        <v>446</v>
      </c>
      <c r="AC978" t="b">
        <v>0</v>
      </c>
      <c r="AD978" t="b">
        <v>1</v>
      </c>
    </row>
    <row r="979" spans="1:30" x14ac:dyDescent="0.25">
      <c r="A979" t="s">
        <v>42</v>
      </c>
      <c r="B979" t="s">
        <v>1641</v>
      </c>
      <c r="C979" t="s">
        <v>352</v>
      </c>
      <c r="D979" t="s">
        <v>446</v>
      </c>
      <c r="E979" t="s">
        <v>1040</v>
      </c>
      <c r="F979">
        <v>80305</v>
      </c>
      <c r="G979" t="s">
        <v>1945</v>
      </c>
      <c r="H979" t="s">
        <v>2547</v>
      </c>
      <c r="I979" t="s">
        <v>2535</v>
      </c>
      <c r="J979" t="s">
        <v>1089</v>
      </c>
      <c r="K979" t="s">
        <v>1043</v>
      </c>
      <c r="L979" t="s">
        <v>1988</v>
      </c>
      <c r="M979" t="s">
        <v>980</v>
      </c>
      <c r="N979" t="s">
        <v>1044</v>
      </c>
      <c r="O979" t="s">
        <v>446</v>
      </c>
      <c r="P979" t="s">
        <v>1042</v>
      </c>
      <c r="Q979" t="b">
        <v>1</v>
      </c>
      <c r="R979" t="b">
        <v>0</v>
      </c>
      <c r="S979" t="s">
        <v>1950</v>
      </c>
      <c r="T979" t="s">
        <v>446</v>
      </c>
      <c r="U979" t="s">
        <v>1951</v>
      </c>
      <c r="V979" t="s">
        <v>1093</v>
      </c>
      <c r="W979" t="s">
        <v>1952</v>
      </c>
      <c r="X979" t="s">
        <v>2536</v>
      </c>
      <c r="Y979" t="s">
        <v>2537</v>
      </c>
      <c r="Z979" t="s">
        <v>446</v>
      </c>
      <c r="AA979" t="s">
        <v>352</v>
      </c>
      <c r="AB979" t="s">
        <v>446</v>
      </c>
      <c r="AC979" t="b">
        <v>0</v>
      </c>
      <c r="AD979" t="b">
        <v>1</v>
      </c>
    </row>
    <row r="980" spans="1:30" x14ac:dyDescent="0.25">
      <c r="A980" t="s">
        <v>42</v>
      </c>
      <c r="B980" t="s">
        <v>1643</v>
      </c>
      <c r="C980" t="s">
        <v>352</v>
      </c>
      <c r="D980" t="s">
        <v>446</v>
      </c>
      <c r="E980" t="s">
        <v>1045</v>
      </c>
      <c r="F980">
        <v>80382</v>
      </c>
      <c r="G980" t="s">
        <v>1945</v>
      </c>
      <c r="H980" t="s">
        <v>2548</v>
      </c>
      <c r="I980" t="s">
        <v>2535</v>
      </c>
      <c r="J980" t="s">
        <v>1089</v>
      </c>
      <c r="K980" t="s">
        <v>1048</v>
      </c>
      <c r="L980" t="s">
        <v>1991</v>
      </c>
      <c r="M980" t="s">
        <v>1000</v>
      </c>
      <c r="N980" t="s">
        <v>1049</v>
      </c>
      <c r="O980" t="s">
        <v>446</v>
      </c>
      <c r="P980" t="s">
        <v>1047</v>
      </c>
      <c r="Q980" t="b">
        <v>1</v>
      </c>
      <c r="R980" t="b">
        <v>0</v>
      </c>
      <c r="S980" t="s">
        <v>1950</v>
      </c>
      <c r="T980" t="s">
        <v>446</v>
      </c>
      <c r="U980" t="s">
        <v>1951</v>
      </c>
      <c r="V980" t="s">
        <v>1093</v>
      </c>
      <c r="W980" t="s">
        <v>1952</v>
      </c>
      <c r="X980" t="s">
        <v>2536</v>
      </c>
      <c r="Y980" t="s">
        <v>2537</v>
      </c>
      <c r="Z980" t="s">
        <v>446</v>
      </c>
      <c r="AA980" t="s">
        <v>352</v>
      </c>
      <c r="AB980" t="s">
        <v>446</v>
      </c>
      <c r="AC980" t="b">
        <v>0</v>
      </c>
      <c r="AD980" t="b">
        <v>1</v>
      </c>
    </row>
    <row r="981" spans="1:30" x14ac:dyDescent="0.25">
      <c r="A981" t="s">
        <v>42</v>
      </c>
      <c r="B981" t="s">
        <v>1644</v>
      </c>
      <c r="C981" t="s">
        <v>352</v>
      </c>
      <c r="D981" t="s">
        <v>446</v>
      </c>
      <c r="E981" t="s">
        <v>1051</v>
      </c>
      <c r="F981">
        <v>82026</v>
      </c>
      <c r="G981" t="s">
        <v>1945</v>
      </c>
      <c r="H981" t="s">
        <v>2549</v>
      </c>
      <c r="I981" t="s">
        <v>2535</v>
      </c>
      <c r="J981" t="s">
        <v>1089</v>
      </c>
      <c r="K981" t="s">
        <v>1055</v>
      </c>
      <c r="L981" t="s">
        <v>1993</v>
      </c>
      <c r="M981" t="s">
        <v>980</v>
      </c>
      <c r="N981" t="s">
        <v>1056</v>
      </c>
      <c r="O981" t="s">
        <v>446</v>
      </c>
      <c r="P981" t="s">
        <v>1053</v>
      </c>
      <c r="Q981" t="b">
        <v>1</v>
      </c>
      <c r="R981" t="b">
        <v>0</v>
      </c>
      <c r="S981" t="s">
        <v>1950</v>
      </c>
      <c r="T981" t="s">
        <v>446</v>
      </c>
      <c r="U981" t="s">
        <v>1951</v>
      </c>
      <c r="V981" t="s">
        <v>1093</v>
      </c>
      <c r="W981" t="s">
        <v>1952</v>
      </c>
      <c r="X981" t="s">
        <v>2536</v>
      </c>
      <c r="Y981" t="s">
        <v>2537</v>
      </c>
      <c r="Z981" t="s">
        <v>446</v>
      </c>
      <c r="AA981" t="s">
        <v>352</v>
      </c>
      <c r="AB981" t="s">
        <v>446</v>
      </c>
      <c r="AC981" t="b">
        <v>0</v>
      </c>
      <c r="AD981" t="b">
        <v>1</v>
      </c>
    </row>
    <row r="982" spans="1:30" x14ac:dyDescent="0.25">
      <c r="A982" t="s">
        <v>42</v>
      </c>
      <c r="B982" t="s">
        <v>1646</v>
      </c>
      <c r="C982" t="s">
        <v>353</v>
      </c>
      <c r="D982" t="s">
        <v>446</v>
      </c>
      <c r="E982" t="s">
        <v>978</v>
      </c>
      <c r="F982">
        <v>-53247</v>
      </c>
      <c r="G982" t="s">
        <v>2012</v>
      </c>
      <c r="H982" t="s">
        <v>2550</v>
      </c>
      <c r="I982" t="s">
        <v>2551</v>
      </c>
      <c r="J982" t="s">
        <v>1089</v>
      </c>
      <c r="K982" t="s">
        <v>984</v>
      </c>
      <c r="L982" t="s">
        <v>1948</v>
      </c>
      <c r="M982" t="s">
        <v>980</v>
      </c>
      <c r="N982" t="s">
        <v>985</v>
      </c>
      <c r="O982" t="s">
        <v>446</v>
      </c>
      <c r="P982" t="s">
        <v>981</v>
      </c>
      <c r="Q982" t="b">
        <v>1</v>
      </c>
      <c r="R982" t="b">
        <v>0</v>
      </c>
      <c r="S982" t="s">
        <v>1950</v>
      </c>
      <c r="T982" t="s">
        <v>446</v>
      </c>
      <c r="U982" t="s">
        <v>1951</v>
      </c>
      <c r="V982" t="s">
        <v>1093</v>
      </c>
      <c r="W982" t="s">
        <v>1952</v>
      </c>
      <c r="X982" t="s">
        <v>2552</v>
      </c>
      <c r="Y982" t="s">
        <v>2553</v>
      </c>
      <c r="Z982" t="s">
        <v>446</v>
      </c>
      <c r="AA982" t="s">
        <v>353</v>
      </c>
      <c r="AB982" t="s">
        <v>446</v>
      </c>
      <c r="AC982" t="b">
        <v>0</v>
      </c>
      <c r="AD982" t="b">
        <v>1</v>
      </c>
    </row>
    <row r="983" spans="1:30" x14ac:dyDescent="0.25">
      <c r="A983" t="s">
        <v>42</v>
      </c>
      <c r="B983" t="s">
        <v>1647</v>
      </c>
      <c r="C983" t="s">
        <v>353</v>
      </c>
      <c r="D983" t="s">
        <v>446</v>
      </c>
      <c r="E983" t="s">
        <v>986</v>
      </c>
      <c r="F983">
        <v>-53418</v>
      </c>
      <c r="G983" t="s">
        <v>2012</v>
      </c>
      <c r="H983" t="s">
        <v>2554</v>
      </c>
      <c r="I983" t="s">
        <v>2551</v>
      </c>
      <c r="J983" t="s">
        <v>1089</v>
      </c>
      <c r="K983" t="s">
        <v>990</v>
      </c>
      <c r="L983" t="s">
        <v>1955</v>
      </c>
      <c r="M983" t="s">
        <v>980</v>
      </c>
      <c r="N983" t="s">
        <v>991</v>
      </c>
      <c r="O983" t="s">
        <v>446</v>
      </c>
      <c r="P983" t="s">
        <v>988</v>
      </c>
      <c r="Q983" t="b">
        <v>1</v>
      </c>
      <c r="R983" t="b">
        <v>0</v>
      </c>
      <c r="S983" t="s">
        <v>1950</v>
      </c>
      <c r="T983" t="s">
        <v>446</v>
      </c>
      <c r="U983" t="s">
        <v>1951</v>
      </c>
      <c r="V983" t="s">
        <v>1093</v>
      </c>
      <c r="W983" t="s">
        <v>1952</v>
      </c>
      <c r="X983" t="s">
        <v>2552</v>
      </c>
      <c r="Y983" t="s">
        <v>2553</v>
      </c>
      <c r="Z983" t="s">
        <v>446</v>
      </c>
      <c r="AA983" t="s">
        <v>353</v>
      </c>
      <c r="AB983" t="s">
        <v>446</v>
      </c>
      <c r="AC983" t="b">
        <v>0</v>
      </c>
      <c r="AD983" t="b">
        <v>1</v>
      </c>
    </row>
    <row r="984" spans="1:30" x14ac:dyDescent="0.25">
      <c r="A984" t="s">
        <v>42</v>
      </c>
      <c r="B984" t="s">
        <v>1648</v>
      </c>
      <c r="C984" t="s">
        <v>353</v>
      </c>
      <c r="D984" t="s">
        <v>446</v>
      </c>
      <c r="E984" t="s">
        <v>992</v>
      </c>
      <c r="F984">
        <v>-53494</v>
      </c>
      <c r="G984" t="s">
        <v>2012</v>
      </c>
      <c r="H984" t="s">
        <v>2555</v>
      </c>
      <c r="I984" t="s">
        <v>2551</v>
      </c>
      <c r="J984" t="s">
        <v>1089</v>
      </c>
      <c r="K984" t="s">
        <v>996</v>
      </c>
      <c r="L984" t="s">
        <v>1958</v>
      </c>
      <c r="M984" t="s">
        <v>980</v>
      </c>
      <c r="N984" t="s">
        <v>997</v>
      </c>
      <c r="O984" t="s">
        <v>446</v>
      </c>
      <c r="P984" t="s">
        <v>994</v>
      </c>
      <c r="Q984" t="b">
        <v>1</v>
      </c>
      <c r="R984" t="b">
        <v>0</v>
      </c>
      <c r="S984" t="s">
        <v>1950</v>
      </c>
      <c r="T984" t="s">
        <v>446</v>
      </c>
      <c r="U984" t="s">
        <v>1951</v>
      </c>
      <c r="V984" t="s">
        <v>1093</v>
      </c>
      <c r="W984" t="s">
        <v>1952</v>
      </c>
      <c r="X984" t="s">
        <v>2552</v>
      </c>
      <c r="Y984" t="s">
        <v>2553</v>
      </c>
      <c r="Z984" t="s">
        <v>446</v>
      </c>
      <c r="AA984" t="s">
        <v>353</v>
      </c>
      <c r="AB984" t="s">
        <v>446</v>
      </c>
      <c r="AC984" t="b">
        <v>0</v>
      </c>
      <c r="AD984" t="b">
        <v>1</v>
      </c>
    </row>
    <row r="985" spans="1:30" x14ac:dyDescent="0.25">
      <c r="A985" t="s">
        <v>42</v>
      </c>
      <c r="B985" t="s">
        <v>1649</v>
      </c>
      <c r="C985" t="s">
        <v>353</v>
      </c>
      <c r="D985" t="s">
        <v>446</v>
      </c>
      <c r="E985" t="s">
        <v>998</v>
      </c>
      <c r="F985">
        <v>-54535</v>
      </c>
      <c r="G985" t="s">
        <v>2012</v>
      </c>
      <c r="H985" t="s">
        <v>2556</v>
      </c>
      <c r="I985" t="s">
        <v>2551</v>
      </c>
      <c r="J985" t="s">
        <v>1089</v>
      </c>
      <c r="K985" t="s">
        <v>1003</v>
      </c>
      <c r="L985" t="s">
        <v>2031</v>
      </c>
      <c r="M985" t="s">
        <v>1000</v>
      </c>
      <c r="N985" t="s">
        <v>1004</v>
      </c>
      <c r="O985" t="s">
        <v>446</v>
      </c>
      <c r="P985" t="s">
        <v>1001</v>
      </c>
      <c r="Q985" t="b">
        <v>1</v>
      </c>
      <c r="R985" t="b">
        <v>0</v>
      </c>
      <c r="S985" t="s">
        <v>1950</v>
      </c>
      <c r="T985" t="s">
        <v>446</v>
      </c>
      <c r="U985" t="s">
        <v>1951</v>
      </c>
      <c r="V985" t="s">
        <v>1093</v>
      </c>
      <c r="W985" t="s">
        <v>1952</v>
      </c>
      <c r="X985" t="s">
        <v>2552</v>
      </c>
      <c r="Y985" t="s">
        <v>2553</v>
      </c>
      <c r="Z985" t="s">
        <v>446</v>
      </c>
      <c r="AA985" t="s">
        <v>353</v>
      </c>
      <c r="AB985" t="s">
        <v>446</v>
      </c>
      <c r="AC985" t="b">
        <v>0</v>
      </c>
      <c r="AD985" t="b">
        <v>1</v>
      </c>
    </row>
    <row r="986" spans="1:30" x14ac:dyDescent="0.25">
      <c r="A986" t="s">
        <v>42</v>
      </c>
      <c r="B986" t="s">
        <v>1650</v>
      </c>
      <c r="C986" t="s">
        <v>353</v>
      </c>
      <c r="D986" t="s">
        <v>446</v>
      </c>
      <c r="E986" t="s">
        <v>1006</v>
      </c>
      <c r="F986">
        <v>-55016</v>
      </c>
      <c r="G986" t="s">
        <v>2012</v>
      </c>
      <c r="H986" t="s">
        <v>2557</v>
      </c>
      <c r="I986" t="s">
        <v>2551</v>
      </c>
      <c r="J986" t="s">
        <v>1089</v>
      </c>
      <c r="K986" t="s">
        <v>1967</v>
      </c>
      <c r="L986" t="s">
        <v>1968</v>
      </c>
      <c r="M986" t="s">
        <v>980</v>
      </c>
      <c r="N986" t="s">
        <v>1969</v>
      </c>
      <c r="O986" t="s">
        <v>446</v>
      </c>
      <c r="P986" t="s">
        <v>1009</v>
      </c>
      <c r="Q986" t="b">
        <v>1</v>
      </c>
      <c r="R986" t="b">
        <v>0</v>
      </c>
      <c r="S986" t="s">
        <v>1950</v>
      </c>
      <c r="T986" t="s">
        <v>446</v>
      </c>
      <c r="U986" t="s">
        <v>1951</v>
      </c>
      <c r="V986" t="s">
        <v>1093</v>
      </c>
      <c r="W986" t="s">
        <v>1952</v>
      </c>
      <c r="X986" t="s">
        <v>2552</v>
      </c>
      <c r="Y986" t="s">
        <v>2553</v>
      </c>
      <c r="Z986" t="s">
        <v>446</v>
      </c>
      <c r="AA986" t="s">
        <v>353</v>
      </c>
      <c r="AB986" t="s">
        <v>446</v>
      </c>
      <c r="AC986" t="b">
        <v>0</v>
      </c>
      <c r="AD986" t="b">
        <v>1</v>
      </c>
    </row>
    <row r="987" spans="1:30" x14ac:dyDescent="0.25">
      <c r="A987" t="s">
        <v>42</v>
      </c>
      <c r="B987" t="s">
        <v>1651</v>
      </c>
      <c r="C987" t="s">
        <v>353</v>
      </c>
      <c r="D987" t="s">
        <v>446</v>
      </c>
      <c r="E987" t="s">
        <v>1013</v>
      </c>
      <c r="F987">
        <v>-55106</v>
      </c>
      <c r="G987" t="s">
        <v>2012</v>
      </c>
      <c r="H987" t="s">
        <v>2558</v>
      </c>
      <c r="I987" t="s">
        <v>2551</v>
      </c>
      <c r="J987" t="s">
        <v>1089</v>
      </c>
      <c r="K987" t="s">
        <v>1016</v>
      </c>
      <c r="L987" t="s">
        <v>1972</v>
      </c>
      <c r="M987" t="s">
        <v>980</v>
      </c>
      <c r="N987" t="s">
        <v>1017</v>
      </c>
      <c r="O987" t="s">
        <v>446</v>
      </c>
      <c r="P987" t="s">
        <v>1015</v>
      </c>
      <c r="Q987" t="b">
        <v>1</v>
      </c>
      <c r="R987" t="b">
        <v>0</v>
      </c>
      <c r="S987" t="s">
        <v>1950</v>
      </c>
      <c r="T987" t="s">
        <v>446</v>
      </c>
      <c r="U987" t="s">
        <v>1951</v>
      </c>
      <c r="V987" t="s">
        <v>1093</v>
      </c>
      <c r="W987" t="s">
        <v>1952</v>
      </c>
      <c r="X987" t="s">
        <v>2552</v>
      </c>
      <c r="Y987" t="s">
        <v>2553</v>
      </c>
      <c r="Z987" t="s">
        <v>446</v>
      </c>
      <c r="AA987" t="s">
        <v>353</v>
      </c>
      <c r="AB987" t="s">
        <v>446</v>
      </c>
      <c r="AC987" t="b">
        <v>0</v>
      </c>
      <c r="AD987" t="b">
        <v>1</v>
      </c>
    </row>
    <row r="988" spans="1:30" x14ac:dyDescent="0.25">
      <c r="A988" t="s">
        <v>42</v>
      </c>
      <c r="B988" t="s">
        <v>1652</v>
      </c>
      <c r="C988" t="s">
        <v>353</v>
      </c>
      <c r="D988" t="s">
        <v>446</v>
      </c>
      <c r="E988" t="s">
        <v>1018</v>
      </c>
      <c r="F988">
        <v>-55362</v>
      </c>
      <c r="G988" t="s">
        <v>2012</v>
      </c>
      <c r="H988" t="s">
        <v>2559</v>
      </c>
      <c r="I988" t="s">
        <v>2551</v>
      </c>
      <c r="J988" t="s">
        <v>1089</v>
      </c>
      <c r="K988" t="s">
        <v>1021</v>
      </c>
      <c r="L988" t="s">
        <v>1975</v>
      </c>
      <c r="M988" t="s">
        <v>980</v>
      </c>
      <c r="N988" t="s">
        <v>1022</v>
      </c>
      <c r="O988" t="s">
        <v>446</v>
      </c>
      <c r="P988" t="s">
        <v>1020</v>
      </c>
      <c r="Q988" t="b">
        <v>1</v>
      </c>
      <c r="R988" t="b">
        <v>0</v>
      </c>
      <c r="S988" t="s">
        <v>1950</v>
      </c>
      <c r="T988" t="s">
        <v>446</v>
      </c>
      <c r="U988" t="s">
        <v>1951</v>
      </c>
      <c r="V988" t="s">
        <v>1093</v>
      </c>
      <c r="W988" t="s">
        <v>1952</v>
      </c>
      <c r="X988" t="s">
        <v>2552</v>
      </c>
      <c r="Y988" t="s">
        <v>2553</v>
      </c>
      <c r="Z988" t="s">
        <v>446</v>
      </c>
      <c r="AA988" t="s">
        <v>353</v>
      </c>
      <c r="AB988" t="s">
        <v>446</v>
      </c>
      <c r="AC988" t="b">
        <v>0</v>
      </c>
      <c r="AD988" t="b">
        <v>1</v>
      </c>
    </row>
    <row r="989" spans="1:30" x14ac:dyDescent="0.25">
      <c r="A989" t="s">
        <v>42</v>
      </c>
      <c r="B989" t="s">
        <v>1653</v>
      </c>
      <c r="C989" t="s">
        <v>353</v>
      </c>
      <c r="D989" t="s">
        <v>446</v>
      </c>
      <c r="E989" t="s">
        <v>1023</v>
      </c>
      <c r="F989">
        <v>-55916</v>
      </c>
      <c r="G989" t="s">
        <v>2012</v>
      </c>
      <c r="H989" t="s">
        <v>2560</v>
      </c>
      <c r="I989" t="s">
        <v>2551</v>
      </c>
      <c r="J989" t="s">
        <v>1089</v>
      </c>
      <c r="K989" t="s">
        <v>1026</v>
      </c>
      <c r="L989" t="s">
        <v>1979</v>
      </c>
      <c r="M989" t="s">
        <v>1000</v>
      </c>
      <c r="N989" t="s">
        <v>1027</v>
      </c>
      <c r="O989" t="s">
        <v>446</v>
      </c>
      <c r="P989" t="s">
        <v>1025</v>
      </c>
      <c r="Q989" t="b">
        <v>1</v>
      </c>
      <c r="R989" t="b">
        <v>0</v>
      </c>
      <c r="S989" t="s">
        <v>1950</v>
      </c>
      <c r="T989" t="s">
        <v>446</v>
      </c>
      <c r="U989" t="s">
        <v>1951</v>
      </c>
      <c r="V989" t="s">
        <v>1093</v>
      </c>
      <c r="W989" t="s">
        <v>1952</v>
      </c>
      <c r="X989" t="s">
        <v>2552</v>
      </c>
      <c r="Y989" t="s">
        <v>2553</v>
      </c>
      <c r="Z989" t="s">
        <v>446</v>
      </c>
      <c r="AA989" t="s">
        <v>353</v>
      </c>
      <c r="AB989" t="s">
        <v>446</v>
      </c>
      <c r="AC989" t="b">
        <v>0</v>
      </c>
      <c r="AD989" t="b">
        <v>1</v>
      </c>
    </row>
    <row r="990" spans="1:30" x14ac:dyDescent="0.25">
      <c r="A990" t="s">
        <v>42</v>
      </c>
      <c r="B990" t="s">
        <v>1654</v>
      </c>
      <c r="C990" t="s">
        <v>353</v>
      </c>
      <c r="D990" t="s">
        <v>446</v>
      </c>
      <c r="E990" t="s">
        <v>1029</v>
      </c>
      <c r="F990">
        <v>-56138</v>
      </c>
      <c r="G990" t="s">
        <v>2012</v>
      </c>
      <c r="H990" t="s">
        <v>2561</v>
      </c>
      <c r="I990" t="s">
        <v>2551</v>
      </c>
      <c r="J990" t="s">
        <v>1089</v>
      </c>
      <c r="K990" t="s">
        <v>1033</v>
      </c>
      <c r="L990" t="s">
        <v>1982</v>
      </c>
      <c r="M990" t="s">
        <v>980</v>
      </c>
      <c r="N990" t="s">
        <v>1034</v>
      </c>
      <c r="O990" t="s">
        <v>446</v>
      </c>
      <c r="P990" t="s">
        <v>1031</v>
      </c>
      <c r="Q990" t="b">
        <v>1</v>
      </c>
      <c r="R990" t="b">
        <v>0</v>
      </c>
      <c r="S990" t="s">
        <v>1950</v>
      </c>
      <c r="T990" t="s">
        <v>446</v>
      </c>
      <c r="U990" t="s">
        <v>1951</v>
      </c>
      <c r="V990" t="s">
        <v>1093</v>
      </c>
      <c r="W990" t="s">
        <v>1952</v>
      </c>
      <c r="X990" t="s">
        <v>2552</v>
      </c>
      <c r="Y990" t="s">
        <v>2553</v>
      </c>
      <c r="Z990" t="s">
        <v>446</v>
      </c>
      <c r="AA990" t="s">
        <v>353</v>
      </c>
      <c r="AB990" t="s">
        <v>446</v>
      </c>
      <c r="AC990" t="b">
        <v>0</v>
      </c>
      <c r="AD990" t="b">
        <v>1</v>
      </c>
    </row>
    <row r="991" spans="1:30" x14ac:dyDescent="0.25">
      <c r="A991" t="s">
        <v>42</v>
      </c>
      <c r="B991" t="s">
        <v>1655</v>
      </c>
      <c r="C991" t="s">
        <v>353</v>
      </c>
      <c r="D991" t="s">
        <v>446</v>
      </c>
      <c r="E991" t="s">
        <v>1035</v>
      </c>
      <c r="F991">
        <v>-56190</v>
      </c>
      <c r="G991" t="s">
        <v>2012</v>
      </c>
      <c r="H991" t="s">
        <v>2562</v>
      </c>
      <c r="I991" t="s">
        <v>2551</v>
      </c>
      <c r="J991" t="s">
        <v>1089</v>
      </c>
      <c r="K991" t="s">
        <v>1038</v>
      </c>
      <c r="L991" t="s">
        <v>1985</v>
      </c>
      <c r="M991" t="s">
        <v>980</v>
      </c>
      <c r="N991" t="s">
        <v>1039</v>
      </c>
      <c r="O991" t="s">
        <v>446</v>
      </c>
      <c r="P991" t="s">
        <v>1037</v>
      </c>
      <c r="Q991" t="b">
        <v>1</v>
      </c>
      <c r="R991" t="b">
        <v>0</v>
      </c>
      <c r="S991" t="s">
        <v>1950</v>
      </c>
      <c r="T991" t="s">
        <v>446</v>
      </c>
      <c r="U991" t="s">
        <v>1951</v>
      </c>
      <c r="V991" t="s">
        <v>1093</v>
      </c>
      <c r="W991" t="s">
        <v>1952</v>
      </c>
      <c r="X991" t="s">
        <v>2552</v>
      </c>
      <c r="Y991" t="s">
        <v>2553</v>
      </c>
      <c r="Z991" t="s">
        <v>446</v>
      </c>
      <c r="AA991" t="s">
        <v>353</v>
      </c>
      <c r="AB991" t="s">
        <v>446</v>
      </c>
      <c r="AC991" t="b">
        <v>0</v>
      </c>
      <c r="AD991" t="b">
        <v>1</v>
      </c>
    </row>
    <row r="992" spans="1:30" x14ac:dyDescent="0.25">
      <c r="A992" t="s">
        <v>42</v>
      </c>
      <c r="B992" t="s">
        <v>1656</v>
      </c>
      <c r="C992" t="s">
        <v>353</v>
      </c>
      <c r="D992" t="s">
        <v>446</v>
      </c>
      <c r="E992" t="s">
        <v>1040</v>
      </c>
      <c r="F992">
        <v>-56355</v>
      </c>
      <c r="G992" t="s">
        <v>2012</v>
      </c>
      <c r="H992" t="s">
        <v>2563</v>
      </c>
      <c r="I992" t="s">
        <v>2551</v>
      </c>
      <c r="J992" t="s">
        <v>1089</v>
      </c>
      <c r="K992" t="s">
        <v>1043</v>
      </c>
      <c r="L992" t="s">
        <v>1988</v>
      </c>
      <c r="M992" t="s">
        <v>980</v>
      </c>
      <c r="N992" t="s">
        <v>1044</v>
      </c>
      <c r="O992" t="s">
        <v>446</v>
      </c>
      <c r="P992" t="s">
        <v>1042</v>
      </c>
      <c r="Q992" t="b">
        <v>1</v>
      </c>
      <c r="R992" t="b">
        <v>0</v>
      </c>
      <c r="S992" t="s">
        <v>1950</v>
      </c>
      <c r="T992" t="s">
        <v>446</v>
      </c>
      <c r="U992" t="s">
        <v>1951</v>
      </c>
      <c r="V992" t="s">
        <v>1093</v>
      </c>
      <c r="W992" t="s">
        <v>1952</v>
      </c>
      <c r="X992" t="s">
        <v>2552</v>
      </c>
      <c r="Y992" t="s">
        <v>2553</v>
      </c>
      <c r="Z992" t="s">
        <v>446</v>
      </c>
      <c r="AA992" t="s">
        <v>353</v>
      </c>
      <c r="AB992" t="s">
        <v>446</v>
      </c>
      <c r="AC992" t="b">
        <v>0</v>
      </c>
      <c r="AD992" t="b">
        <v>1</v>
      </c>
    </row>
    <row r="993" spans="1:30" x14ac:dyDescent="0.25">
      <c r="A993" t="s">
        <v>42</v>
      </c>
      <c r="B993" t="s">
        <v>1657</v>
      </c>
      <c r="C993" t="s">
        <v>353</v>
      </c>
      <c r="D993" t="s">
        <v>446</v>
      </c>
      <c r="E993" t="s">
        <v>1045</v>
      </c>
      <c r="F993">
        <v>-56423</v>
      </c>
      <c r="G993" t="s">
        <v>2012</v>
      </c>
      <c r="H993" t="s">
        <v>2564</v>
      </c>
      <c r="I993" t="s">
        <v>2551</v>
      </c>
      <c r="J993" t="s">
        <v>1089</v>
      </c>
      <c r="K993" t="s">
        <v>1048</v>
      </c>
      <c r="L993" t="s">
        <v>1991</v>
      </c>
      <c r="M993" t="s">
        <v>1000</v>
      </c>
      <c r="N993" t="s">
        <v>1049</v>
      </c>
      <c r="O993" t="s">
        <v>446</v>
      </c>
      <c r="P993" t="s">
        <v>1047</v>
      </c>
      <c r="Q993" t="b">
        <v>1</v>
      </c>
      <c r="R993" t="b">
        <v>0</v>
      </c>
      <c r="S993" t="s">
        <v>1950</v>
      </c>
      <c r="T993" t="s">
        <v>446</v>
      </c>
      <c r="U993" t="s">
        <v>1951</v>
      </c>
      <c r="V993" t="s">
        <v>1093</v>
      </c>
      <c r="W993" t="s">
        <v>1952</v>
      </c>
      <c r="X993" t="s">
        <v>2552</v>
      </c>
      <c r="Y993" t="s">
        <v>2553</v>
      </c>
      <c r="Z993" t="s">
        <v>446</v>
      </c>
      <c r="AA993" t="s">
        <v>353</v>
      </c>
      <c r="AB993" t="s">
        <v>446</v>
      </c>
      <c r="AC993" t="b">
        <v>0</v>
      </c>
      <c r="AD993" t="b">
        <v>1</v>
      </c>
    </row>
    <row r="994" spans="1:30" x14ac:dyDescent="0.25">
      <c r="A994" t="s">
        <v>42</v>
      </c>
      <c r="B994" t="s">
        <v>1658</v>
      </c>
      <c r="C994" t="s">
        <v>353</v>
      </c>
      <c r="D994" t="s">
        <v>446</v>
      </c>
      <c r="E994" t="s">
        <v>1051</v>
      </c>
      <c r="F994">
        <v>-56747</v>
      </c>
      <c r="G994" t="s">
        <v>2012</v>
      </c>
      <c r="H994" t="s">
        <v>2565</v>
      </c>
      <c r="I994" t="s">
        <v>2551</v>
      </c>
      <c r="J994" t="s">
        <v>1089</v>
      </c>
      <c r="K994" t="s">
        <v>1055</v>
      </c>
      <c r="L994" t="s">
        <v>1993</v>
      </c>
      <c r="M994" t="s">
        <v>980</v>
      </c>
      <c r="N994" t="s">
        <v>1056</v>
      </c>
      <c r="O994" t="s">
        <v>446</v>
      </c>
      <c r="P994" t="s">
        <v>1053</v>
      </c>
      <c r="Q994" t="b">
        <v>1</v>
      </c>
      <c r="R994" t="b">
        <v>0</v>
      </c>
      <c r="S994" t="s">
        <v>1950</v>
      </c>
      <c r="T994" t="s">
        <v>446</v>
      </c>
      <c r="U994" t="s">
        <v>1951</v>
      </c>
      <c r="V994" t="s">
        <v>1093</v>
      </c>
      <c r="W994" t="s">
        <v>1952</v>
      </c>
      <c r="X994" t="s">
        <v>2552</v>
      </c>
      <c r="Y994" t="s">
        <v>2553</v>
      </c>
      <c r="Z994" t="s">
        <v>446</v>
      </c>
      <c r="AA994" t="s">
        <v>353</v>
      </c>
      <c r="AB994" t="s">
        <v>446</v>
      </c>
      <c r="AC994" t="b">
        <v>0</v>
      </c>
      <c r="AD994" t="b">
        <v>1</v>
      </c>
    </row>
    <row r="995" spans="1:30" x14ac:dyDescent="0.25">
      <c r="A995" t="s">
        <v>42</v>
      </c>
      <c r="B995" t="s">
        <v>1659</v>
      </c>
      <c r="C995" t="s">
        <v>354</v>
      </c>
      <c r="D995" t="s">
        <v>446</v>
      </c>
      <c r="E995" t="s">
        <v>978</v>
      </c>
      <c r="F995">
        <v>-14322</v>
      </c>
      <c r="G995" t="s">
        <v>1945</v>
      </c>
      <c r="H995" t="s">
        <v>2566</v>
      </c>
      <c r="I995" t="s">
        <v>2567</v>
      </c>
      <c r="J995" t="s">
        <v>1089</v>
      </c>
      <c r="K995" t="s">
        <v>984</v>
      </c>
      <c r="L995" t="s">
        <v>1948</v>
      </c>
      <c r="M995" t="s">
        <v>980</v>
      </c>
      <c r="N995" t="s">
        <v>985</v>
      </c>
      <c r="O995" t="s">
        <v>446</v>
      </c>
      <c r="P995" t="s">
        <v>981</v>
      </c>
      <c r="Q995" t="b">
        <v>1</v>
      </c>
      <c r="R995" t="b">
        <v>0</v>
      </c>
      <c r="S995" t="s">
        <v>1950</v>
      </c>
      <c r="T995" t="s">
        <v>446</v>
      </c>
      <c r="U995" t="s">
        <v>1951</v>
      </c>
      <c r="V995" t="s">
        <v>1093</v>
      </c>
      <c r="W995" t="s">
        <v>1952</v>
      </c>
      <c r="X995" t="s">
        <v>2568</v>
      </c>
      <c r="Y995" t="s">
        <v>2569</v>
      </c>
      <c r="Z995" t="s">
        <v>446</v>
      </c>
      <c r="AA995" t="s">
        <v>354</v>
      </c>
      <c r="AB995" t="s">
        <v>446</v>
      </c>
      <c r="AC995" t="b">
        <v>0</v>
      </c>
      <c r="AD995" t="b">
        <v>1</v>
      </c>
    </row>
    <row r="996" spans="1:30" x14ac:dyDescent="0.25">
      <c r="A996" t="s">
        <v>42</v>
      </c>
      <c r="B996" t="s">
        <v>1661</v>
      </c>
      <c r="C996" t="s">
        <v>354</v>
      </c>
      <c r="D996" t="s">
        <v>446</v>
      </c>
      <c r="E996" t="s">
        <v>986</v>
      </c>
      <c r="F996">
        <v>-14017</v>
      </c>
      <c r="G996" t="s">
        <v>1945</v>
      </c>
      <c r="H996" t="s">
        <v>2570</v>
      </c>
      <c r="I996" t="s">
        <v>2567</v>
      </c>
      <c r="J996" t="s">
        <v>1089</v>
      </c>
      <c r="K996" t="s">
        <v>990</v>
      </c>
      <c r="L996" t="s">
        <v>1955</v>
      </c>
      <c r="M996" t="s">
        <v>980</v>
      </c>
      <c r="N996" t="s">
        <v>991</v>
      </c>
      <c r="O996" t="s">
        <v>446</v>
      </c>
      <c r="P996" t="s">
        <v>988</v>
      </c>
      <c r="Q996" t="b">
        <v>1</v>
      </c>
      <c r="R996" t="b">
        <v>0</v>
      </c>
      <c r="S996" t="s">
        <v>1950</v>
      </c>
      <c r="T996" t="s">
        <v>446</v>
      </c>
      <c r="U996" t="s">
        <v>1951</v>
      </c>
      <c r="V996" t="s">
        <v>1093</v>
      </c>
      <c r="W996" t="s">
        <v>1952</v>
      </c>
      <c r="X996" t="s">
        <v>2568</v>
      </c>
      <c r="Y996" t="s">
        <v>2569</v>
      </c>
      <c r="Z996" t="s">
        <v>446</v>
      </c>
      <c r="AA996" t="s">
        <v>354</v>
      </c>
      <c r="AB996" t="s">
        <v>446</v>
      </c>
      <c r="AC996" t="b">
        <v>0</v>
      </c>
      <c r="AD996" t="b">
        <v>1</v>
      </c>
    </row>
    <row r="997" spans="1:30" x14ac:dyDescent="0.25">
      <c r="A997" t="s">
        <v>42</v>
      </c>
      <c r="B997" t="s">
        <v>1663</v>
      </c>
      <c r="C997" t="s">
        <v>354</v>
      </c>
      <c r="D997" t="s">
        <v>446</v>
      </c>
      <c r="E997" t="s">
        <v>992</v>
      </c>
      <c r="F997">
        <v>-14815</v>
      </c>
      <c r="G997" t="s">
        <v>1945</v>
      </c>
      <c r="H997" t="s">
        <v>2571</v>
      </c>
      <c r="I997" t="s">
        <v>2567</v>
      </c>
      <c r="J997" t="s">
        <v>1089</v>
      </c>
      <c r="K997" t="s">
        <v>996</v>
      </c>
      <c r="L997" t="s">
        <v>1958</v>
      </c>
      <c r="M997" t="s">
        <v>980</v>
      </c>
      <c r="N997" t="s">
        <v>997</v>
      </c>
      <c r="O997" t="s">
        <v>446</v>
      </c>
      <c r="P997" t="s">
        <v>994</v>
      </c>
      <c r="Q997" t="b">
        <v>1</v>
      </c>
      <c r="R997" t="b">
        <v>0</v>
      </c>
      <c r="S997" t="s">
        <v>1950</v>
      </c>
      <c r="T997" t="s">
        <v>446</v>
      </c>
      <c r="U997" t="s">
        <v>1951</v>
      </c>
      <c r="V997" t="s">
        <v>1093</v>
      </c>
      <c r="W997" t="s">
        <v>1952</v>
      </c>
      <c r="X997" t="s">
        <v>2568</v>
      </c>
      <c r="Y997" t="s">
        <v>2569</v>
      </c>
      <c r="Z997" t="s">
        <v>446</v>
      </c>
      <c r="AA997" t="s">
        <v>354</v>
      </c>
      <c r="AB997" t="s">
        <v>446</v>
      </c>
      <c r="AC997" t="b">
        <v>0</v>
      </c>
      <c r="AD997" t="b">
        <v>1</v>
      </c>
    </row>
    <row r="998" spans="1:30" x14ac:dyDescent="0.25">
      <c r="A998" t="s">
        <v>42</v>
      </c>
      <c r="B998" t="s">
        <v>1665</v>
      </c>
      <c r="C998" t="s">
        <v>354</v>
      </c>
      <c r="D998" t="s">
        <v>446</v>
      </c>
      <c r="E998" t="s">
        <v>998</v>
      </c>
      <c r="F998">
        <v>-14275</v>
      </c>
      <c r="G998" t="s">
        <v>1945</v>
      </c>
      <c r="H998" t="s">
        <v>2572</v>
      </c>
      <c r="I998" t="s">
        <v>2567</v>
      </c>
      <c r="J998" t="s">
        <v>1089</v>
      </c>
      <c r="K998" t="s">
        <v>1003</v>
      </c>
      <c r="L998" t="s">
        <v>2031</v>
      </c>
      <c r="M998" t="s">
        <v>1000</v>
      </c>
      <c r="N998" t="s">
        <v>1004</v>
      </c>
      <c r="O998" t="s">
        <v>446</v>
      </c>
      <c r="P998" t="s">
        <v>1001</v>
      </c>
      <c r="Q998" t="b">
        <v>1</v>
      </c>
      <c r="R998" t="b">
        <v>0</v>
      </c>
      <c r="S998" t="s">
        <v>1950</v>
      </c>
      <c r="T998" t="s">
        <v>446</v>
      </c>
      <c r="U998" t="s">
        <v>1951</v>
      </c>
      <c r="V998" t="s">
        <v>1093</v>
      </c>
      <c r="W998" t="s">
        <v>1952</v>
      </c>
      <c r="X998" t="s">
        <v>2568</v>
      </c>
      <c r="Y998" t="s">
        <v>2569</v>
      </c>
      <c r="Z998" t="s">
        <v>446</v>
      </c>
      <c r="AA998" t="s">
        <v>354</v>
      </c>
      <c r="AB998" t="s">
        <v>446</v>
      </c>
      <c r="AC998" t="b">
        <v>0</v>
      </c>
      <c r="AD998" t="b">
        <v>1</v>
      </c>
    </row>
    <row r="999" spans="1:30" x14ac:dyDescent="0.25">
      <c r="A999" t="s">
        <v>42</v>
      </c>
      <c r="B999" t="s">
        <v>1666</v>
      </c>
      <c r="C999" t="s">
        <v>354</v>
      </c>
      <c r="D999" t="s">
        <v>446</v>
      </c>
      <c r="E999" t="s">
        <v>1006</v>
      </c>
      <c r="F999">
        <v>-14504</v>
      </c>
      <c r="G999" t="s">
        <v>1945</v>
      </c>
      <c r="H999" t="s">
        <v>2573</v>
      </c>
      <c r="I999" t="s">
        <v>2567</v>
      </c>
      <c r="J999" t="s">
        <v>1089</v>
      </c>
      <c r="K999" t="s">
        <v>1967</v>
      </c>
      <c r="L999" t="s">
        <v>1968</v>
      </c>
      <c r="M999" t="s">
        <v>980</v>
      </c>
      <c r="N999" t="s">
        <v>1969</v>
      </c>
      <c r="O999" t="s">
        <v>446</v>
      </c>
      <c r="P999" t="s">
        <v>1009</v>
      </c>
      <c r="Q999" t="b">
        <v>1</v>
      </c>
      <c r="R999" t="b">
        <v>0</v>
      </c>
      <c r="S999" t="s">
        <v>1950</v>
      </c>
      <c r="T999" t="s">
        <v>446</v>
      </c>
      <c r="U999" t="s">
        <v>1951</v>
      </c>
      <c r="V999" t="s">
        <v>1093</v>
      </c>
      <c r="W999" t="s">
        <v>1952</v>
      </c>
      <c r="X999" t="s">
        <v>2568</v>
      </c>
      <c r="Y999" t="s">
        <v>2569</v>
      </c>
      <c r="Z999" t="s">
        <v>446</v>
      </c>
      <c r="AA999" t="s">
        <v>354</v>
      </c>
      <c r="AB999" t="s">
        <v>446</v>
      </c>
      <c r="AC999" t="b">
        <v>0</v>
      </c>
      <c r="AD999" t="b">
        <v>1</v>
      </c>
    </row>
    <row r="1000" spans="1:30" x14ac:dyDescent="0.25">
      <c r="A1000" t="s">
        <v>42</v>
      </c>
      <c r="B1000" t="s">
        <v>1668</v>
      </c>
      <c r="C1000" t="s">
        <v>354</v>
      </c>
      <c r="D1000" t="s">
        <v>446</v>
      </c>
      <c r="E1000" t="s">
        <v>1013</v>
      </c>
      <c r="F1000">
        <v>-15458</v>
      </c>
      <c r="G1000" t="s">
        <v>1945</v>
      </c>
      <c r="H1000" t="s">
        <v>2574</v>
      </c>
      <c r="I1000" t="s">
        <v>2567</v>
      </c>
      <c r="J1000" t="s">
        <v>1089</v>
      </c>
      <c r="K1000" t="s">
        <v>1016</v>
      </c>
      <c r="L1000" t="s">
        <v>1972</v>
      </c>
      <c r="M1000" t="s">
        <v>980</v>
      </c>
      <c r="N1000" t="s">
        <v>1017</v>
      </c>
      <c r="O1000" t="s">
        <v>446</v>
      </c>
      <c r="P1000" t="s">
        <v>1015</v>
      </c>
      <c r="Q1000" t="b">
        <v>1</v>
      </c>
      <c r="R1000" t="b">
        <v>0</v>
      </c>
      <c r="S1000" t="s">
        <v>1950</v>
      </c>
      <c r="T1000" t="s">
        <v>446</v>
      </c>
      <c r="U1000" t="s">
        <v>1951</v>
      </c>
      <c r="V1000" t="s">
        <v>1093</v>
      </c>
      <c r="W1000" t="s">
        <v>1952</v>
      </c>
      <c r="X1000" t="s">
        <v>2568</v>
      </c>
      <c r="Y1000" t="s">
        <v>2569</v>
      </c>
      <c r="Z1000" t="s">
        <v>446</v>
      </c>
      <c r="AA1000" t="s">
        <v>354</v>
      </c>
      <c r="AB1000" t="s">
        <v>446</v>
      </c>
      <c r="AC1000" t="b">
        <v>0</v>
      </c>
      <c r="AD1000" t="b">
        <v>1</v>
      </c>
    </row>
    <row r="1001" spans="1:30" x14ac:dyDescent="0.25">
      <c r="A1001" t="s">
        <v>42</v>
      </c>
      <c r="B1001" t="s">
        <v>1670</v>
      </c>
      <c r="C1001" t="s">
        <v>354</v>
      </c>
      <c r="D1001" t="s">
        <v>446</v>
      </c>
      <c r="E1001" t="s">
        <v>1018</v>
      </c>
      <c r="F1001">
        <v>-15536</v>
      </c>
      <c r="G1001" t="s">
        <v>1945</v>
      </c>
      <c r="H1001" t="s">
        <v>2575</v>
      </c>
      <c r="I1001" t="s">
        <v>2567</v>
      </c>
      <c r="J1001" t="s">
        <v>1089</v>
      </c>
      <c r="K1001" t="s">
        <v>1021</v>
      </c>
      <c r="L1001" t="s">
        <v>1975</v>
      </c>
      <c r="M1001" t="s">
        <v>980</v>
      </c>
      <c r="N1001" t="s">
        <v>1022</v>
      </c>
      <c r="O1001" t="s">
        <v>446</v>
      </c>
      <c r="P1001" t="s">
        <v>1020</v>
      </c>
      <c r="Q1001" t="b">
        <v>1</v>
      </c>
      <c r="R1001" t="b">
        <v>0</v>
      </c>
      <c r="S1001" t="s">
        <v>1950</v>
      </c>
      <c r="T1001" t="s">
        <v>446</v>
      </c>
      <c r="U1001" t="s">
        <v>1951</v>
      </c>
      <c r="V1001" t="s">
        <v>1093</v>
      </c>
      <c r="W1001" t="s">
        <v>1952</v>
      </c>
      <c r="X1001" t="s">
        <v>2568</v>
      </c>
      <c r="Y1001" t="s">
        <v>2569</v>
      </c>
      <c r="Z1001" t="s">
        <v>446</v>
      </c>
      <c r="AA1001" t="s">
        <v>354</v>
      </c>
      <c r="AB1001" t="s">
        <v>446</v>
      </c>
      <c r="AC1001" t="b">
        <v>0</v>
      </c>
      <c r="AD1001" t="b">
        <v>1</v>
      </c>
    </row>
    <row r="1002" spans="1:30" x14ac:dyDescent="0.25">
      <c r="A1002" t="s">
        <v>42</v>
      </c>
      <c r="B1002" t="s">
        <v>1672</v>
      </c>
      <c r="C1002" t="s">
        <v>354</v>
      </c>
      <c r="D1002" t="s">
        <v>446</v>
      </c>
      <c r="E1002" t="s">
        <v>1023</v>
      </c>
      <c r="F1002">
        <v>-16843</v>
      </c>
      <c r="G1002" t="s">
        <v>1945</v>
      </c>
      <c r="H1002" t="s">
        <v>2576</v>
      </c>
      <c r="I1002" t="s">
        <v>2567</v>
      </c>
      <c r="J1002" t="s">
        <v>1089</v>
      </c>
      <c r="K1002" t="s">
        <v>1026</v>
      </c>
      <c r="L1002" t="s">
        <v>1979</v>
      </c>
      <c r="M1002" t="s">
        <v>1000</v>
      </c>
      <c r="N1002" t="s">
        <v>1027</v>
      </c>
      <c r="O1002" t="s">
        <v>446</v>
      </c>
      <c r="P1002" t="s">
        <v>1025</v>
      </c>
      <c r="Q1002" t="b">
        <v>1</v>
      </c>
      <c r="R1002" t="b">
        <v>0</v>
      </c>
      <c r="S1002" t="s">
        <v>1950</v>
      </c>
      <c r="T1002" t="s">
        <v>446</v>
      </c>
      <c r="U1002" t="s">
        <v>1951</v>
      </c>
      <c r="V1002" t="s">
        <v>1093</v>
      </c>
      <c r="W1002" t="s">
        <v>1952</v>
      </c>
      <c r="X1002" t="s">
        <v>2568</v>
      </c>
      <c r="Y1002" t="s">
        <v>2569</v>
      </c>
      <c r="Z1002" t="s">
        <v>446</v>
      </c>
      <c r="AA1002" t="s">
        <v>354</v>
      </c>
      <c r="AB1002" t="s">
        <v>446</v>
      </c>
      <c r="AC1002" t="b">
        <v>0</v>
      </c>
      <c r="AD1002" t="b">
        <v>1</v>
      </c>
    </row>
    <row r="1003" spans="1:30" x14ac:dyDescent="0.25">
      <c r="A1003" t="s">
        <v>42</v>
      </c>
      <c r="B1003" t="s">
        <v>1674</v>
      </c>
      <c r="C1003" t="s">
        <v>354</v>
      </c>
      <c r="D1003" t="s">
        <v>446</v>
      </c>
      <c r="E1003" t="s">
        <v>1029</v>
      </c>
      <c r="F1003">
        <v>-16482</v>
      </c>
      <c r="G1003" t="s">
        <v>1945</v>
      </c>
      <c r="H1003" t="s">
        <v>2577</v>
      </c>
      <c r="I1003" t="s">
        <v>2567</v>
      </c>
      <c r="J1003" t="s">
        <v>1089</v>
      </c>
      <c r="K1003" t="s">
        <v>1033</v>
      </c>
      <c r="L1003" t="s">
        <v>1982</v>
      </c>
      <c r="M1003" t="s">
        <v>980</v>
      </c>
      <c r="N1003" t="s">
        <v>1034</v>
      </c>
      <c r="O1003" t="s">
        <v>446</v>
      </c>
      <c r="P1003" t="s">
        <v>1031</v>
      </c>
      <c r="Q1003" t="b">
        <v>1</v>
      </c>
      <c r="R1003" t="b">
        <v>0</v>
      </c>
      <c r="S1003" t="s">
        <v>1950</v>
      </c>
      <c r="T1003" t="s">
        <v>446</v>
      </c>
      <c r="U1003" t="s">
        <v>1951</v>
      </c>
      <c r="V1003" t="s">
        <v>1093</v>
      </c>
      <c r="W1003" t="s">
        <v>1952</v>
      </c>
      <c r="X1003" t="s">
        <v>2568</v>
      </c>
      <c r="Y1003" t="s">
        <v>2569</v>
      </c>
      <c r="Z1003" t="s">
        <v>446</v>
      </c>
      <c r="AA1003" t="s">
        <v>354</v>
      </c>
      <c r="AB1003" t="s">
        <v>446</v>
      </c>
      <c r="AC1003" t="b">
        <v>0</v>
      </c>
      <c r="AD1003" t="b">
        <v>1</v>
      </c>
    </row>
    <row r="1004" spans="1:30" x14ac:dyDescent="0.25">
      <c r="A1004" t="s">
        <v>42</v>
      </c>
      <c r="B1004" t="s">
        <v>1676</v>
      </c>
      <c r="C1004" t="s">
        <v>354</v>
      </c>
      <c r="D1004" t="s">
        <v>446</v>
      </c>
      <c r="E1004" t="s">
        <v>1035</v>
      </c>
      <c r="F1004">
        <v>-15758</v>
      </c>
      <c r="G1004" t="s">
        <v>1945</v>
      </c>
      <c r="H1004" t="s">
        <v>2578</v>
      </c>
      <c r="I1004" t="s">
        <v>2567</v>
      </c>
      <c r="J1004" t="s">
        <v>1089</v>
      </c>
      <c r="K1004" t="s">
        <v>1038</v>
      </c>
      <c r="L1004" t="s">
        <v>1985</v>
      </c>
      <c r="M1004" t="s">
        <v>980</v>
      </c>
      <c r="N1004" t="s">
        <v>1039</v>
      </c>
      <c r="O1004" t="s">
        <v>446</v>
      </c>
      <c r="P1004" t="s">
        <v>1037</v>
      </c>
      <c r="Q1004" t="b">
        <v>1</v>
      </c>
      <c r="R1004" t="b">
        <v>0</v>
      </c>
      <c r="S1004" t="s">
        <v>1950</v>
      </c>
      <c r="T1004" t="s">
        <v>446</v>
      </c>
      <c r="U1004" t="s">
        <v>1951</v>
      </c>
      <c r="V1004" t="s">
        <v>1093</v>
      </c>
      <c r="W1004" t="s">
        <v>1952</v>
      </c>
      <c r="X1004" t="s">
        <v>2568</v>
      </c>
      <c r="Y1004" t="s">
        <v>2569</v>
      </c>
      <c r="Z1004" t="s">
        <v>446</v>
      </c>
      <c r="AA1004" t="s">
        <v>354</v>
      </c>
      <c r="AB1004" t="s">
        <v>446</v>
      </c>
      <c r="AC1004" t="b">
        <v>0</v>
      </c>
      <c r="AD1004" t="b">
        <v>1</v>
      </c>
    </row>
    <row r="1005" spans="1:30" x14ac:dyDescent="0.25">
      <c r="A1005" t="s">
        <v>42</v>
      </c>
      <c r="B1005" t="s">
        <v>1678</v>
      </c>
      <c r="C1005" t="s">
        <v>354</v>
      </c>
      <c r="D1005" t="s">
        <v>446</v>
      </c>
      <c r="E1005" t="s">
        <v>1040</v>
      </c>
      <c r="F1005">
        <v>-14952</v>
      </c>
      <c r="G1005" t="s">
        <v>1945</v>
      </c>
      <c r="H1005" t="s">
        <v>2579</v>
      </c>
      <c r="I1005" t="s">
        <v>2567</v>
      </c>
      <c r="J1005" t="s">
        <v>1089</v>
      </c>
      <c r="K1005" t="s">
        <v>1043</v>
      </c>
      <c r="L1005" t="s">
        <v>1988</v>
      </c>
      <c r="M1005" t="s">
        <v>980</v>
      </c>
      <c r="N1005" t="s">
        <v>1044</v>
      </c>
      <c r="O1005" t="s">
        <v>446</v>
      </c>
      <c r="P1005" t="s">
        <v>1042</v>
      </c>
      <c r="Q1005" t="b">
        <v>1</v>
      </c>
      <c r="R1005" t="b">
        <v>0</v>
      </c>
      <c r="S1005" t="s">
        <v>1950</v>
      </c>
      <c r="T1005" t="s">
        <v>446</v>
      </c>
      <c r="U1005" t="s">
        <v>1951</v>
      </c>
      <c r="V1005" t="s">
        <v>1093</v>
      </c>
      <c r="W1005" t="s">
        <v>1952</v>
      </c>
      <c r="X1005" t="s">
        <v>2568</v>
      </c>
      <c r="Y1005" t="s">
        <v>2569</v>
      </c>
      <c r="Z1005" t="s">
        <v>446</v>
      </c>
      <c r="AA1005" t="s">
        <v>354</v>
      </c>
      <c r="AB1005" t="s">
        <v>446</v>
      </c>
      <c r="AC1005" t="b">
        <v>0</v>
      </c>
      <c r="AD1005" t="b">
        <v>1</v>
      </c>
    </row>
    <row r="1006" spans="1:30" x14ac:dyDescent="0.25">
      <c r="A1006" t="s">
        <v>42</v>
      </c>
      <c r="B1006" t="s">
        <v>1680</v>
      </c>
      <c r="C1006" t="s">
        <v>354</v>
      </c>
      <c r="D1006" t="s">
        <v>446</v>
      </c>
      <c r="E1006" t="s">
        <v>1045</v>
      </c>
      <c r="F1006">
        <v>-14131</v>
      </c>
      <c r="G1006" t="s">
        <v>1945</v>
      </c>
      <c r="H1006" t="s">
        <v>2580</v>
      </c>
      <c r="I1006" t="s">
        <v>2567</v>
      </c>
      <c r="J1006" t="s">
        <v>1089</v>
      </c>
      <c r="K1006" t="s">
        <v>1048</v>
      </c>
      <c r="L1006" t="s">
        <v>1991</v>
      </c>
      <c r="M1006" t="s">
        <v>1000</v>
      </c>
      <c r="N1006" t="s">
        <v>1049</v>
      </c>
      <c r="O1006" t="s">
        <v>446</v>
      </c>
      <c r="P1006" t="s">
        <v>1047</v>
      </c>
      <c r="Q1006" t="b">
        <v>1</v>
      </c>
      <c r="R1006" t="b">
        <v>0</v>
      </c>
      <c r="S1006" t="s">
        <v>1950</v>
      </c>
      <c r="T1006" t="s">
        <v>446</v>
      </c>
      <c r="U1006" t="s">
        <v>1951</v>
      </c>
      <c r="V1006" t="s">
        <v>1093</v>
      </c>
      <c r="W1006" t="s">
        <v>1952</v>
      </c>
      <c r="X1006" t="s">
        <v>2568</v>
      </c>
      <c r="Y1006" t="s">
        <v>2569</v>
      </c>
      <c r="Z1006" t="s">
        <v>446</v>
      </c>
      <c r="AA1006" t="s">
        <v>354</v>
      </c>
      <c r="AB1006" t="s">
        <v>446</v>
      </c>
      <c r="AC1006" t="b">
        <v>0</v>
      </c>
      <c r="AD1006" t="b">
        <v>1</v>
      </c>
    </row>
    <row r="1007" spans="1:30" x14ac:dyDescent="0.25">
      <c r="A1007" t="s">
        <v>42</v>
      </c>
      <c r="B1007" t="s">
        <v>1681</v>
      </c>
      <c r="C1007" t="s">
        <v>354</v>
      </c>
      <c r="D1007" t="s">
        <v>446</v>
      </c>
      <c r="E1007" t="s">
        <v>1051</v>
      </c>
      <c r="F1007">
        <v>-14040</v>
      </c>
      <c r="G1007" t="s">
        <v>1945</v>
      </c>
      <c r="H1007" t="s">
        <v>2581</v>
      </c>
      <c r="I1007" t="s">
        <v>2567</v>
      </c>
      <c r="J1007" t="s">
        <v>1089</v>
      </c>
      <c r="K1007" t="s">
        <v>1055</v>
      </c>
      <c r="L1007" t="s">
        <v>1993</v>
      </c>
      <c r="M1007" t="s">
        <v>980</v>
      </c>
      <c r="N1007" t="s">
        <v>1056</v>
      </c>
      <c r="O1007" t="s">
        <v>446</v>
      </c>
      <c r="P1007" t="s">
        <v>1053</v>
      </c>
      <c r="Q1007" t="b">
        <v>1</v>
      </c>
      <c r="R1007" t="b">
        <v>0</v>
      </c>
      <c r="S1007" t="s">
        <v>1950</v>
      </c>
      <c r="T1007" t="s">
        <v>446</v>
      </c>
      <c r="U1007" t="s">
        <v>1951</v>
      </c>
      <c r="V1007" t="s">
        <v>1093</v>
      </c>
      <c r="W1007" t="s">
        <v>1952</v>
      </c>
      <c r="X1007" t="s">
        <v>2568</v>
      </c>
      <c r="Y1007" t="s">
        <v>2569</v>
      </c>
      <c r="Z1007" t="s">
        <v>446</v>
      </c>
      <c r="AA1007" t="s">
        <v>354</v>
      </c>
      <c r="AB1007" t="s">
        <v>446</v>
      </c>
      <c r="AC1007" t="b">
        <v>0</v>
      </c>
      <c r="AD1007" t="b">
        <v>1</v>
      </c>
    </row>
    <row r="1008" spans="1:30" x14ac:dyDescent="0.25">
      <c r="A1008" t="s">
        <v>42</v>
      </c>
      <c r="B1008" t="s">
        <v>1683</v>
      </c>
      <c r="C1008" t="s">
        <v>356</v>
      </c>
      <c r="D1008" t="s">
        <v>446</v>
      </c>
      <c r="E1008" t="s">
        <v>978</v>
      </c>
      <c r="F1008">
        <v>1651</v>
      </c>
      <c r="G1008" t="s">
        <v>1945</v>
      </c>
      <c r="H1008" t="s">
        <v>2582</v>
      </c>
      <c r="I1008" t="s">
        <v>2583</v>
      </c>
      <c r="J1008" t="s">
        <v>1089</v>
      </c>
      <c r="K1008" t="s">
        <v>984</v>
      </c>
      <c r="L1008" t="s">
        <v>1948</v>
      </c>
      <c r="M1008" t="s">
        <v>980</v>
      </c>
      <c r="N1008" t="s">
        <v>985</v>
      </c>
      <c r="O1008" t="s">
        <v>446</v>
      </c>
      <c r="P1008" t="s">
        <v>981</v>
      </c>
      <c r="Q1008" t="b">
        <v>1</v>
      </c>
      <c r="R1008" t="b">
        <v>0</v>
      </c>
      <c r="S1008" t="s">
        <v>1950</v>
      </c>
      <c r="T1008" t="s">
        <v>446</v>
      </c>
      <c r="U1008" t="s">
        <v>1951</v>
      </c>
      <c r="V1008" t="s">
        <v>1093</v>
      </c>
      <c r="W1008" t="s">
        <v>1952</v>
      </c>
      <c r="X1008" t="s">
        <v>2584</v>
      </c>
      <c r="Y1008" t="s">
        <v>2583</v>
      </c>
      <c r="Z1008" t="s">
        <v>446</v>
      </c>
      <c r="AA1008" t="s">
        <v>356</v>
      </c>
      <c r="AB1008" t="s">
        <v>446</v>
      </c>
      <c r="AC1008" t="b">
        <v>0</v>
      </c>
      <c r="AD1008" t="b">
        <v>1</v>
      </c>
    </row>
    <row r="1009" spans="1:30" x14ac:dyDescent="0.25">
      <c r="A1009" t="s">
        <v>42</v>
      </c>
      <c r="B1009" t="s">
        <v>1684</v>
      </c>
      <c r="C1009" t="s">
        <v>356</v>
      </c>
      <c r="D1009" t="s">
        <v>446</v>
      </c>
      <c r="E1009" t="s">
        <v>986</v>
      </c>
      <c r="F1009">
        <v>1539</v>
      </c>
      <c r="G1009" t="s">
        <v>1945</v>
      </c>
      <c r="H1009" t="s">
        <v>2585</v>
      </c>
      <c r="I1009" t="s">
        <v>2583</v>
      </c>
      <c r="J1009" t="s">
        <v>1089</v>
      </c>
      <c r="K1009" t="s">
        <v>990</v>
      </c>
      <c r="L1009" t="s">
        <v>1955</v>
      </c>
      <c r="M1009" t="s">
        <v>980</v>
      </c>
      <c r="N1009" t="s">
        <v>991</v>
      </c>
      <c r="O1009" t="s">
        <v>446</v>
      </c>
      <c r="P1009" t="s">
        <v>988</v>
      </c>
      <c r="Q1009" t="b">
        <v>1</v>
      </c>
      <c r="R1009" t="b">
        <v>0</v>
      </c>
      <c r="S1009" t="s">
        <v>1950</v>
      </c>
      <c r="T1009" t="s">
        <v>446</v>
      </c>
      <c r="U1009" t="s">
        <v>1951</v>
      </c>
      <c r="V1009" t="s">
        <v>1093</v>
      </c>
      <c r="W1009" t="s">
        <v>1952</v>
      </c>
      <c r="X1009" t="s">
        <v>2584</v>
      </c>
      <c r="Y1009" t="s">
        <v>2583</v>
      </c>
      <c r="Z1009" t="s">
        <v>446</v>
      </c>
      <c r="AA1009" t="s">
        <v>356</v>
      </c>
      <c r="AB1009" t="s">
        <v>446</v>
      </c>
      <c r="AC1009" t="b">
        <v>0</v>
      </c>
      <c r="AD1009" t="b">
        <v>1</v>
      </c>
    </row>
    <row r="1010" spans="1:30" x14ac:dyDescent="0.25">
      <c r="A1010" t="s">
        <v>42</v>
      </c>
      <c r="B1010" t="s">
        <v>1685</v>
      </c>
      <c r="C1010" t="s">
        <v>356</v>
      </c>
      <c r="D1010" t="s">
        <v>446</v>
      </c>
      <c r="E1010" t="s">
        <v>992</v>
      </c>
      <c r="F1010">
        <v>1508</v>
      </c>
      <c r="G1010" t="s">
        <v>1945</v>
      </c>
      <c r="H1010" t="s">
        <v>2586</v>
      </c>
      <c r="I1010" t="s">
        <v>2583</v>
      </c>
      <c r="J1010" t="s">
        <v>1089</v>
      </c>
      <c r="K1010" t="s">
        <v>996</v>
      </c>
      <c r="L1010" t="s">
        <v>1958</v>
      </c>
      <c r="M1010" t="s">
        <v>980</v>
      </c>
      <c r="N1010" t="s">
        <v>997</v>
      </c>
      <c r="O1010" t="s">
        <v>446</v>
      </c>
      <c r="P1010" t="s">
        <v>994</v>
      </c>
      <c r="Q1010" t="b">
        <v>1</v>
      </c>
      <c r="R1010" t="b">
        <v>0</v>
      </c>
      <c r="S1010" t="s">
        <v>1950</v>
      </c>
      <c r="T1010" t="s">
        <v>446</v>
      </c>
      <c r="U1010" t="s">
        <v>1951</v>
      </c>
      <c r="V1010" t="s">
        <v>1093</v>
      </c>
      <c r="W1010" t="s">
        <v>1952</v>
      </c>
      <c r="X1010" t="s">
        <v>2584</v>
      </c>
      <c r="Y1010" t="s">
        <v>2583</v>
      </c>
      <c r="Z1010" t="s">
        <v>446</v>
      </c>
      <c r="AA1010" t="s">
        <v>356</v>
      </c>
      <c r="AB1010" t="s">
        <v>446</v>
      </c>
      <c r="AC1010" t="b">
        <v>0</v>
      </c>
      <c r="AD1010" t="b">
        <v>1</v>
      </c>
    </row>
    <row r="1011" spans="1:30" x14ac:dyDescent="0.25">
      <c r="A1011" t="s">
        <v>42</v>
      </c>
      <c r="B1011" t="s">
        <v>1686</v>
      </c>
      <c r="C1011" t="s">
        <v>356</v>
      </c>
      <c r="D1011" t="s">
        <v>446</v>
      </c>
      <c r="E1011" t="s">
        <v>998</v>
      </c>
      <c r="F1011">
        <v>1539</v>
      </c>
      <c r="G1011" t="s">
        <v>1945</v>
      </c>
      <c r="H1011" t="s">
        <v>2585</v>
      </c>
      <c r="I1011" t="s">
        <v>2583</v>
      </c>
      <c r="J1011" t="s">
        <v>1089</v>
      </c>
      <c r="K1011" t="s">
        <v>1003</v>
      </c>
      <c r="L1011" t="s">
        <v>2031</v>
      </c>
      <c r="M1011" t="s">
        <v>1000</v>
      </c>
      <c r="N1011" t="s">
        <v>1004</v>
      </c>
      <c r="O1011" t="s">
        <v>446</v>
      </c>
      <c r="P1011" t="s">
        <v>1001</v>
      </c>
      <c r="Q1011" t="b">
        <v>1</v>
      </c>
      <c r="R1011" t="b">
        <v>0</v>
      </c>
      <c r="S1011" t="s">
        <v>1950</v>
      </c>
      <c r="T1011" t="s">
        <v>446</v>
      </c>
      <c r="U1011" t="s">
        <v>1951</v>
      </c>
      <c r="V1011" t="s">
        <v>1093</v>
      </c>
      <c r="W1011" t="s">
        <v>1952</v>
      </c>
      <c r="X1011" t="s">
        <v>2584</v>
      </c>
      <c r="Y1011" t="s">
        <v>2583</v>
      </c>
      <c r="Z1011" t="s">
        <v>446</v>
      </c>
      <c r="AA1011" t="s">
        <v>356</v>
      </c>
      <c r="AB1011" t="s">
        <v>446</v>
      </c>
      <c r="AC1011" t="b">
        <v>0</v>
      </c>
      <c r="AD1011" t="b">
        <v>1</v>
      </c>
    </row>
    <row r="1012" spans="1:30" x14ac:dyDescent="0.25">
      <c r="A1012" t="s">
        <v>42</v>
      </c>
      <c r="B1012" t="s">
        <v>1687</v>
      </c>
      <c r="C1012" t="s">
        <v>356</v>
      </c>
      <c r="D1012" t="s">
        <v>446</v>
      </c>
      <c r="E1012" t="s">
        <v>1006</v>
      </c>
      <c r="F1012">
        <v>1517</v>
      </c>
      <c r="G1012" t="s">
        <v>1945</v>
      </c>
      <c r="H1012" t="s">
        <v>2587</v>
      </c>
      <c r="I1012" t="s">
        <v>2583</v>
      </c>
      <c r="J1012" t="s">
        <v>1089</v>
      </c>
      <c r="K1012" t="s">
        <v>1967</v>
      </c>
      <c r="L1012" t="s">
        <v>1968</v>
      </c>
      <c r="M1012" t="s">
        <v>980</v>
      </c>
      <c r="N1012" t="s">
        <v>1969</v>
      </c>
      <c r="O1012" t="s">
        <v>446</v>
      </c>
      <c r="P1012" t="s">
        <v>1009</v>
      </c>
      <c r="Q1012" t="b">
        <v>1</v>
      </c>
      <c r="R1012" t="b">
        <v>0</v>
      </c>
      <c r="S1012" t="s">
        <v>1950</v>
      </c>
      <c r="T1012" t="s">
        <v>446</v>
      </c>
      <c r="U1012" t="s">
        <v>1951</v>
      </c>
      <c r="V1012" t="s">
        <v>1093</v>
      </c>
      <c r="W1012" t="s">
        <v>1952</v>
      </c>
      <c r="X1012" t="s">
        <v>2584</v>
      </c>
      <c r="Y1012" t="s">
        <v>2583</v>
      </c>
      <c r="Z1012" t="s">
        <v>446</v>
      </c>
      <c r="AA1012" t="s">
        <v>356</v>
      </c>
      <c r="AB1012" t="s">
        <v>446</v>
      </c>
      <c r="AC1012" t="b">
        <v>0</v>
      </c>
      <c r="AD1012" t="b">
        <v>1</v>
      </c>
    </row>
    <row r="1013" spans="1:30" x14ac:dyDescent="0.25">
      <c r="A1013" t="s">
        <v>42</v>
      </c>
      <c r="B1013" t="s">
        <v>1688</v>
      </c>
      <c r="C1013" t="s">
        <v>356</v>
      </c>
      <c r="D1013" t="s">
        <v>446</v>
      </c>
      <c r="E1013" t="s">
        <v>1013</v>
      </c>
      <c r="F1013">
        <v>1558</v>
      </c>
      <c r="G1013" t="s">
        <v>1945</v>
      </c>
      <c r="H1013" t="s">
        <v>2588</v>
      </c>
      <c r="I1013" t="s">
        <v>2583</v>
      </c>
      <c r="J1013" t="s">
        <v>1089</v>
      </c>
      <c r="K1013" t="s">
        <v>1016</v>
      </c>
      <c r="L1013" t="s">
        <v>1972</v>
      </c>
      <c r="M1013" t="s">
        <v>980</v>
      </c>
      <c r="N1013" t="s">
        <v>1017</v>
      </c>
      <c r="O1013" t="s">
        <v>446</v>
      </c>
      <c r="P1013" t="s">
        <v>1015</v>
      </c>
      <c r="Q1013" t="b">
        <v>1</v>
      </c>
      <c r="R1013" t="b">
        <v>0</v>
      </c>
      <c r="S1013" t="s">
        <v>1950</v>
      </c>
      <c r="T1013" t="s">
        <v>446</v>
      </c>
      <c r="U1013" t="s">
        <v>1951</v>
      </c>
      <c r="V1013" t="s">
        <v>1093</v>
      </c>
      <c r="W1013" t="s">
        <v>1952</v>
      </c>
      <c r="X1013" t="s">
        <v>2584</v>
      </c>
      <c r="Y1013" t="s">
        <v>2583</v>
      </c>
      <c r="Z1013" t="s">
        <v>446</v>
      </c>
      <c r="AA1013" t="s">
        <v>356</v>
      </c>
      <c r="AB1013" t="s">
        <v>446</v>
      </c>
      <c r="AC1013" t="b">
        <v>0</v>
      </c>
      <c r="AD1013" t="b">
        <v>1</v>
      </c>
    </row>
    <row r="1014" spans="1:30" x14ac:dyDescent="0.25">
      <c r="A1014" t="s">
        <v>42</v>
      </c>
      <c r="B1014" t="s">
        <v>1689</v>
      </c>
      <c r="C1014" t="s">
        <v>356</v>
      </c>
      <c r="D1014" t="s">
        <v>446</v>
      </c>
      <c r="E1014" t="s">
        <v>1018</v>
      </c>
      <c r="F1014">
        <v>1636</v>
      </c>
      <c r="G1014" t="s">
        <v>1945</v>
      </c>
      <c r="H1014" t="s">
        <v>2589</v>
      </c>
      <c r="I1014" t="s">
        <v>2583</v>
      </c>
      <c r="J1014" t="s">
        <v>1089</v>
      </c>
      <c r="K1014" t="s">
        <v>1021</v>
      </c>
      <c r="L1014" t="s">
        <v>1975</v>
      </c>
      <c r="M1014" t="s">
        <v>980</v>
      </c>
      <c r="N1014" t="s">
        <v>1022</v>
      </c>
      <c r="O1014" t="s">
        <v>446</v>
      </c>
      <c r="P1014" t="s">
        <v>1020</v>
      </c>
      <c r="Q1014" t="b">
        <v>1</v>
      </c>
      <c r="R1014" t="b">
        <v>0</v>
      </c>
      <c r="S1014" t="s">
        <v>1950</v>
      </c>
      <c r="T1014" t="s">
        <v>446</v>
      </c>
      <c r="U1014" t="s">
        <v>1951</v>
      </c>
      <c r="V1014" t="s">
        <v>1093</v>
      </c>
      <c r="W1014" t="s">
        <v>1952</v>
      </c>
      <c r="X1014" t="s">
        <v>2584</v>
      </c>
      <c r="Y1014" t="s">
        <v>2583</v>
      </c>
      <c r="Z1014" t="s">
        <v>446</v>
      </c>
      <c r="AA1014" t="s">
        <v>356</v>
      </c>
      <c r="AB1014" t="s">
        <v>446</v>
      </c>
      <c r="AC1014" t="b">
        <v>0</v>
      </c>
      <c r="AD1014" t="b">
        <v>1</v>
      </c>
    </row>
    <row r="1015" spans="1:30" x14ac:dyDescent="0.25">
      <c r="A1015" t="s">
        <v>42</v>
      </c>
      <c r="B1015" t="s">
        <v>1690</v>
      </c>
      <c r="C1015" t="s">
        <v>356</v>
      </c>
      <c r="D1015" t="s">
        <v>446</v>
      </c>
      <c r="E1015" t="s">
        <v>1023</v>
      </c>
      <c r="F1015">
        <v>1516</v>
      </c>
      <c r="G1015" t="s">
        <v>1945</v>
      </c>
      <c r="H1015" t="s">
        <v>2590</v>
      </c>
      <c r="I1015" t="s">
        <v>2583</v>
      </c>
      <c r="J1015" t="s">
        <v>1089</v>
      </c>
      <c r="K1015" t="s">
        <v>1026</v>
      </c>
      <c r="L1015" t="s">
        <v>1979</v>
      </c>
      <c r="M1015" t="s">
        <v>1000</v>
      </c>
      <c r="N1015" t="s">
        <v>1027</v>
      </c>
      <c r="O1015" t="s">
        <v>446</v>
      </c>
      <c r="P1015" t="s">
        <v>1025</v>
      </c>
      <c r="Q1015" t="b">
        <v>1</v>
      </c>
      <c r="R1015" t="b">
        <v>0</v>
      </c>
      <c r="S1015" t="s">
        <v>1950</v>
      </c>
      <c r="T1015" t="s">
        <v>446</v>
      </c>
      <c r="U1015" t="s">
        <v>1951</v>
      </c>
      <c r="V1015" t="s">
        <v>1093</v>
      </c>
      <c r="W1015" t="s">
        <v>1952</v>
      </c>
      <c r="X1015" t="s">
        <v>2584</v>
      </c>
      <c r="Y1015" t="s">
        <v>2583</v>
      </c>
      <c r="Z1015" t="s">
        <v>446</v>
      </c>
      <c r="AA1015" t="s">
        <v>356</v>
      </c>
      <c r="AB1015" t="s">
        <v>446</v>
      </c>
      <c r="AC1015" t="b">
        <v>0</v>
      </c>
      <c r="AD1015" t="b">
        <v>1</v>
      </c>
    </row>
    <row r="1016" spans="1:30" x14ac:dyDescent="0.25">
      <c r="A1016" t="s">
        <v>42</v>
      </c>
      <c r="B1016" t="s">
        <v>1691</v>
      </c>
      <c r="C1016" t="s">
        <v>356</v>
      </c>
      <c r="D1016" t="s">
        <v>446</v>
      </c>
      <c r="E1016" t="s">
        <v>1029</v>
      </c>
      <c r="F1016">
        <v>1552</v>
      </c>
      <c r="G1016" t="s">
        <v>1945</v>
      </c>
      <c r="H1016" t="s">
        <v>2591</v>
      </c>
      <c r="I1016" t="s">
        <v>2583</v>
      </c>
      <c r="J1016" t="s">
        <v>1089</v>
      </c>
      <c r="K1016" t="s">
        <v>1033</v>
      </c>
      <c r="L1016" t="s">
        <v>1982</v>
      </c>
      <c r="M1016" t="s">
        <v>980</v>
      </c>
      <c r="N1016" t="s">
        <v>1034</v>
      </c>
      <c r="O1016" t="s">
        <v>446</v>
      </c>
      <c r="P1016" t="s">
        <v>1031</v>
      </c>
      <c r="Q1016" t="b">
        <v>1</v>
      </c>
      <c r="R1016" t="b">
        <v>0</v>
      </c>
      <c r="S1016" t="s">
        <v>1950</v>
      </c>
      <c r="T1016" t="s">
        <v>446</v>
      </c>
      <c r="U1016" t="s">
        <v>1951</v>
      </c>
      <c r="V1016" t="s">
        <v>1093</v>
      </c>
      <c r="W1016" t="s">
        <v>1952</v>
      </c>
      <c r="X1016" t="s">
        <v>2584</v>
      </c>
      <c r="Y1016" t="s">
        <v>2583</v>
      </c>
      <c r="Z1016" t="s">
        <v>446</v>
      </c>
      <c r="AA1016" t="s">
        <v>356</v>
      </c>
      <c r="AB1016" t="s">
        <v>446</v>
      </c>
      <c r="AC1016" t="b">
        <v>0</v>
      </c>
      <c r="AD1016" t="b">
        <v>1</v>
      </c>
    </row>
    <row r="1017" spans="1:30" x14ac:dyDescent="0.25">
      <c r="A1017" t="s">
        <v>42</v>
      </c>
      <c r="B1017" t="s">
        <v>1692</v>
      </c>
      <c r="C1017" t="s">
        <v>356</v>
      </c>
      <c r="D1017" t="s">
        <v>446</v>
      </c>
      <c r="E1017" t="s">
        <v>1035</v>
      </c>
      <c r="F1017">
        <v>1597</v>
      </c>
      <c r="G1017" t="s">
        <v>1945</v>
      </c>
      <c r="H1017" t="s">
        <v>2592</v>
      </c>
      <c r="I1017" t="s">
        <v>2583</v>
      </c>
      <c r="J1017" t="s">
        <v>1089</v>
      </c>
      <c r="K1017" t="s">
        <v>1038</v>
      </c>
      <c r="L1017" t="s">
        <v>1985</v>
      </c>
      <c r="M1017" t="s">
        <v>980</v>
      </c>
      <c r="N1017" t="s">
        <v>1039</v>
      </c>
      <c r="O1017" t="s">
        <v>446</v>
      </c>
      <c r="P1017" t="s">
        <v>1037</v>
      </c>
      <c r="Q1017" t="b">
        <v>1</v>
      </c>
      <c r="R1017" t="b">
        <v>0</v>
      </c>
      <c r="S1017" t="s">
        <v>1950</v>
      </c>
      <c r="T1017" t="s">
        <v>446</v>
      </c>
      <c r="U1017" t="s">
        <v>1951</v>
      </c>
      <c r="V1017" t="s">
        <v>1093</v>
      </c>
      <c r="W1017" t="s">
        <v>1952</v>
      </c>
      <c r="X1017" t="s">
        <v>2584</v>
      </c>
      <c r="Y1017" t="s">
        <v>2583</v>
      </c>
      <c r="Z1017" t="s">
        <v>446</v>
      </c>
      <c r="AA1017" t="s">
        <v>356</v>
      </c>
      <c r="AB1017" t="s">
        <v>446</v>
      </c>
      <c r="AC1017" t="b">
        <v>0</v>
      </c>
      <c r="AD1017" t="b">
        <v>1</v>
      </c>
    </row>
    <row r="1018" spans="1:30" x14ac:dyDescent="0.25">
      <c r="A1018" t="s">
        <v>42</v>
      </c>
      <c r="B1018" t="s">
        <v>1693</v>
      </c>
      <c r="C1018" t="s">
        <v>356</v>
      </c>
      <c r="D1018" t="s">
        <v>446</v>
      </c>
      <c r="E1018" t="s">
        <v>1040</v>
      </c>
      <c r="F1018">
        <v>2020</v>
      </c>
      <c r="G1018" t="s">
        <v>1945</v>
      </c>
      <c r="H1018" t="s">
        <v>2593</v>
      </c>
      <c r="I1018" t="s">
        <v>2583</v>
      </c>
      <c r="J1018" t="s">
        <v>1089</v>
      </c>
      <c r="K1018" t="s">
        <v>1043</v>
      </c>
      <c r="L1018" t="s">
        <v>1988</v>
      </c>
      <c r="M1018" t="s">
        <v>980</v>
      </c>
      <c r="N1018" t="s">
        <v>1044</v>
      </c>
      <c r="O1018" t="s">
        <v>446</v>
      </c>
      <c r="P1018" t="s">
        <v>1042</v>
      </c>
      <c r="Q1018" t="b">
        <v>1</v>
      </c>
      <c r="R1018" t="b">
        <v>0</v>
      </c>
      <c r="S1018" t="s">
        <v>1950</v>
      </c>
      <c r="T1018" t="s">
        <v>446</v>
      </c>
      <c r="U1018" t="s">
        <v>1951</v>
      </c>
      <c r="V1018" t="s">
        <v>1093</v>
      </c>
      <c r="W1018" t="s">
        <v>1952</v>
      </c>
      <c r="X1018" t="s">
        <v>2584</v>
      </c>
      <c r="Y1018" t="s">
        <v>2583</v>
      </c>
      <c r="Z1018" t="s">
        <v>446</v>
      </c>
      <c r="AA1018" t="s">
        <v>356</v>
      </c>
      <c r="AB1018" t="s">
        <v>446</v>
      </c>
      <c r="AC1018" t="b">
        <v>0</v>
      </c>
      <c r="AD1018" t="b">
        <v>1</v>
      </c>
    </row>
    <row r="1019" spans="1:30" x14ac:dyDescent="0.25">
      <c r="A1019" t="s">
        <v>42</v>
      </c>
      <c r="B1019" t="s">
        <v>1694</v>
      </c>
      <c r="C1019" t="s">
        <v>356</v>
      </c>
      <c r="D1019" t="s">
        <v>446</v>
      </c>
      <c r="E1019" t="s">
        <v>1045</v>
      </c>
      <c r="F1019">
        <v>2106</v>
      </c>
      <c r="G1019" t="s">
        <v>1945</v>
      </c>
      <c r="H1019" t="s">
        <v>2594</v>
      </c>
      <c r="I1019" t="s">
        <v>2583</v>
      </c>
      <c r="J1019" t="s">
        <v>1089</v>
      </c>
      <c r="K1019" t="s">
        <v>1048</v>
      </c>
      <c r="L1019" t="s">
        <v>1991</v>
      </c>
      <c r="M1019" t="s">
        <v>1000</v>
      </c>
      <c r="N1019" t="s">
        <v>1049</v>
      </c>
      <c r="O1019" t="s">
        <v>446</v>
      </c>
      <c r="P1019" t="s">
        <v>1047</v>
      </c>
      <c r="Q1019" t="b">
        <v>1</v>
      </c>
      <c r="R1019" t="b">
        <v>0</v>
      </c>
      <c r="S1019" t="s">
        <v>1950</v>
      </c>
      <c r="T1019" t="s">
        <v>446</v>
      </c>
      <c r="U1019" t="s">
        <v>1951</v>
      </c>
      <c r="V1019" t="s">
        <v>1093</v>
      </c>
      <c r="W1019" t="s">
        <v>1952</v>
      </c>
      <c r="X1019" t="s">
        <v>2584</v>
      </c>
      <c r="Y1019" t="s">
        <v>2583</v>
      </c>
      <c r="Z1019" t="s">
        <v>446</v>
      </c>
      <c r="AA1019" t="s">
        <v>356</v>
      </c>
      <c r="AB1019" t="s">
        <v>446</v>
      </c>
      <c r="AC1019" t="b">
        <v>0</v>
      </c>
      <c r="AD1019" t="b">
        <v>1</v>
      </c>
    </row>
    <row r="1020" spans="1:30" x14ac:dyDescent="0.25">
      <c r="A1020" t="s">
        <v>42</v>
      </c>
      <c r="B1020" t="s">
        <v>1695</v>
      </c>
      <c r="C1020" t="s">
        <v>356</v>
      </c>
      <c r="D1020" t="s">
        <v>446</v>
      </c>
      <c r="E1020" t="s">
        <v>1051</v>
      </c>
      <c r="F1020">
        <v>2101</v>
      </c>
      <c r="G1020" t="s">
        <v>1945</v>
      </c>
      <c r="H1020" t="s">
        <v>2595</v>
      </c>
      <c r="I1020" t="s">
        <v>2583</v>
      </c>
      <c r="J1020" t="s">
        <v>1089</v>
      </c>
      <c r="K1020" t="s">
        <v>1055</v>
      </c>
      <c r="L1020" t="s">
        <v>1993</v>
      </c>
      <c r="M1020" t="s">
        <v>980</v>
      </c>
      <c r="N1020" t="s">
        <v>1056</v>
      </c>
      <c r="O1020" t="s">
        <v>446</v>
      </c>
      <c r="P1020" t="s">
        <v>1053</v>
      </c>
      <c r="Q1020" t="b">
        <v>1</v>
      </c>
      <c r="R1020" t="b">
        <v>0</v>
      </c>
      <c r="S1020" t="s">
        <v>1950</v>
      </c>
      <c r="T1020" t="s">
        <v>446</v>
      </c>
      <c r="U1020" t="s">
        <v>1951</v>
      </c>
      <c r="V1020" t="s">
        <v>1093</v>
      </c>
      <c r="W1020" t="s">
        <v>1952</v>
      </c>
      <c r="X1020" t="s">
        <v>2584</v>
      </c>
      <c r="Y1020" t="s">
        <v>2583</v>
      </c>
      <c r="Z1020" t="s">
        <v>446</v>
      </c>
      <c r="AA1020" t="s">
        <v>356</v>
      </c>
      <c r="AB1020" t="s">
        <v>446</v>
      </c>
      <c r="AC1020" t="b">
        <v>0</v>
      </c>
      <c r="AD1020" t="b">
        <v>1</v>
      </c>
    </row>
    <row r="1021" spans="1:30" x14ac:dyDescent="0.25">
      <c r="A1021" t="s">
        <v>42</v>
      </c>
      <c r="B1021" t="s">
        <v>1831</v>
      </c>
      <c r="C1021" t="s">
        <v>405</v>
      </c>
      <c r="D1021" t="s">
        <v>403</v>
      </c>
      <c r="E1021" t="s">
        <v>978</v>
      </c>
      <c r="F1021">
        <v>58</v>
      </c>
      <c r="G1021" t="s">
        <v>2019</v>
      </c>
      <c r="H1021" t="s">
        <v>2596</v>
      </c>
      <c r="I1021" t="s">
        <v>2597</v>
      </c>
      <c r="J1021" t="s">
        <v>1746</v>
      </c>
      <c r="K1021" t="s">
        <v>984</v>
      </c>
      <c r="L1021" t="s">
        <v>1948</v>
      </c>
      <c r="M1021" t="s">
        <v>980</v>
      </c>
      <c r="N1021" t="s">
        <v>985</v>
      </c>
      <c r="O1021" t="s">
        <v>1949</v>
      </c>
      <c r="P1021" t="s">
        <v>981</v>
      </c>
      <c r="Q1021" t="b">
        <v>1</v>
      </c>
      <c r="R1021" t="b">
        <v>0</v>
      </c>
      <c r="S1021" t="s">
        <v>1963</v>
      </c>
      <c r="T1021" t="s">
        <v>2598</v>
      </c>
      <c r="U1021" t="s">
        <v>2023</v>
      </c>
      <c r="V1021" t="s">
        <v>1964</v>
      </c>
      <c r="W1021" t="s">
        <v>2599</v>
      </c>
      <c r="X1021" t="s">
        <v>2600</v>
      </c>
      <c r="Y1021" t="s">
        <v>2597</v>
      </c>
      <c r="Z1021" t="s">
        <v>446</v>
      </c>
      <c r="AA1021" t="s">
        <v>405</v>
      </c>
      <c r="AB1021" t="s">
        <v>446</v>
      </c>
      <c r="AC1021" t="b">
        <v>0</v>
      </c>
      <c r="AD1021" t="b">
        <v>1</v>
      </c>
    </row>
    <row r="1022" spans="1:24" x14ac:dyDescent="0.25">
      <c r="A1022" t="s">
        <v>42</v>
      </c>
      <c r="B1022" t="s">
        <v>2601</v>
      </c>
      <c r="C1022" t="s">
        <v>405</v>
      </c>
      <c r="D1022" t="s">
        <v>403</v>
      </c>
      <c r="E1022" t="s">
        <v>986</v>
      </c>
      <c r="F1022">
        <v>38</v>
      </c>
      <c r="G1022" t="s">
        <v>1074</v>
      </c>
      <c r="H1022" t="s">
        <v>2602</v>
      </c>
      <c r="I1022" t="s">
        <v>446</v>
      </c>
      <c r="J1022" t="s">
        <v>1746</v>
      </c>
      <c r="K1022" t="s">
        <v>446</v>
      </c>
      <c r="L1022" t="s">
        <v>446</v>
      </c>
      <c r="M1022" t="s">
        <v>446</v>
      </c>
      <c r="N1022" t="s">
        <v>446</v>
      </c>
      <c r="O1022" t="s">
        <v>446</v>
      </c>
      <c r="P1022" t="s">
        <v>446</v>
      </c>
      <c r="Q1022" t="b">
        <v>0</v>
      </c>
      <c r="R1022" t="b">
        <v>1</v>
      </c>
      <c r="S1022" t="s">
        <v>1961</v>
      </c>
      <c r="T1022" t="s">
        <v>1962</v>
      </c>
      <c r="U1022" t="s">
        <v>1963</v>
      </c>
      <c r="V1022" t="s">
        <v>1964</v>
      </c>
      <c r="W1022" t="s">
        <v>1965</v>
      </c>
      <c r="X1022" t="s">
        <v>446</v>
      </c>
    </row>
    <row r="1023" spans="1:24" x14ac:dyDescent="0.25">
      <c r="A1023" t="s">
        <v>42</v>
      </c>
      <c r="B1023" t="s">
        <v>2603</v>
      </c>
      <c r="C1023" t="s">
        <v>405</v>
      </c>
      <c r="D1023" t="s">
        <v>403</v>
      </c>
      <c r="E1023" t="s">
        <v>992</v>
      </c>
      <c r="F1023">
        <v>17</v>
      </c>
      <c r="G1023" t="s">
        <v>1074</v>
      </c>
      <c r="H1023" t="s">
        <v>2602</v>
      </c>
      <c r="I1023" t="s">
        <v>446</v>
      </c>
      <c r="J1023" t="s">
        <v>1746</v>
      </c>
      <c r="K1023" t="s">
        <v>446</v>
      </c>
      <c r="L1023" t="s">
        <v>446</v>
      </c>
      <c r="M1023" t="s">
        <v>446</v>
      </c>
      <c r="N1023" t="s">
        <v>446</v>
      </c>
      <c r="O1023" t="s">
        <v>446</v>
      </c>
      <c r="P1023" t="s">
        <v>446</v>
      </c>
      <c r="Q1023" t="b">
        <v>0</v>
      </c>
      <c r="R1023" t="b">
        <v>1</v>
      </c>
      <c r="S1023" t="s">
        <v>1961</v>
      </c>
      <c r="T1023" t="s">
        <v>1962</v>
      </c>
      <c r="U1023" t="s">
        <v>1963</v>
      </c>
      <c r="V1023" t="s">
        <v>1964</v>
      </c>
      <c r="W1023" t="s">
        <v>1965</v>
      </c>
      <c r="X1023" t="s">
        <v>446</v>
      </c>
    </row>
    <row r="1024" spans="1:30" x14ac:dyDescent="0.25">
      <c r="A1024" t="s">
        <v>42</v>
      </c>
      <c r="B1024" t="s">
        <v>1833</v>
      </c>
      <c r="C1024" t="s">
        <v>405</v>
      </c>
      <c r="D1024" t="s">
        <v>403</v>
      </c>
      <c r="E1024" t="s">
        <v>998</v>
      </c>
      <c r="F1024">
        <v>77</v>
      </c>
      <c r="G1024" t="s">
        <v>2019</v>
      </c>
      <c r="H1024" t="s">
        <v>2604</v>
      </c>
      <c r="I1024" t="s">
        <v>2605</v>
      </c>
      <c r="J1024" t="s">
        <v>1746</v>
      </c>
      <c r="K1024" t="s">
        <v>1003</v>
      </c>
      <c r="L1024" t="s">
        <v>2031</v>
      </c>
      <c r="M1024" t="s">
        <v>1000</v>
      </c>
      <c r="N1024" t="s">
        <v>1004</v>
      </c>
      <c r="O1024" t="s">
        <v>1949</v>
      </c>
      <c r="P1024" t="s">
        <v>1001</v>
      </c>
      <c r="Q1024" t="b">
        <v>1</v>
      </c>
      <c r="R1024" t="b">
        <v>0</v>
      </c>
      <c r="S1024" t="s">
        <v>1963</v>
      </c>
      <c r="T1024" t="s">
        <v>2598</v>
      </c>
      <c r="U1024" t="s">
        <v>2023</v>
      </c>
      <c r="V1024" t="s">
        <v>1964</v>
      </c>
      <c r="W1024" t="s">
        <v>2599</v>
      </c>
      <c r="X1024" t="s">
        <v>446</v>
      </c>
      <c r="Y1024" t="s">
        <v>446</v>
      </c>
      <c r="Z1024" t="s">
        <v>446</v>
      </c>
      <c r="AA1024" t="s">
        <v>405</v>
      </c>
      <c r="AB1024" t="s">
        <v>446</v>
      </c>
      <c r="AC1024" t="b">
        <v>0</v>
      </c>
      <c r="AD1024" t="b">
        <v>1</v>
      </c>
    </row>
    <row r="1025" spans="1:30" x14ac:dyDescent="0.25">
      <c r="A1025" t="s">
        <v>42</v>
      </c>
      <c r="B1025" t="s">
        <v>1835</v>
      </c>
      <c r="C1025" t="s">
        <v>405</v>
      </c>
      <c r="D1025" t="s">
        <v>403</v>
      </c>
      <c r="E1025" t="s">
        <v>1006</v>
      </c>
      <c r="F1025">
        <v>68</v>
      </c>
      <c r="G1025" t="s">
        <v>2019</v>
      </c>
      <c r="H1025" t="s">
        <v>2606</v>
      </c>
      <c r="I1025" t="s">
        <v>2597</v>
      </c>
      <c r="J1025" t="s">
        <v>1746</v>
      </c>
      <c r="K1025" t="s">
        <v>1967</v>
      </c>
      <c r="L1025" t="s">
        <v>1968</v>
      </c>
      <c r="M1025" t="s">
        <v>980</v>
      </c>
      <c r="N1025" t="s">
        <v>1969</v>
      </c>
      <c r="O1025" t="s">
        <v>1970</v>
      </c>
      <c r="P1025" t="s">
        <v>1009</v>
      </c>
      <c r="Q1025" t="b">
        <v>1</v>
      </c>
      <c r="R1025" t="b">
        <v>0</v>
      </c>
      <c r="S1025" t="s">
        <v>1963</v>
      </c>
      <c r="T1025" t="s">
        <v>2598</v>
      </c>
      <c r="U1025" t="s">
        <v>2023</v>
      </c>
      <c r="V1025" t="s">
        <v>1964</v>
      </c>
      <c r="W1025" t="s">
        <v>2599</v>
      </c>
      <c r="X1025" t="s">
        <v>2600</v>
      </c>
      <c r="Y1025" t="s">
        <v>2597</v>
      </c>
      <c r="Z1025" t="s">
        <v>446</v>
      </c>
      <c r="AA1025" t="s">
        <v>405</v>
      </c>
      <c r="AB1025" t="s">
        <v>446</v>
      </c>
      <c r="AC1025" t="b">
        <v>0</v>
      </c>
      <c r="AD1025" t="b">
        <v>1</v>
      </c>
    </row>
    <row r="1026" spans="1:24" x14ac:dyDescent="0.25">
      <c r="A1026" t="s">
        <v>42</v>
      </c>
      <c r="B1026" t="s">
        <v>2607</v>
      </c>
      <c r="C1026" t="s">
        <v>405</v>
      </c>
      <c r="D1026" t="s">
        <v>403</v>
      </c>
      <c r="E1026" t="s">
        <v>1013</v>
      </c>
      <c r="F1026">
        <v>9</v>
      </c>
      <c r="G1026" t="s">
        <v>1074</v>
      </c>
      <c r="H1026" t="s">
        <v>2602</v>
      </c>
      <c r="I1026" t="s">
        <v>446</v>
      </c>
      <c r="J1026" t="s">
        <v>1746</v>
      </c>
      <c r="K1026" t="s">
        <v>446</v>
      </c>
      <c r="L1026" t="s">
        <v>446</v>
      </c>
      <c r="M1026" t="s">
        <v>446</v>
      </c>
      <c r="N1026" t="s">
        <v>446</v>
      </c>
      <c r="O1026" t="s">
        <v>446</v>
      </c>
      <c r="P1026" t="s">
        <v>446</v>
      </c>
      <c r="Q1026" t="b">
        <v>0</v>
      </c>
      <c r="R1026" t="b">
        <v>1</v>
      </c>
      <c r="S1026" t="s">
        <v>1961</v>
      </c>
      <c r="T1026" t="s">
        <v>1962</v>
      </c>
      <c r="U1026" t="s">
        <v>1963</v>
      </c>
      <c r="V1026" t="s">
        <v>1964</v>
      </c>
      <c r="W1026" t="s">
        <v>1965</v>
      </c>
      <c r="X1026" t="s">
        <v>446</v>
      </c>
    </row>
    <row r="1027" spans="1:30" x14ac:dyDescent="0.25">
      <c r="A1027" t="s">
        <v>42</v>
      </c>
      <c r="B1027" t="s">
        <v>1837</v>
      </c>
      <c r="C1027" t="s">
        <v>405</v>
      </c>
      <c r="D1027" t="s">
        <v>403</v>
      </c>
      <c r="E1027" t="s">
        <v>1018</v>
      </c>
      <c r="F1027">
        <v>67</v>
      </c>
      <c r="G1027" t="s">
        <v>2019</v>
      </c>
      <c r="H1027" t="s">
        <v>2608</v>
      </c>
      <c r="I1027" t="s">
        <v>2609</v>
      </c>
      <c r="J1027" t="s">
        <v>1746</v>
      </c>
      <c r="K1027" t="s">
        <v>1021</v>
      </c>
      <c r="L1027" t="s">
        <v>1975</v>
      </c>
      <c r="M1027" t="s">
        <v>980</v>
      </c>
      <c r="N1027" t="s">
        <v>1022</v>
      </c>
      <c r="O1027" t="s">
        <v>1970</v>
      </c>
      <c r="P1027" t="s">
        <v>1020</v>
      </c>
      <c r="Q1027" t="b">
        <v>1</v>
      </c>
      <c r="R1027" t="b">
        <v>0</v>
      </c>
      <c r="S1027" t="s">
        <v>1963</v>
      </c>
      <c r="T1027" t="s">
        <v>2598</v>
      </c>
      <c r="U1027" t="s">
        <v>2023</v>
      </c>
      <c r="V1027" t="s">
        <v>1964</v>
      </c>
      <c r="W1027" t="s">
        <v>2599</v>
      </c>
      <c r="X1027" t="s">
        <v>446</v>
      </c>
      <c r="Y1027" t="s">
        <v>446</v>
      </c>
      <c r="Z1027" t="s">
        <v>446</v>
      </c>
      <c r="AA1027" t="s">
        <v>405</v>
      </c>
      <c r="AB1027" t="s">
        <v>446</v>
      </c>
      <c r="AC1027" t="b">
        <v>0</v>
      </c>
      <c r="AD1027" t="b">
        <v>1</v>
      </c>
    </row>
    <row r="1028" spans="1:24" x14ac:dyDescent="0.25">
      <c r="A1028" t="s">
        <v>42</v>
      </c>
      <c r="B1028" t="s">
        <v>2610</v>
      </c>
      <c r="C1028" t="s">
        <v>405</v>
      </c>
      <c r="D1028" t="s">
        <v>403</v>
      </c>
      <c r="E1028" t="s">
        <v>1023</v>
      </c>
      <c r="F1028">
        <v>23</v>
      </c>
      <c r="G1028" t="s">
        <v>1074</v>
      </c>
      <c r="H1028" t="s">
        <v>2602</v>
      </c>
      <c r="I1028" t="s">
        <v>446</v>
      </c>
      <c r="J1028" t="s">
        <v>1746</v>
      </c>
      <c r="K1028" t="s">
        <v>446</v>
      </c>
      <c r="L1028" t="s">
        <v>446</v>
      </c>
      <c r="M1028" t="s">
        <v>446</v>
      </c>
      <c r="N1028" t="s">
        <v>446</v>
      </c>
      <c r="O1028" t="s">
        <v>446</v>
      </c>
      <c r="P1028" t="s">
        <v>446</v>
      </c>
      <c r="Q1028" t="b">
        <v>0</v>
      </c>
      <c r="R1028" t="b">
        <v>1</v>
      </c>
      <c r="S1028" t="s">
        <v>1961</v>
      </c>
      <c r="T1028" t="s">
        <v>1962</v>
      </c>
      <c r="U1028" t="s">
        <v>1963</v>
      </c>
      <c r="V1028" t="s">
        <v>1964</v>
      </c>
      <c r="W1028" t="s">
        <v>1965</v>
      </c>
      <c r="X1028" t="s">
        <v>446</v>
      </c>
    </row>
    <row r="1029" spans="1:30" x14ac:dyDescent="0.25">
      <c r="A1029" t="s">
        <v>42</v>
      </c>
      <c r="B1029" t="s">
        <v>1838</v>
      </c>
      <c r="C1029" t="s">
        <v>405</v>
      </c>
      <c r="D1029" t="s">
        <v>403</v>
      </c>
      <c r="E1029" t="s">
        <v>1029</v>
      </c>
      <c r="F1029">
        <v>63</v>
      </c>
      <c r="G1029" t="s">
        <v>2019</v>
      </c>
      <c r="H1029" t="s">
        <v>2611</v>
      </c>
      <c r="I1029" t="s">
        <v>2597</v>
      </c>
      <c r="J1029" t="s">
        <v>1746</v>
      </c>
      <c r="K1029" t="s">
        <v>1033</v>
      </c>
      <c r="L1029" t="s">
        <v>1982</v>
      </c>
      <c r="M1029" t="s">
        <v>980</v>
      </c>
      <c r="N1029" t="s">
        <v>1034</v>
      </c>
      <c r="O1029" t="s">
        <v>1983</v>
      </c>
      <c r="P1029" t="s">
        <v>1031</v>
      </c>
      <c r="Q1029" t="b">
        <v>1</v>
      </c>
      <c r="R1029" t="b">
        <v>0</v>
      </c>
      <c r="S1029" t="s">
        <v>1963</v>
      </c>
      <c r="T1029" t="s">
        <v>2598</v>
      </c>
      <c r="U1029" t="s">
        <v>2023</v>
      </c>
      <c r="V1029" t="s">
        <v>1964</v>
      </c>
      <c r="W1029" t="s">
        <v>2599</v>
      </c>
      <c r="X1029" t="s">
        <v>2600</v>
      </c>
      <c r="Y1029" t="s">
        <v>2597</v>
      </c>
      <c r="Z1029" t="s">
        <v>446</v>
      </c>
      <c r="AA1029" t="s">
        <v>405</v>
      </c>
      <c r="AB1029" t="s">
        <v>446</v>
      </c>
      <c r="AC1029" t="b">
        <v>0</v>
      </c>
      <c r="AD1029" t="b">
        <v>1</v>
      </c>
    </row>
    <row r="1030" spans="1:30" x14ac:dyDescent="0.25">
      <c r="A1030" t="s">
        <v>42</v>
      </c>
      <c r="B1030" t="s">
        <v>1840</v>
      </c>
      <c r="C1030" t="s">
        <v>405</v>
      </c>
      <c r="D1030" t="s">
        <v>403</v>
      </c>
      <c r="E1030" t="s">
        <v>1035</v>
      </c>
      <c r="F1030">
        <v>67</v>
      </c>
      <c r="G1030" t="s">
        <v>2019</v>
      </c>
      <c r="H1030" t="s">
        <v>2608</v>
      </c>
      <c r="I1030" t="s">
        <v>2612</v>
      </c>
      <c r="J1030" t="s">
        <v>1746</v>
      </c>
      <c r="K1030" t="s">
        <v>1038</v>
      </c>
      <c r="L1030" t="s">
        <v>1985</v>
      </c>
      <c r="M1030" t="s">
        <v>980</v>
      </c>
      <c r="N1030" t="s">
        <v>1039</v>
      </c>
      <c r="O1030" t="s">
        <v>1983</v>
      </c>
      <c r="P1030" t="s">
        <v>1037</v>
      </c>
      <c r="Q1030" t="b">
        <v>1</v>
      </c>
      <c r="R1030" t="b">
        <v>0</v>
      </c>
      <c r="S1030" t="s">
        <v>1963</v>
      </c>
      <c r="T1030" t="s">
        <v>2598</v>
      </c>
      <c r="U1030" t="s">
        <v>2023</v>
      </c>
      <c r="V1030" t="s">
        <v>1964</v>
      </c>
      <c r="W1030" t="s">
        <v>2599</v>
      </c>
      <c r="X1030" t="s">
        <v>446</v>
      </c>
      <c r="Y1030" t="s">
        <v>446</v>
      </c>
      <c r="Z1030" t="s">
        <v>446</v>
      </c>
      <c r="AA1030" t="s">
        <v>405</v>
      </c>
      <c r="AB1030" t="s">
        <v>446</v>
      </c>
      <c r="AC1030" t="b">
        <v>0</v>
      </c>
      <c r="AD1030" t="b">
        <v>1</v>
      </c>
    </row>
    <row r="1031" spans="1:30" x14ac:dyDescent="0.25">
      <c r="A1031" t="s">
        <v>42</v>
      </c>
      <c r="B1031" t="s">
        <v>1842</v>
      </c>
      <c r="C1031" t="s">
        <v>405</v>
      </c>
      <c r="D1031" t="s">
        <v>403</v>
      </c>
      <c r="E1031" t="s">
        <v>1040</v>
      </c>
      <c r="F1031">
        <v>74</v>
      </c>
      <c r="G1031" t="s">
        <v>2019</v>
      </c>
      <c r="H1031" t="s">
        <v>2613</v>
      </c>
      <c r="I1031" t="s">
        <v>2609</v>
      </c>
      <c r="J1031" t="s">
        <v>1746</v>
      </c>
      <c r="K1031" t="s">
        <v>1043</v>
      </c>
      <c r="L1031" t="s">
        <v>1988</v>
      </c>
      <c r="M1031" t="s">
        <v>980</v>
      </c>
      <c r="N1031" t="s">
        <v>1044</v>
      </c>
      <c r="O1031" t="s">
        <v>1983</v>
      </c>
      <c r="P1031" t="s">
        <v>1042</v>
      </c>
      <c r="Q1031" t="b">
        <v>1</v>
      </c>
      <c r="R1031" t="b">
        <v>0</v>
      </c>
      <c r="S1031" t="s">
        <v>1963</v>
      </c>
      <c r="T1031" t="s">
        <v>2598</v>
      </c>
      <c r="U1031" t="s">
        <v>2023</v>
      </c>
      <c r="V1031" t="s">
        <v>1964</v>
      </c>
      <c r="W1031" t="s">
        <v>2599</v>
      </c>
      <c r="X1031" t="s">
        <v>446</v>
      </c>
      <c r="Y1031" t="s">
        <v>446</v>
      </c>
      <c r="Z1031" t="s">
        <v>446</v>
      </c>
      <c r="AA1031" t="s">
        <v>405</v>
      </c>
      <c r="AB1031" t="s">
        <v>446</v>
      </c>
      <c r="AC1031" t="b">
        <v>0</v>
      </c>
      <c r="AD1031" t="b">
        <v>1</v>
      </c>
    </row>
    <row r="1032" spans="1:24" x14ac:dyDescent="0.25">
      <c r="A1032" t="s">
        <v>42</v>
      </c>
      <c r="B1032" t="s">
        <v>2614</v>
      </c>
      <c r="C1032" t="s">
        <v>405</v>
      </c>
      <c r="D1032" t="s">
        <v>403</v>
      </c>
      <c r="E1032" t="s">
        <v>1045</v>
      </c>
      <c r="F1032">
        <v>-9</v>
      </c>
      <c r="G1032" t="s">
        <v>1074</v>
      </c>
      <c r="H1032" t="s">
        <v>2602</v>
      </c>
      <c r="I1032" t="s">
        <v>446</v>
      </c>
      <c r="J1032" t="s">
        <v>1746</v>
      </c>
      <c r="K1032" t="s">
        <v>446</v>
      </c>
      <c r="L1032" t="s">
        <v>446</v>
      </c>
      <c r="M1032" t="s">
        <v>446</v>
      </c>
      <c r="N1032" t="s">
        <v>446</v>
      </c>
      <c r="O1032" t="s">
        <v>446</v>
      </c>
      <c r="P1032" t="s">
        <v>446</v>
      </c>
      <c r="Q1032" t="b">
        <v>0</v>
      </c>
      <c r="R1032" t="b">
        <v>1</v>
      </c>
      <c r="S1032" t="s">
        <v>1961</v>
      </c>
      <c r="T1032" t="s">
        <v>1962</v>
      </c>
      <c r="U1032" t="s">
        <v>1963</v>
      </c>
      <c r="V1032" t="s">
        <v>1964</v>
      </c>
      <c r="W1032" t="s">
        <v>1965</v>
      </c>
      <c r="X1032" t="s">
        <v>446</v>
      </c>
    </row>
    <row r="1033" spans="1:30" x14ac:dyDescent="0.25">
      <c r="A1033" t="s">
        <v>42</v>
      </c>
      <c r="B1033" t="s">
        <v>1844</v>
      </c>
      <c r="C1033" t="s">
        <v>405</v>
      </c>
      <c r="D1033" t="s">
        <v>403</v>
      </c>
      <c r="E1033" t="s">
        <v>1051</v>
      </c>
      <c r="F1033">
        <v>56</v>
      </c>
      <c r="G1033" t="s">
        <v>2019</v>
      </c>
      <c r="H1033" t="s">
        <v>2615</v>
      </c>
      <c r="I1033" t="s">
        <v>2597</v>
      </c>
      <c r="J1033" t="s">
        <v>1746</v>
      </c>
      <c r="K1033" t="s">
        <v>1055</v>
      </c>
      <c r="L1033" t="s">
        <v>1993</v>
      </c>
      <c r="M1033" t="s">
        <v>980</v>
      </c>
      <c r="N1033" t="s">
        <v>1056</v>
      </c>
      <c r="O1033" t="s">
        <v>1994</v>
      </c>
      <c r="P1033" t="s">
        <v>1053</v>
      </c>
      <c r="Q1033" t="b">
        <v>1</v>
      </c>
      <c r="R1033" t="b">
        <v>0</v>
      </c>
      <c r="S1033" t="s">
        <v>1963</v>
      </c>
      <c r="T1033" t="s">
        <v>2598</v>
      </c>
      <c r="U1033" t="s">
        <v>2023</v>
      </c>
      <c r="V1033" t="s">
        <v>1964</v>
      </c>
      <c r="W1033" t="s">
        <v>2599</v>
      </c>
      <c r="X1033" t="s">
        <v>2600</v>
      </c>
      <c r="Y1033" t="s">
        <v>2597</v>
      </c>
      <c r="Z1033" t="s">
        <v>446</v>
      </c>
      <c r="AA1033" t="s">
        <v>405</v>
      </c>
      <c r="AB1033" t="s">
        <v>446</v>
      </c>
      <c r="AC1033" t="b">
        <v>0</v>
      </c>
      <c r="AD1033" t="b">
        <v>1</v>
      </c>
    </row>
    <row r="1034" spans="1:24" x14ac:dyDescent="0.25">
      <c r="A1034" t="s">
        <v>42</v>
      </c>
      <c r="B1034" t="s">
        <v>2616</v>
      </c>
      <c r="C1034" t="s">
        <v>403</v>
      </c>
      <c r="D1034" t="s">
        <v>352</v>
      </c>
      <c r="E1034" t="s">
        <v>978</v>
      </c>
      <c r="F1034">
        <v>0</v>
      </c>
      <c r="G1034" t="s">
        <v>1074</v>
      </c>
      <c r="H1034" t="s">
        <v>446</v>
      </c>
      <c r="I1034" t="s">
        <v>446</v>
      </c>
      <c r="J1034" t="s">
        <v>1746</v>
      </c>
      <c r="K1034" t="s">
        <v>446</v>
      </c>
      <c r="L1034" t="s">
        <v>446</v>
      </c>
      <c r="M1034" t="s">
        <v>446</v>
      </c>
      <c r="N1034" t="s">
        <v>446</v>
      </c>
      <c r="O1034" t="s">
        <v>446</v>
      </c>
      <c r="P1034" t="s">
        <v>446</v>
      </c>
      <c r="Q1034" t="b">
        <v>0</v>
      </c>
      <c r="R1034" t="b">
        <v>1</v>
      </c>
      <c r="S1034" t="s">
        <v>1961</v>
      </c>
      <c r="T1034" t="s">
        <v>1962</v>
      </c>
      <c r="U1034" t="s">
        <v>1963</v>
      </c>
      <c r="V1034" t="s">
        <v>1964</v>
      </c>
      <c r="W1034" t="s">
        <v>1965</v>
      </c>
      <c r="X1034" t="s">
        <v>446</v>
      </c>
    </row>
    <row r="1035" spans="1:24" x14ac:dyDescent="0.25">
      <c r="A1035" t="s">
        <v>42</v>
      </c>
      <c r="B1035" t="s">
        <v>2617</v>
      </c>
      <c r="C1035" t="s">
        <v>403</v>
      </c>
      <c r="D1035" t="s">
        <v>352</v>
      </c>
      <c r="E1035" t="s">
        <v>986</v>
      </c>
      <c r="F1035">
        <v>5405</v>
      </c>
      <c r="G1035" t="s">
        <v>1074</v>
      </c>
      <c r="H1035" t="s">
        <v>446</v>
      </c>
      <c r="I1035" t="s">
        <v>446</v>
      </c>
      <c r="J1035" t="s">
        <v>1746</v>
      </c>
      <c r="K1035" t="s">
        <v>446</v>
      </c>
      <c r="L1035" t="s">
        <v>446</v>
      </c>
      <c r="M1035" t="s">
        <v>446</v>
      </c>
      <c r="N1035" t="s">
        <v>446</v>
      </c>
      <c r="O1035" t="s">
        <v>446</v>
      </c>
      <c r="P1035" t="s">
        <v>446</v>
      </c>
      <c r="Q1035" t="b">
        <v>0</v>
      </c>
      <c r="R1035" t="b">
        <v>1</v>
      </c>
      <c r="S1035" t="s">
        <v>1961</v>
      </c>
      <c r="T1035" t="s">
        <v>1962</v>
      </c>
      <c r="U1035" t="s">
        <v>1963</v>
      </c>
      <c r="V1035" t="s">
        <v>1964</v>
      </c>
      <c r="W1035" t="s">
        <v>1965</v>
      </c>
      <c r="X1035" t="s">
        <v>446</v>
      </c>
    </row>
    <row r="1036" spans="1:24" x14ac:dyDescent="0.25">
      <c r="A1036" t="s">
        <v>42</v>
      </c>
      <c r="B1036" t="s">
        <v>2618</v>
      </c>
      <c r="C1036" t="s">
        <v>403</v>
      </c>
      <c r="D1036" t="s">
        <v>352</v>
      </c>
      <c r="E1036" t="s">
        <v>992</v>
      </c>
      <c r="F1036">
        <v>5517</v>
      </c>
      <c r="G1036" t="s">
        <v>1074</v>
      </c>
      <c r="H1036" t="s">
        <v>446</v>
      </c>
      <c r="I1036" t="s">
        <v>446</v>
      </c>
      <c r="J1036" t="s">
        <v>1746</v>
      </c>
      <c r="K1036" t="s">
        <v>446</v>
      </c>
      <c r="L1036" t="s">
        <v>446</v>
      </c>
      <c r="M1036" t="s">
        <v>446</v>
      </c>
      <c r="N1036" t="s">
        <v>446</v>
      </c>
      <c r="O1036" t="s">
        <v>446</v>
      </c>
      <c r="P1036" t="s">
        <v>446</v>
      </c>
      <c r="Q1036" t="b">
        <v>0</v>
      </c>
      <c r="R1036" t="b">
        <v>1</v>
      </c>
      <c r="S1036" t="s">
        <v>1961</v>
      </c>
      <c r="T1036" t="s">
        <v>1962</v>
      </c>
      <c r="U1036" t="s">
        <v>1963</v>
      </c>
      <c r="V1036" t="s">
        <v>1964</v>
      </c>
      <c r="W1036" t="s">
        <v>1965</v>
      </c>
      <c r="X1036" t="s">
        <v>446</v>
      </c>
    </row>
    <row r="1037" spans="1:24" x14ac:dyDescent="0.25">
      <c r="A1037" t="s">
        <v>42</v>
      </c>
      <c r="B1037" t="s">
        <v>2619</v>
      </c>
      <c r="C1037" t="s">
        <v>403</v>
      </c>
      <c r="D1037" t="s">
        <v>352</v>
      </c>
      <c r="E1037" t="s">
        <v>998</v>
      </c>
      <c r="F1037">
        <v>5156</v>
      </c>
      <c r="G1037" t="s">
        <v>1074</v>
      </c>
      <c r="H1037" t="s">
        <v>446</v>
      </c>
      <c r="I1037" t="s">
        <v>446</v>
      </c>
      <c r="J1037" t="s">
        <v>1746</v>
      </c>
      <c r="K1037" t="s">
        <v>446</v>
      </c>
      <c r="L1037" t="s">
        <v>446</v>
      </c>
      <c r="M1037" t="s">
        <v>446</v>
      </c>
      <c r="N1037" t="s">
        <v>446</v>
      </c>
      <c r="O1037" t="s">
        <v>446</v>
      </c>
      <c r="P1037" t="s">
        <v>446</v>
      </c>
      <c r="Q1037" t="b">
        <v>0</v>
      </c>
      <c r="R1037" t="b">
        <v>1</v>
      </c>
      <c r="S1037" t="s">
        <v>1961</v>
      </c>
      <c r="T1037" t="s">
        <v>1962</v>
      </c>
      <c r="U1037" t="s">
        <v>1963</v>
      </c>
      <c r="V1037" t="s">
        <v>1964</v>
      </c>
      <c r="W1037" t="s">
        <v>1965</v>
      </c>
      <c r="X1037" t="s">
        <v>446</v>
      </c>
    </row>
    <row r="1038" spans="1:24" x14ac:dyDescent="0.25">
      <c r="A1038" t="s">
        <v>42</v>
      </c>
      <c r="B1038" t="s">
        <v>2620</v>
      </c>
      <c r="C1038" t="s">
        <v>403</v>
      </c>
      <c r="D1038" t="s">
        <v>352</v>
      </c>
      <c r="E1038" t="s">
        <v>1006</v>
      </c>
      <c r="F1038">
        <v>3452</v>
      </c>
      <c r="G1038" t="s">
        <v>1074</v>
      </c>
      <c r="H1038" t="s">
        <v>446</v>
      </c>
      <c r="I1038" t="s">
        <v>446</v>
      </c>
      <c r="J1038" t="s">
        <v>1746</v>
      </c>
      <c r="K1038" t="s">
        <v>446</v>
      </c>
      <c r="L1038" t="s">
        <v>446</v>
      </c>
      <c r="M1038" t="s">
        <v>446</v>
      </c>
      <c r="N1038" t="s">
        <v>446</v>
      </c>
      <c r="O1038" t="s">
        <v>446</v>
      </c>
      <c r="P1038" t="s">
        <v>446</v>
      </c>
      <c r="Q1038" t="b">
        <v>0</v>
      </c>
      <c r="R1038" t="b">
        <v>1</v>
      </c>
      <c r="S1038" t="s">
        <v>1961</v>
      </c>
      <c r="T1038" t="s">
        <v>1962</v>
      </c>
      <c r="U1038" t="s">
        <v>1963</v>
      </c>
      <c r="V1038" t="s">
        <v>1964</v>
      </c>
      <c r="W1038" t="s">
        <v>1965</v>
      </c>
      <c r="X1038" t="s">
        <v>446</v>
      </c>
    </row>
    <row r="1039" spans="1:24" x14ac:dyDescent="0.25">
      <c r="A1039" t="s">
        <v>42</v>
      </c>
      <c r="B1039" t="s">
        <v>2621</v>
      </c>
      <c r="C1039" t="s">
        <v>403</v>
      </c>
      <c r="D1039" t="s">
        <v>352</v>
      </c>
      <c r="E1039" t="s">
        <v>1013</v>
      </c>
      <c r="F1039">
        <v>3095</v>
      </c>
      <c r="G1039" t="s">
        <v>1074</v>
      </c>
      <c r="H1039" t="s">
        <v>446</v>
      </c>
      <c r="I1039" t="s">
        <v>446</v>
      </c>
      <c r="J1039" t="s">
        <v>1746</v>
      </c>
      <c r="K1039" t="s">
        <v>446</v>
      </c>
      <c r="L1039" t="s">
        <v>446</v>
      </c>
      <c r="M1039" t="s">
        <v>446</v>
      </c>
      <c r="N1039" t="s">
        <v>446</v>
      </c>
      <c r="O1039" t="s">
        <v>446</v>
      </c>
      <c r="P1039" t="s">
        <v>446</v>
      </c>
      <c r="Q1039" t="b">
        <v>0</v>
      </c>
      <c r="R1039" t="b">
        <v>1</v>
      </c>
      <c r="S1039" t="s">
        <v>1961</v>
      </c>
      <c r="T1039" t="s">
        <v>1962</v>
      </c>
      <c r="U1039" t="s">
        <v>1963</v>
      </c>
      <c r="V1039" t="s">
        <v>1964</v>
      </c>
      <c r="W1039" t="s">
        <v>1965</v>
      </c>
      <c r="X1039" t="s">
        <v>446</v>
      </c>
    </row>
    <row r="1040" spans="1:24" x14ac:dyDescent="0.25">
      <c r="A1040" t="s">
        <v>42</v>
      </c>
      <c r="B1040" t="s">
        <v>2622</v>
      </c>
      <c r="C1040" t="s">
        <v>403</v>
      </c>
      <c r="D1040" t="s">
        <v>352</v>
      </c>
      <c r="E1040" t="s">
        <v>1018</v>
      </c>
      <c r="F1040">
        <v>2439</v>
      </c>
      <c r="G1040" t="s">
        <v>1074</v>
      </c>
      <c r="H1040" t="s">
        <v>446</v>
      </c>
      <c r="I1040" t="s">
        <v>446</v>
      </c>
      <c r="J1040" t="s">
        <v>1746</v>
      </c>
      <c r="K1040" t="s">
        <v>446</v>
      </c>
      <c r="L1040" t="s">
        <v>446</v>
      </c>
      <c r="M1040" t="s">
        <v>446</v>
      </c>
      <c r="N1040" t="s">
        <v>446</v>
      </c>
      <c r="O1040" t="s">
        <v>446</v>
      </c>
      <c r="P1040" t="s">
        <v>446</v>
      </c>
      <c r="Q1040" t="b">
        <v>0</v>
      </c>
      <c r="R1040" t="b">
        <v>1</v>
      </c>
      <c r="S1040" t="s">
        <v>1961</v>
      </c>
      <c r="T1040" t="s">
        <v>1962</v>
      </c>
      <c r="U1040" t="s">
        <v>1963</v>
      </c>
      <c r="V1040" t="s">
        <v>1964</v>
      </c>
      <c r="W1040" t="s">
        <v>1965</v>
      </c>
      <c r="X1040" t="s">
        <v>446</v>
      </c>
    </row>
    <row r="1041" spans="1:24" x14ac:dyDescent="0.25">
      <c r="A1041" t="s">
        <v>42</v>
      </c>
      <c r="B1041" t="s">
        <v>2623</v>
      </c>
      <c r="C1041" t="s">
        <v>403</v>
      </c>
      <c r="D1041" t="s">
        <v>352</v>
      </c>
      <c r="E1041" t="s">
        <v>1023</v>
      </c>
      <c r="F1041">
        <v>2238</v>
      </c>
      <c r="G1041" t="s">
        <v>1074</v>
      </c>
      <c r="H1041" t="s">
        <v>446</v>
      </c>
      <c r="I1041" t="s">
        <v>446</v>
      </c>
      <c r="J1041" t="s">
        <v>1746</v>
      </c>
      <c r="K1041" t="s">
        <v>446</v>
      </c>
      <c r="L1041" t="s">
        <v>446</v>
      </c>
      <c r="M1041" t="s">
        <v>446</v>
      </c>
      <c r="N1041" t="s">
        <v>446</v>
      </c>
      <c r="O1041" t="s">
        <v>446</v>
      </c>
      <c r="P1041" t="s">
        <v>446</v>
      </c>
      <c r="Q1041" t="b">
        <v>0</v>
      </c>
      <c r="R1041" t="b">
        <v>1</v>
      </c>
      <c r="S1041" t="s">
        <v>1961</v>
      </c>
      <c r="T1041" t="s">
        <v>1962</v>
      </c>
      <c r="U1041" t="s">
        <v>1963</v>
      </c>
      <c r="V1041" t="s">
        <v>1964</v>
      </c>
      <c r="W1041" t="s">
        <v>1965</v>
      </c>
      <c r="X1041" t="s">
        <v>446</v>
      </c>
    </row>
    <row r="1042" spans="1:24" x14ac:dyDescent="0.25">
      <c r="A1042" t="s">
        <v>42</v>
      </c>
      <c r="B1042" t="s">
        <v>2624</v>
      </c>
      <c r="C1042" t="s">
        <v>403</v>
      </c>
      <c r="D1042" t="s">
        <v>352</v>
      </c>
      <c r="E1042" t="s">
        <v>1029</v>
      </c>
      <c r="F1042">
        <v>1727</v>
      </c>
      <c r="G1042" t="s">
        <v>1074</v>
      </c>
      <c r="H1042" t="s">
        <v>446</v>
      </c>
      <c r="I1042" t="s">
        <v>446</v>
      </c>
      <c r="J1042" t="s">
        <v>1746</v>
      </c>
      <c r="K1042" t="s">
        <v>446</v>
      </c>
      <c r="L1042" t="s">
        <v>446</v>
      </c>
      <c r="M1042" t="s">
        <v>446</v>
      </c>
      <c r="N1042" t="s">
        <v>446</v>
      </c>
      <c r="O1042" t="s">
        <v>446</v>
      </c>
      <c r="P1042" t="s">
        <v>446</v>
      </c>
      <c r="Q1042" t="b">
        <v>0</v>
      </c>
      <c r="R1042" t="b">
        <v>1</v>
      </c>
      <c r="S1042" t="s">
        <v>1961</v>
      </c>
      <c r="T1042" t="s">
        <v>1962</v>
      </c>
      <c r="U1042" t="s">
        <v>1963</v>
      </c>
      <c r="V1042" t="s">
        <v>1964</v>
      </c>
      <c r="W1042" t="s">
        <v>1965</v>
      </c>
      <c r="X1042" t="s">
        <v>446</v>
      </c>
    </row>
    <row r="1043" spans="1:24" x14ac:dyDescent="0.25">
      <c r="A1043" t="s">
        <v>42</v>
      </c>
      <c r="B1043" t="s">
        <v>2625</v>
      </c>
      <c r="C1043" t="s">
        <v>403</v>
      </c>
      <c r="D1043" t="s">
        <v>352</v>
      </c>
      <c r="E1043" t="s">
        <v>1035</v>
      </c>
      <c r="F1043">
        <v>1722</v>
      </c>
      <c r="G1043" t="s">
        <v>1074</v>
      </c>
      <c r="H1043" t="s">
        <v>446</v>
      </c>
      <c r="I1043" t="s">
        <v>446</v>
      </c>
      <c r="J1043" t="s">
        <v>1746</v>
      </c>
      <c r="K1043" t="s">
        <v>446</v>
      </c>
      <c r="L1043" t="s">
        <v>446</v>
      </c>
      <c r="M1043" t="s">
        <v>446</v>
      </c>
      <c r="N1043" t="s">
        <v>446</v>
      </c>
      <c r="O1043" t="s">
        <v>446</v>
      </c>
      <c r="P1043" t="s">
        <v>446</v>
      </c>
      <c r="Q1043" t="b">
        <v>0</v>
      </c>
      <c r="R1043" t="b">
        <v>1</v>
      </c>
      <c r="S1043" t="s">
        <v>1961</v>
      </c>
      <c r="T1043" t="s">
        <v>1962</v>
      </c>
      <c r="U1043" t="s">
        <v>1963</v>
      </c>
      <c r="V1043" t="s">
        <v>1964</v>
      </c>
      <c r="W1043" t="s">
        <v>1965</v>
      </c>
      <c r="X1043" t="s">
        <v>446</v>
      </c>
    </row>
    <row r="1044" spans="1:24" x14ac:dyDescent="0.25">
      <c r="A1044" t="s">
        <v>42</v>
      </c>
      <c r="B1044" t="s">
        <v>2626</v>
      </c>
      <c r="C1044" t="s">
        <v>403</v>
      </c>
      <c r="D1044" t="s">
        <v>352</v>
      </c>
      <c r="E1044" t="s">
        <v>1040</v>
      </c>
      <c r="F1044">
        <v>4134</v>
      </c>
      <c r="G1044" t="s">
        <v>1074</v>
      </c>
      <c r="H1044" t="s">
        <v>446</v>
      </c>
      <c r="I1044" t="s">
        <v>446</v>
      </c>
      <c r="J1044" t="s">
        <v>1746</v>
      </c>
      <c r="K1044" t="s">
        <v>446</v>
      </c>
      <c r="L1044" t="s">
        <v>446</v>
      </c>
      <c r="M1044" t="s">
        <v>446</v>
      </c>
      <c r="N1044" t="s">
        <v>446</v>
      </c>
      <c r="O1044" t="s">
        <v>446</v>
      </c>
      <c r="P1044" t="s">
        <v>446</v>
      </c>
      <c r="Q1044" t="b">
        <v>0</v>
      </c>
      <c r="R1044" t="b">
        <v>1</v>
      </c>
      <c r="S1044" t="s">
        <v>1961</v>
      </c>
      <c r="T1044" t="s">
        <v>1962</v>
      </c>
      <c r="U1044" t="s">
        <v>1963</v>
      </c>
      <c r="V1044" t="s">
        <v>1964</v>
      </c>
      <c r="W1044" t="s">
        <v>1965</v>
      </c>
      <c r="X1044" t="s">
        <v>446</v>
      </c>
    </row>
    <row r="1045" spans="1:24" x14ac:dyDescent="0.25">
      <c r="A1045" t="s">
        <v>42</v>
      </c>
      <c r="B1045" t="s">
        <v>2627</v>
      </c>
      <c r="C1045" t="s">
        <v>403</v>
      </c>
      <c r="D1045" t="s">
        <v>352</v>
      </c>
      <c r="E1045" t="s">
        <v>1045</v>
      </c>
      <c r="F1045">
        <v>3942</v>
      </c>
      <c r="G1045" t="s">
        <v>1074</v>
      </c>
      <c r="H1045" t="s">
        <v>446</v>
      </c>
      <c r="I1045" t="s">
        <v>446</v>
      </c>
      <c r="J1045" t="s">
        <v>1746</v>
      </c>
      <c r="K1045" t="s">
        <v>446</v>
      </c>
      <c r="L1045" t="s">
        <v>446</v>
      </c>
      <c r="M1045" t="s">
        <v>446</v>
      </c>
      <c r="N1045" t="s">
        <v>446</v>
      </c>
      <c r="O1045" t="s">
        <v>446</v>
      </c>
      <c r="P1045" t="s">
        <v>446</v>
      </c>
      <c r="Q1045" t="b">
        <v>0</v>
      </c>
      <c r="R1045" t="b">
        <v>1</v>
      </c>
      <c r="S1045" t="s">
        <v>1961</v>
      </c>
      <c r="T1045" t="s">
        <v>1962</v>
      </c>
      <c r="U1045" t="s">
        <v>1963</v>
      </c>
      <c r="V1045" t="s">
        <v>1964</v>
      </c>
      <c r="W1045" t="s">
        <v>1965</v>
      </c>
      <c r="X1045" t="s">
        <v>446</v>
      </c>
    </row>
    <row r="1046" spans="1:24" x14ac:dyDescent="0.25">
      <c r="A1046" t="s">
        <v>42</v>
      </c>
      <c r="B1046" t="s">
        <v>2628</v>
      </c>
      <c r="C1046" t="s">
        <v>403</v>
      </c>
      <c r="D1046" t="s">
        <v>352</v>
      </c>
      <c r="E1046" t="s">
        <v>1051</v>
      </c>
      <c r="F1046">
        <v>1117</v>
      </c>
      <c r="G1046" t="s">
        <v>1074</v>
      </c>
      <c r="H1046" t="s">
        <v>446</v>
      </c>
      <c r="I1046" t="s">
        <v>446</v>
      </c>
      <c r="J1046" t="s">
        <v>1746</v>
      </c>
      <c r="K1046" t="s">
        <v>446</v>
      </c>
      <c r="L1046" t="s">
        <v>446</v>
      </c>
      <c r="M1046" t="s">
        <v>446</v>
      </c>
      <c r="N1046" t="s">
        <v>446</v>
      </c>
      <c r="O1046" t="s">
        <v>446</v>
      </c>
      <c r="P1046" t="s">
        <v>446</v>
      </c>
      <c r="Q1046" t="b">
        <v>0</v>
      </c>
      <c r="R1046" t="b">
        <v>1</v>
      </c>
      <c r="S1046" t="s">
        <v>1961</v>
      </c>
      <c r="T1046" t="s">
        <v>1962</v>
      </c>
      <c r="U1046" t="s">
        <v>1963</v>
      </c>
      <c r="V1046" t="s">
        <v>1964</v>
      </c>
      <c r="W1046" t="s">
        <v>1965</v>
      </c>
      <c r="X1046" t="s">
        <v>446</v>
      </c>
    </row>
    <row r="1047" spans="1:30" x14ac:dyDescent="0.25">
      <c r="A1047" t="s">
        <v>42</v>
      </c>
      <c r="B1047" t="s">
        <v>1846</v>
      </c>
      <c r="C1047" t="s">
        <v>408</v>
      </c>
      <c r="D1047" t="s">
        <v>352</v>
      </c>
      <c r="E1047" t="s">
        <v>978</v>
      </c>
      <c r="F1047">
        <v>-101</v>
      </c>
      <c r="G1047" t="s">
        <v>1945</v>
      </c>
      <c r="H1047" t="s">
        <v>2629</v>
      </c>
      <c r="I1047" t="s">
        <v>2630</v>
      </c>
      <c r="J1047" t="s">
        <v>1746</v>
      </c>
      <c r="K1047" t="s">
        <v>984</v>
      </c>
      <c r="L1047" t="s">
        <v>1948</v>
      </c>
      <c r="M1047" t="s">
        <v>980</v>
      </c>
      <c r="N1047" t="s">
        <v>985</v>
      </c>
      <c r="O1047" t="s">
        <v>1949</v>
      </c>
      <c r="P1047" t="s">
        <v>981</v>
      </c>
      <c r="Q1047" t="b">
        <v>1</v>
      </c>
      <c r="R1047" t="b">
        <v>0</v>
      </c>
      <c r="S1047" t="s">
        <v>1950</v>
      </c>
      <c r="T1047" t="s">
        <v>446</v>
      </c>
      <c r="U1047" t="s">
        <v>2631</v>
      </c>
      <c r="V1047" t="s">
        <v>1093</v>
      </c>
      <c r="W1047" t="s">
        <v>1952</v>
      </c>
      <c r="X1047" t="s">
        <v>2632</v>
      </c>
      <c r="Y1047" t="s">
        <v>2630</v>
      </c>
      <c r="Z1047" t="s">
        <v>446</v>
      </c>
      <c r="AA1047" t="s">
        <v>408</v>
      </c>
      <c r="AB1047" t="s">
        <v>446</v>
      </c>
      <c r="AC1047" t="b">
        <v>0</v>
      </c>
      <c r="AD1047" t="b">
        <v>1</v>
      </c>
    </row>
    <row r="1048" spans="1:30" x14ac:dyDescent="0.25">
      <c r="A1048" t="s">
        <v>42</v>
      </c>
      <c r="B1048" t="s">
        <v>1848</v>
      </c>
      <c r="C1048" t="s">
        <v>408</v>
      </c>
      <c r="D1048" t="s">
        <v>352</v>
      </c>
      <c r="E1048" t="s">
        <v>986</v>
      </c>
      <c r="F1048">
        <v>-1988</v>
      </c>
      <c r="G1048" t="s">
        <v>2012</v>
      </c>
      <c r="H1048" t="s">
        <v>2633</v>
      </c>
      <c r="I1048" t="s">
        <v>2634</v>
      </c>
      <c r="J1048" t="s">
        <v>1746</v>
      </c>
      <c r="K1048" t="s">
        <v>990</v>
      </c>
      <c r="L1048" t="s">
        <v>1955</v>
      </c>
      <c r="M1048" t="s">
        <v>980</v>
      </c>
      <c r="N1048" t="s">
        <v>991</v>
      </c>
      <c r="O1048" t="s">
        <v>1949</v>
      </c>
      <c r="P1048" t="s">
        <v>988</v>
      </c>
      <c r="Q1048" t="b">
        <v>1</v>
      </c>
      <c r="R1048" t="b">
        <v>0</v>
      </c>
      <c r="S1048" t="s">
        <v>1950</v>
      </c>
      <c r="T1048" t="s">
        <v>446</v>
      </c>
      <c r="U1048" t="s">
        <v>2631</v>
      </c>
      <c r="V1048" t="s">
        <v>1980</v>
      </c>
      <c r="W1048" t="s">
        <v>1952</v>
      </c>
      <c r="X1048" t="s">
        <v>446</v>
      </c>
      <c r="Y1048" t="s">
        <v>446</v>
      </c>
      <c r="Z1048" t="s">
        <v>446</v>
      </c>
      <c r="AA1048" t="s">
        <v>408</v>
      </c>
      <c r="AB1048" t="s">
        <v>446</v>
      </c>
      <c r="AC1048" t="b">
        <v>0</v>
      </c>
      <c r="AD1048" t="b">
        <v>1</v>
      </c>
    </row>
    <row r="1049" spans="1:30" x14ac:dyDescent="0.25">
      <c r="A1049" t="s">
        <v>42</v>
      </c>
      <c r="B1049" t="s">
        <v>1850</v>
      </c>
      <c r="C1049" t="s">
        <v>408</v>
      </c>
      <c r="D1049" t="s">
        <v>352</v>
      </c>
      <c r="E1049" t="s">
        <v>992</v>
      </c>
      <c r="F1049">
        <v>-1989</v>
      </c>
      <c r="G1049" t="s">
        <v>2012</v>
      </c>
      <c r="H1049" t="s">
        <v>2635</v>
      </c>
      <c r="I1049" t="s">
        <v>2636</v>
      </c>
      <c r="J1049" t="s">
        <v>1746</v>
      </c>
      <c r="K1049" t="s">
        <v>996</v>
      </c>
      <c r="L1049" t="s">
        <v>1958</v>
      </c>
      <c r="M1049" t="s">
        <v>980</v>
      </c>
      <c r="N1049" t="s">
        <v>997</v>
      </c>
      <c r="O1049" t="s">
        <v>1949</v>
      </c>
      <c r="P1049" t="s">
        <v>994</v>
      </c>
      <c r="Q1049" t="b">
        <v>1</v>
      </c>
      <c r="R1049" t="b">
        <v>0</v>
      </c>
      <c r="S1049" t="s">
        <v>1950</v>
      </c>
      <c r="T1049" t="s">
        <v>446</v>
      </c>
      <c r="U1049" t="s">
        <v>2631</v>
      </c>
      <c r="V1049" t="s">
        <v>1980</v>
      </c>
      <c r="W1049" t="s">
        <v>1952</v>
      </c>
      <c r="X1049" t="s">
        <v>446</v>
      </c>
      <c r="Y1049" t="s">
        <v>446</v>
      </c>
      <c r="Z1049" t="s">
        <v>446</v>
      </c>
      <c r="AA1049" t="s">
        <v>408</v>
      </c>
      <c r="AB1049" t="s">
        <v>446</v>
      </c>
      <c r="AC1049" t="b">
        <v>0</v>
      </c>
      <c r="AD1049" t="b">
        <v>1</v>
      </c>
    </row>
    <row r="1050" spans="1:30" x14ac:dyDescent="0.25">
      <c r="A1050" t="s">
        <v>42</v>
      </c>
      <c r="B1050" t="s">
        <v>1851</v>
      </c>
      <c r="C1050" t="s">
        <v>408</v>
      </c>
      <c r="D1050" t="s">
        <v>352</v>
      </c>
      <c r="E1050" t="s">
        <v>998</v>
      </c>
      <c r="F1050">
        <v>-3874</v>
      </c>
      <c r="G1050" t="s">
        <v>2012</v>
      </c>
      <c r="H1050" t="s">
        <v>2637</v>
      </c>
      <c r="I1050" t="s">
        <v>2638</v>
      </c>
      <c r="J1050" t="s">
        <v>1746</v>
      </c>
      <c r="K1050" t="s">
        <v>1003</v>
      </c>
      <c r="L1050" t="s">
        <v>2031</v>
      </c>
      <c r="M1050" t="s">
        <v>1000</v>
      </c>
      <c r="N1050" t="s">
        <v>1004</v>
      </c>
      <c r="O1050" t="s">
        <v>1949</v>
      </c>
      <c r="P1050" t="s">
        <v>1001</v>
      </c>
      <c r="Q1050" t="b">
        <v>1</v>
      </c>
      <c r="R1050" t="b">
        <v>0</v>
      </c>
      <c r="S1050" t="s">
        <v>1950</v>
      </c>
      <c r="T1050" t="s">
        <v>446</v>
      </c>
      <c r="U1050" t="s">
        <v>2631</v>
      </c>
      <c r="V1050" t="s">
        <v>1980</v>
      </c>
      <c r="W1050" t="s">
        <v>1952</v>
      </c>
      <c r="X1050" t="s">
        <v>446</v>
      </c>
      <c r="Y1050" t="s">
        <v>446</v>
      </c>
      <c r="Z1050" t="s">
        <v>446</v>
      </c>
      <c r="AA1050" t="s">
        <v>408</v>
      </c>
      <c r="AB1050" t="s">
        <v>446</v>
      </c>
      <c r="AC1050" t="b">
        <v>0</v>
      </c>
      <c r="AD1050" t="b">
        <v>1</v>
      </c>
    </row>
    <row r="1051" spans="1:30" x14ac:dyDescent="0.25">
      <c r="A1051" t="s">
        <v>42</v>
      </c>
      <c r="B1051" t="s">
        <v>1853</v>
      </c>
      <c r="C1051" t="s">
        <v>408</v>
      </c>
      <c r="D1051" t="s">
        <v>352</v>
      </c>
      <c r="E1051" t="s">
        <v>1006</v>
      </c>
      <c r="F1051">
        <v>-99</v>
      </c>
      <c r="G1051" t="s">
        <v>1945</v>
      </c>
      <c r="H1051" t="s">
        <v>2639</v>
      </c>
      <c r="I1051" t="s">
        <v>2630</v>
      </c>
      <c r="J1051" t="s">
        <v>1746</v>
      </c>
      <c r="K1051" t="s">
        <v>1967</v>
      </c>
      <c r="L1051" t="s">
        <v>1968</v>
      </c>
      <c r="M1051" t="s">
        <v>980</v>
      </c>
      <c r="N1051" t="s">
        <v>1969</v>
      </c>
      <c r="O1051" t="s">
        <v>1970</v>
      </c>
      <c r="P1051" t="s">
        <v>1009</v>
      </c>
      <c r="Q1051" t="b">
        <v>1</v>
      </c>
      <c r="R1051" t="b">
        <v>0</v>
      </c>
      <c r="S1051" t="s">
        <v>1950</v>
      </c>
      <c r="T1051" t="s">
        <v>446</v>
      </c>
      <c r="U1051" t="s">
        <v>2631</v>
      </c>
      <c r="V1051" t="s">
        <v>1093</v>
      </c>
      <c r="W1051" t="s">
        <v>1952</v>
      </c>
      <c r="X1051" t="s">
        <v>2632</v>
      </c>
      <c r="Y1051" t="s">
        <v>2630</v>
      </c>
      <c r="Z1051" t="s">
        <v>446</v>
      </c>
      <c r="AA1051" t="s">
        <v>408</v>
      </c>
      <c r="AB1051" t="s">
        <v>446</v>
      </c>
      <c r="AC1051" t="b">
        <v>0</v>
      </c>
      <c r="AD1051" t="b">
        <v>1</v>
      </c>
    </row>
    <row r="1052" spans="1:30" x14ac:dyDescent="0.25">
      <c r="A1052" t="s">
        <v>42</v>
      </c>
      <c r="B1052" t="s">
        <v>1855</v>
      </c>
      <c r="C1052" t="s">
        <v>408</v>
      </c>
      <c r="D1052" t="s">
        <v>352</v>
      </c>
      <c r="E1052" t="s">
        <v>1013</v>
      </c>
      <c r="F1052">
        <v>-2085</v>
      </c>
      <c r="G1052" t="s">
        <v>2012</v>
      </c>
      <c r="H1052" t="s">
        <v>2640</v>
      </c>
      <c r="I1052" t="s">
        <v>2634</v>
      </c>
      <c r="J1052" t="s">
        <v>1746</v>
      </c>
      <c r="K1052" t="s">
        <v>1016</v>
      </c>
      <c r="L1052" t="s">
        <v>1972</v>
      </c>
      <c r="M1052" t="s">
        <v>980</v>
      </c>
      <c r="N1052" t="s">
        <v>1017</v>
      </c>
      <c r="O1052" t="s">
        <v>1970</v>
      </c>
      <c r="P1052" t="s">
        <v>1015</v>
      </c>
      <c r="Q1052" t="b">
        <v>1</v>
      </c>
      <c r="R1052" t="b">
        <v>0</v>
      </c>
      <c r="S1052" t="s">
        <v>1950</v>
      </c>
      <c r="T1052" t="s">
        <v>446</v>
      </c>
      <c r="U1052" t="s">
        <v>2631</v>
      </c>
      <c r="V1052" t="s">
        <v>1980</v>
      </c>
      <c r="W1052" t="s">
        <v>1952</v>
      </c>
      <c r="X1052" t="s">
        <v>446</v>
      </c>
      <c r="Y1052" t="s">
        <v>446</v>
      </c>
      <c r="Z1052" t="s">
        <v>446</v>
      </c>
      <c r="AA1052" t="s">
        <v>408</v>
      </c>
      <c r="AB1052" t="s">
        <v>446</v>
      </c>
      <c r="AC1052" t="b">
        <v>0</v>
      </c>
      <c r="AD1052" t="b">
        <v>1</v>
      </c>
    </row>
    <row r="1053" spans="1:30" x14ac:dyDescent="0.25">
      <c r="A1053" t="s">
        <v>42</v>
      </c>
      <c r="B1053" t="s">
        <v>1857</v>
      </c>
      <c r="C1053" t="s">
        <v>408</v>
      </c>
      <c r="D1053" t="s">
        <v>352</v>
      </c>
      <c r="E1053" t="s">
        <v>1018</v>
      </c>
      <c r="F1053">
        <v>-2090</v>
      </c>
      <c r="G1053" t="s">
        <v>2012</v>
      </c>
      <c r="H1053" t="s">
        <v>2641</v>
      </c>
      <c r="I1053" t="s">
        <v>2636</v>
      </c>
      <c r="J1053" t="s">
        <v>1746</v>
      </c>
      <c r="K1053" t="s">
        <v>1021</v>
      </c>
      <c r="L1053" t="s">
        <v>1975</v>
      </c>
      <c r="M1053" t="s">
        <v>980</v>
      </c>
      <c r="N1053" t="s">
        <v>1022</v>
      </c>
      <c r="O1053" t="s">
        <v>1970</v>
      </c>
      <c r="P1053" t="s">
        <v>1020</v>
      </c>
      <c r="Q1053" t="b">
        <v>1</v>
      </c>
      <c r="R1053" t="b">
        <v>0</v>
      </c>
      <c r="S1053" t="s">
        <v>1950</v>
      </c>
      <c r="T1053" t="s">
        <v>446</v>
      </c>
      <c r="U1053" t="s">
        <v>2631</v>
      </c>
      <c r="V1053" t="s">
        <v>1980</v>
      </c>
      <c r="W1053" t="s">
        <v>1952</v>
      </c>
      <c r="X1053" t="s">
        <v>446</v>
      </c>
      <c r="Y1053" t="s">
        <v>446</v>
      </c>
      <c r="Z1053" t="s">
        <v>446</v>
      </c>
      <c r="AA1053" t="s">
        <v>408</v>
      </c>
      <c r="AB1053" t="s">
        <v>446</v>
      </c>
      <c r="AC1053" t="b">
        <v>0</v>
      </c>
      <c r="AD1053" t="b">
        <v>1</v>
      </c>
    </row>
    <row r="1054" spans="1:30" x14ac:dyDescent="0.25">
      <c r="A1054" t="s">
        <v>42</v>
      </c>
      <c r="B1054" t="s">
        <v>1859</v>
      </c>
      <c r="C1054" t="s">
        <v>408</v>
      </c>
      <c r="D1054" t="s">
        <v>352</v>
      </c>
      <c r="E1054" t="s">
        <v>1023</v>
      </c>
      <c r="F1054">
        <v>-4085</v>
      </c>
      <c r="G1054" t="s">
        <v>2012</v>
      </c>
      <c r="H1054" t="s">
        <v>2642</v>
      </c>
      <c r="I1054" t="s">
        <v>2638</v>
      </c>
      <c r="J1054" t="s">
        <v>1746</v>
      </c>
      <c r="K1054" t="s">
        <v>1026</v>
      </c>
      <c r="L1054" t="s">
        <v>1979</v>
      </c>
      <c r="M1054" t="s">
        <v>1000</v>
      </c>
      <c r="N1054" t="s">
        <v>1027</v>
      </c>
      <c r="O1054" t="s">
        <v>1970</v>
      </c>
      <c r="P1054" t="s">
        <v>1025</v>
      </c>
      <c r="Q1054" t="b">
        <v>1</v>
      </c>
      <c r="R1054" t="b">
        <v>0</v>
      </c>
      <c r="S1054" t="s">
        <v>1950</v>
      </c>
      <c r="T1054" t="s">
        <v>446</v>
      </c>
      <c r="U1054" t="s">
        <v>2631</v>
      </c>
      <c r="V1054" t="s">
        <v>1980</v>
      </c>
      <c r="W1054" t="s">
        <v>1952</v>
      </c>
      <c r="X1054" t="s">
        <v>446</v>
      </c>
      <c r="Y1054" t="s">
        <v>446</v>
      </c>
      <c r="Z1054" t="s">
        <v>446</v>
      </c>
      <c r="AA1054" t="s">
        <v>408</v>
      </c>
      <c r="AB1054" t="s">
        <v>446</v>
      </c>
      <c r="AC1054" t="b">
        <v>0</v>
      </c>
      <c r="AD1054" t="b">
        <v>1</v>
      </c>
    </row>
    <row r="1055" spans="1:30" x14ac:dyDescent="0.25">
      <c r="A1055" t="s">
        <v>42</v>
      </c>
      <c r="B1055" t="s">
        <v>1861</v>
      </c>
      <c r="C1055" t="s">
        <v>408</v>
      </c>
      <c r="D1055" t="s">
        <v>352</v>
      </c>
      <c r="E1055" t="s">
        <v>1029</v>
      </c>
      <c r="F1055">
        <v>-89</v>
      </c>
      <c r="G1055" t="s">
        <v>1945</v>
      </c>
      <c r="H1055" t="s">
        <v>2643</v>
      </c>
      <c r="I1055" t="s">
        <v>2630</v>
      </c>
      <c r="J1055" t="s">
        <v>1746</v>
      </c>
      <c r="K1055" t="s">
        <v>1033</v>
      </c>
      <c r="L1055" t="s">
        <v>1982</v>
      </c>
      <c r="M1055" t="s">
        <v>980</v>
      </c>
      <c r="N1055" t="s">
        <v>1034</v>
      </c>
      <c r="O1055" t="s">
        <v>1983</v>
      </c>
      <c r="P1055" t="s">
        <v>1031</v>
      </c>
      <c r="Q1055" t="b">
        <v>1</v>
      </c>
      <c r="R1055" t="b">
        <v>0</v>
      </c>
      <c r="S1055" t="s">
        <v>1950</v>
      </c>
      <c r="T1055" t="s">
        <v>446</v>
      </c>
      <c r="U1055" t="s">
        <v>2631</v>
      </c>
      <c r="V1055" t="s">
        <v>1093</v>
      </c>
      <c r="W1055" t="s">
        <v>1952</v>
      </c>
      <c r="X1055" t="s">
        <v>2632</v>
      </c>
      <c r="Y1055" t="s">
        <v>2630</v>
      </c>
      <c r="Z1055" t="s">
        <v>446</v>
      </c>
      <c r="AA1055" t="s">
        <v>408</v>
      </c>
      <c r="AB1055" t="s">
        <v>446</v>
      </c>
      <c r="AC1055" t="b">
        <v>0</v>
      </c>
      <c r="AD1055" t="b">
        <v>1</v>
      </c>
    </row>
    <row r="1056" spans="1:30" x14ac:dyDescent="0.25">
      <c r="A1056" t="s">
        <v>42</v>
      </c>
      <c r="B1056" t="s">
        <v>1863</v>
      </c>
      <c r="C1056" t="s">
        <v>408</v>
      </c>
      <c r="D1056" t="s">
        <v>352</v>
      </c>
      <c r="E1056" t="s">
        <v>1035</v>
      </c>
      <c r="F1056">
        <v>-2194</v>
      </c>
      <c r="G1056" t="s">
        <v>2012</v>
      </c>
      <c r="H1056" t="s">
        <v>2644</v>
      </c>
      <c r="I1056" t="s">
        <v>2634</v>
      </c>
      <c r="J1056" t="s">
        <v>1746</v>
      </c>
      <c r="K1056" t="s">
        <v>1038</v>
      </c>
      <c r="L1056" t="s">
        <v>1985</v>
      </c>
      <c r="M1056" t="s">
        <v>980</v>
      </c>
      <c r="N1056" t="s">
        <v>1039</v>
      </c>
      <c r="O1056" t="s">
        <v>1983</v>
      </c>
      <c r="P1056" t="s">
        <v>1037</v>
      </c>
      <c r="Q1056" t="b">
        <v>1</v>
      </c>
      <c r="R1056" t="b">
        <v>0</v>
      </c>
      <c r="S1056" t="s">
        <v>1950</v>
      </c>
      <c r="T1056" t="s">
        <v>446</v>
      </c>
      <c r="U1056" t="s">
        <v>2631</v>
      </c>
      <c r="V1056" t="s">
        <v>1980</v>
      </c>
      <c r="W1056" t="s">
        <v>1952</v>
      </c>
      <c r="X1056" t="s">
        <v>446</v>
      </c>
      <c r="Y1056" t="s">
        <v>446</v>
      </c>
      <c r="Z1056" t="s">
        <v>446</v>
      </c>
      <c r="AA1056" t="s">
        <v>408</v>
      </c>
      <c r="AB1056" t="s">
        <v>446</v>
      </c>
      <c r="AC1056" t="b">
        <v>0</v>
      </c>
      <c r="AD1056" t="b">
        <v>1</v>
      </c>
    </row>
    <row r="1057" spans="1:30" x14ac:dyDescent="0.25">
      <c r="A1057" t="s">
        <v>42</v>
      </c>
      <c r="B1057" t="s">
        <v>1865</v>
      </c>
      <c r="C1057" t="s">
        <v>408</v>
      </c>
      <c r="D1057" t="s">
        <v>352</v>
      </c>
      <c r="E1057" t="s">
        <v>1040</v>
      </c>
      <c r="F1057">
        <v>-2108</v>
      </c>
      <c r="G1057" t="s">
        <v>2012</v>
      </c>
      <c r="H1057" t="s">
        <v>2645</v>
      </c>
      <c r="I1057" t="s">
        <v>2636</v>
      </c>
      <c r="J1057" t="s">
        <v>1746</v>
      </c>
      <c r="K1057" t="s">
        <v>1043</v>
      </c>
      <c r="L1057" t="s">
        <v>1988</v>
      </c>
      <c r="M1057" t="s">
        <v>980</v>
      </c>
      <c r="N1057" t="s">
        <v>1044</v>
      </c>
      <c r="O1057" t="s">
        <v>1983</v>
      </c>
      <c r="P1057" t="s">
        <v>1042</v>
      </c>
      <c r="Q1057" t="b">
        <v>1</v>
      </c>
      <c r="R1057" t="b">
        <v>0</v>
      </c>
      <c r="S1057" t="s">
        <v>1950</v>
      </c>
      <c r="T1057" t="s">
        <v>446</v>
      </c>
      <c r="U1057" t="s">
        <v>2631</v>
      </c>
      <c r="V1057" t="s">
        <v>1980</v>
      </c>
      <c r="W1057" t="s">
        <v>1952</v>
      </c>
      <c r="X1057" t="s">
        <v>446</v>
      </c>
      <c r="Y1057" t="s">
        <v>446</v>
      </c>
      <c r="Z1057" t="s">
        <v>446</v>
      </c>
      <c r="AA1057" t="s">
        <v>408</v>
      </c>
      <c r="AB1057" t="s">
        <v>446</v>
      </c>
      <c r="AC1057" t="b">
        <v>0</v>
      </c>
      <c r="AD1057" t="b">
        <v>1</v>
      </c>
    </row>
    <row r="1058" spans="1:30" x14ac:dyDescent="0.25">
      <c r="A1058" t="s">
        <v>42</v>
      </c>
      <c r="B1058" t="s">
        <v>1866</v>
      </c>
      <c r="C1058" t="s">
        <v>408</v>
      </c>
      <c r="D1058" t="s">
        <v>352</v>
      </c>
      <c r="E1058" t="s">
        <v>1045</v>
      </c>
      <c r="F1058">
        <v>-4388</v>
      </c>
      <c r="G1058" t="s">
        <v>2012</v>
      </c>
      <c r="H1058" t="s">
        <v>2646</v>
      </c>
      <c r="I1058" t="s">
        <v>2638</v>
      </c>
      <c r="J1058" t="s">
        <v>1746</v>
      </c>
      <c r="K1058" t="s">
        <v>1048</v>
      </c>
      <c r="L1058" t="s">
        <v>1991</v>
      </c>
      <c r="M1058" t="s">
        <v>1000</v>
      </c>
      <c r="N1058" t="s">
        <v>1049</v>
      </c>
      <c r="O1058" t="s">
        <v>1983</v>
      </c>
      <c r="P1058" t="s">
        <v>1047</v>
      </c>
      <c r="Q1058" t="b">
        <v>1</v>
      </c>
      <c r="R1058" t="b">
        <v>0</v>
      </c>
      <c r="S1058" t="s">
        <v>1950</v>
      </c>
      <c r="T1058" t="s">
        <v>446</v>
      </c>
      <c r="U1058" t="s">
        <v>2631</v>
      </c>
      <c r="V1058" t="s">
        <v>1980</v>
      </c>
      <c r="W1058" t="s">
        <v>1952</v>
      </c>
      <c r="X1058" t="s">
        <v>446</v>
      </c>
      <c r="Y1058" t="s">
        <v>446</v>
      </c>
      <c r="Z1058" t="s">
        <v>446</v>
      </c>
      <c r="AA1058" t="s">
        <v>408</v>
      </c>
      <c r="AB1058" t="s">
        <v>446</v>
      </c>
      <c r="AC1058" t="b">
        <v>0</v>
      </c>
      <c r="AD1058" t="b">
        <v>1</v>
      </c>
    </row>
    <row r="1059" spans="1:30" x14ac:dyDescent="0.25">
      <c r="A1059" t="s">
        <v>42</v>
      </c>
      <c r="B1059" t="s">
        <v>1868</v>
      </c>
      <c r="C1059" t="s">
        <v>408</v>
      </c>
      <c r="D1059" t="s">
        <v>352</v>
      </c>
      <c r="E1059" t="s">
        <v>1051</v>
      </c>
      <c r="F1059">
        <v>-2281</v>
      </c>
      <c r="G1059" t="s">
        <v>1945</v>
      </c>
      <c r="H1059" t="s">
        <v>2647</v>
      </c>
      <c r="I1059" t="s">
        <v>2630</v>
      </c>
      <c r="J1059" t="s">
        <v>1746</v>
      </c>
      <c r="K1059" t="s">
        <v>1055</v>
      </c>
      <c r="L1059" t="s">
        <v>1993</v>
      </c>
      <c r="M1059" t="s">
        <v>980</v>
      </c>
      <c r="N1059" t="s">
        <v>1056</v>
      </c>
      <c r="O1059" t="s">
        <v>1994</v>
      </c>
      <c r="P1059" t="s">
        <v>1053</v>
      </c>
      <c r="Q1059" t="b">
        <v>1</v>
      </c>
      <c r="R1059" t="b">
        <v>0</v>
      </c>
      <c r="S1059" t="s">
        <v>1950</v>
      </c>
      <c r="T1059" t="s">
        <v>446</v>
      </c>
      <c r="U1059" t="s">
        <v>2631</v>
      </c>
      <c r="V1059" t="s">
        <v>1093</v>
      </c>
      <c r="W1059" t="s">
        <v>1952</v>
      </c>
      <c r="X1059" t="s">
        <v>2632</v>
      </c>
      <c r="Y1059" t="s">
        <v>2630</v>
      </c>
      <c r="Z1059" t="s">
        <v>446</v>
      </c>
      <c r="AA1059" t="s">
        <v>408</v>
      </c>
      <c r="AB1059" t="s">
        <v>446</v>
      </c>
      <c r="AC1059" t="b">
        <v>0</v>
      </c>
      <c r="AD1059" t="b">
        <v>1</v>
      </c>
    </row>
    <row r="1060" spans="1:24" x14ac:dyDescent="0.25">
      <c r="A1060" t="s">
        <v>42</v>
      </c>
      <c r="B1060" t="s">
        <v>2648</v>
      </c>
      <c r="C1060" t="s">
        <v>403</v>
      </c>
      <c r="D1060" t="s">
        <v>410</v>
      </c>
      <c r="E1060" t="s">
        <v>978</v>
      </c>
      <c r="F1060">
        <v>0</v>
      </c>
      <c r="G1060" t="s">
        <v>1074</v>
      </c>
      <c r="H1060" t="s">
        <v>446</v>
      </c>
      <c r="I1060" t="s">
        <v>446</v>
      </c>
      <c r="J1060" t="s">
        <v>1746</v>
      </c>
      <c r="K1060" t="s">
        <v>446</v>
      </c>
      <c r="L1060" t="s">
        <v>446</v>
      </c>
      <c r="M1060" t="s">
        <v>446</v>
      </c>
      <c r="N1060" t="s">
        <v>446</v>
      </c>
      <c r="O1060" t="s">
        <v>446</v>
      </c>
      <c r="P1060" t="s">
        <v>446</v>
      </c>
      <c r="Q1060" t="b">
        <v>0</v>
      </c>
      <c r="R1060" t="b">
        <v>1</v>
      </c>
      <c r="S1060" t="s">
        <v>1961</v>
      </c>
      <c r="T1060" t="s">
        <v>1962</v>
      </c>
      <c r="U1060" t="s">
        <v>1963</v>
      </c>
      <c r="V1060" t="s">
        <v>1964</v>
      </c>
      <c r="W1060" t="s">
        <v>1965</v>
      </c>
      <c r="X1060" t="s">
        <v>446</v>
      </c>
    </row>
    <row r="1061" spans="1:24" x14ac:dyDescent="0.25">
      <c r="A1061" t="s">
        <v>42</v>
      </c>
      <c r="B1061" t="s">
        <v>2649</v>
      </c>
      <c r="C1061" t="s">
        <v>403</v>
      </c>
      <c r="D1061" t="s">
        <v>410</v>
      </c>
      <c r="E1061" t="s">
        <v>986</v>
      </c>
      <c r="F1061">
        <v>-71</v>
      </c>
      <c r="G1061" t="s">
        <v>1074</v>
      </c>
      <c r="H1061" t="s">
        <v>446</v>
      </c>
      <c r="I1061" t="s">
        <v>446</v>
      </c>
      <c r="J1061" t="s">
        <v>1746</v>
      </c>
      <c r="K1061" t="s">
        <v>446</v>
      </c>
      <c r="L1061" t="s">
        <v>446</v>
      </c>
      <c r="M1061" t="s">
        <v>446</v>
      </c>
      <c r="N1061" t="s">
        <v>446</v>
      </c>
      <c r="O1061" t="s">
        <v>446</v>
      </c>
      <c r="P1061" t="s">
        <v>446</v>
      </c>
      <c r="Q1061" t="b">
        <v>0</v>
      </c>
      <c r="R1061" t="b">
        <v>1</v>
      </c>
      <c r="S1061" t="s">
        <v>1961</v>
      </c>
      <c r="T1061" t="s">
        <v>1962</v>
      </c>
      <c r="U1061" t="s">
        <v>1963</v>
      </c>
      <c r="V1061" t="s">
        <v>1964</v>
      </c>
      <c r="W1061" t="s">
        <v>1965</v>
      </c>
      <c r="X1061" t="s">
        <v>446</v>
      </c>
    </row>
    <row r="1062" spans="1:24" x14ac:dyDescent="0.25">
      <c r="A1062" t="s">
        <v>42</v>
      </c>
      <c r="B1062" t="s">
        <v>2650</v>
      </c>
      <c r="C1062" t="s">
        <v>403</v>
      </c>
      <c r="D1062" t="s">
        <v>410</v>
      </c>
      <c r="E1062" t="s">
        <v>992</v>
      </c>
      <c r="F1062">
        <v>-142</v>
      </c>
      <c r="G1062" t="s">
        <v>1074</v>
      </c>
      <c r="H1062" t="s">
        <v>446</v>
      </c>
      <c r="I1062" t="s">
        <v>446</v>
      </c>
      <c r="J1062" t="s">
        <v>1746</v>
      </c>
      <c r="K1062" t="s">
        <v>446</v>
      </c>
      <c r="L1062" t="s">
        <v>446</v>
      </c>
      <c r="M1062" t="s">
        <v>446</v>
      </c>
      <c r="N1062" t="s">
        <v>446</v>
      </c>
      <c r="O1062" t="s">
        <v>446</v>
      </c>
      <c r="P1062" t="s">
        <v>446</v>
      </c>
      <c r="Q1062" t="b">
        <v>0</v>
      </c>
      <c r="R1062" t="b">
        <v>1</v>
      </c>
      <c r="S1062" t="s">
        <v>1961</v>
      </c>
      <c r="T1062" t="s">
        <v>1962</v>
      </c>
      <c r="U1062" t="s">
        <v>1963</v>
      </c>
      <c r="V1062" t="s">
        <v>1964</v>
      </c>
      <c r="W1062" t="s">
        <v>1965</v>
      </c>
      <c r="X1062" t="s">
        <v>446</v>
      </c>
    </row>
    <row r="1063" spans="1:24" x14ac:dyDescent="0.25">
      <c r="A1063" t="s">
        <v>42</v>
      </c>
      <c r="B1063" t="s">
        <v>2651</v>
      </c>
      <c r="C1063" t="s">
        <v>403</v>
      </c>
      <c r="D1063" t="s">
        <v>410</v>
      </c>
      <c r="E1063" t="s">
        <v>998</v>
      </c>
      <c r="F1063">
        <v>-165</v>
      </c>
      <c r="G1063" t="s">
        <v>1074</v>
      </c>
      <c r="H1063" t="s">
        <v>446</v>
      </c>
      <c r="I1063" t="s">
        <v>446</v>
      </c>
      <c r="J1063" t="s">
        <v>1746</v>
      </c>
      <c r="K1063" t="s">
        <v>446</v>
      </c>
      <c r="L1063" t="s">
        <v>446</v>
      </c>
      <c r="M1063" t="s">
        <v>446</v>
      </c>
      <c r="N1063" t="s">
        <v>446</v>
      </c>
      <c r="O1063" t="s">
        <v>446</v>
      </c>
      <c r="P1063" t="s">
        <v>446</v>
      </c>
      <c r="Q1063" t="b">
        <v>0</v>
      </c>
      <c r="R1063" t="b">
        <v>1</v>
      </c>
      <c r="S1063" t="s">
        <v>1961</v>
      </c>
      <c r="T1063" t="s">
        <v>1962</v>
      </c>
      <c r="U1063" t="s">
        <v>1963</v>
      </c>
      <c r="V1063" t="s">
        <v>1964</v>
      </c>
      <c r="W1063" t="s">
        <v>1965</v>
      </c>
      <c r="X1063" t="s">
        <v>446</v>
      </c>
    </row>
    <row r="1064" spans="1:24" x14ac:dyDescent="0.25">
      <c r="A1064" t="s">
        <v>42</v>
      </c>
      <c r="B1064" t="s">
        <v>2652</v>
      </c>
      <c r="C1064" t="s">
        <v>403</v>
      </c>
      <c r="D1064" t="s">
        <v>410</v>
      </c>
      <c r="E1064" t="s">
        <v>1006</v>
      </c>
      <c r="F1064">
        <v>-209</v>
      </c>
      <c r="G1064" t="s">
        <v>1074</v>
      </c>
      <c r="H1064" t="s">
        <v>446</v>
      </c>
      <c r="I1064" t="s">
        <v>446</v>
      </c>
      <c r="J1064" t="s">
        <v>1746</v>
      </c>
      <c r="K1064" t="s">
        <v>446</v>
      </c>
      <c r="L1064" t="s">
        <v>446</v>
      </c>
      <c r="M1064" t="s">
        <v>446</v>
      </c>
      <c r="N1064" t="s">
        <v>446</v>
      </c>
      <c r="O1064" t="s">
        <v>446</v>
      </c>
      <c r="P1064" t="s">
        <v>446</v>
      </c>
      <c r="Q1064" t="b">
        <v>0</v>
      </c>
      <c r="R1064" t="b">
        <v>1</v>
      </c>
      <c r="S1064" t="s">
        <v>1961</v>
      </c>
      <c r="T1064" t="s">
        <v>1962</v>
      </c>
      <c r="U1064" t="s">
        <v>1963</v>
      </c>
      <c r="V1064" t="s">
        <v>1964</v>
      </c>
      <c r="W1064" t="s">
        <v>1965</v>
      </c>
      <c r="X1064" t="s">
        <v>446</v>
      </c>
    </row>
    <row r="1065" spans="1:24" x14ac:dyDescent="0.25">
      <c r="A1065" t="s">
        <v>42</v>
      </c>
      <c r="B1065" t="s">
        <v>2653</v>
      </c>
      <c r="C1065" t="s">
        <v>403</v>
      </c>
      <c r="D1065" t="s">
        <v>410</v>
      </c>
      <c r="E1065" t="s">
        <v>1013</v>
      </c>
      <c r="F1065">
        <v>-256</v>
      </c>
      <c r="G1065" t="s">
        <v>1074</v>
      </c>
      <c r="H1065" t="s">
        <v>446</v>
      </c>
      <c r="I1065" t="s">
        <v>446</v>
      </c>
      <c r="J1065" t="s">
        <v>1746</v>
      </c>
      <c r="K1065" t="s">
        <v>446</v>
      </c>
      <c r="L1065" t="s">
        <v>446</v>
      </c>
      <c r="M1065" t="s">
        <v>446</v>
      </c>
      <c r="N1065" t="s">
        <v>446</v>
      </c>
      <c r="O1065" t="s">
        <v>446</v>
      </c>
      <c r="P1065" t="s">
        <v>446</v>
      </c>
      <c r="Q1065" t="b">
        <v>0</v>
      </c>
      <c r="R1065" t="b">
        <v>1</v>
      </c>
      <c r="S1065" t="s">
        <v>1961</v>
      </c>
      <c r="T1065" t="s">
        <v>1962</v>
      </c>
      <c r="U1065" t="s">
        <v>1963</v>
      </c>
      <c r="V1065" t="s">
        <v>1964</v>
      </c>
      <c r="W1065" t="s">
        <v>1965</v>
      </c>
      <c r="X1065" t="s">
        <v>446</v>
      </c>
    </row>
    <row r="1066" spans="1:24" x14ac:dyDescent="0.25">
      <c r="A1066" t="s">
        <v>42</v>
      </c>
      <c r="B1066" t="s">
        <v>2654</v>
      </c>
      <c r="C1066" t="s">
        <v>403</v>
      </c>
      <c r="D1066" t="s">
        <v>410</v>
      </c>
      <c r="E1066" t="s">
        <v>1018</v>
      </c>
      <c r="F1066">
        <v>-187</v>
      </c>
      <c r="G1066" t="s">
        <v>1074</v>
      </c>
      <c r="H1066" t="s">
        <v>446</v>
      </c>
      <c r="I1066" t="s">
        <v>446</v>
      </c>
      <c r="J1066" t="s">
        <v>1746</v>
      </c>
      <c r="K1066" t="s">
        <v>446</v>
      </c>
      <c r="L1066" t="s">
        <v>446</v>
      </c>
      <c r="M1066" t="s">
        <v>446</v>
      </c>
      <c r="N1066" t="s">
        <v>446</v>
      </c>
      <c r="O1066" t="s">
        <v>446</v>
      </c>
      <c r="P1066" t="s">
        <v>446</v>
      </c>
      <c r="Q1066" t="b">
        <v>0</v>
      </c>
      <c r="R1066" t="b">
        <v>1</v>
      </c>
      <c r="S1066" t="s">
        <v>1961</v>
      </c>
      <c r="T1066" t="s">
        <v>1962</v>
      </c>
      <c r="U1066" t="s">
        <v>1963</v>
      </c>
      <c r="V1066" t="s">
        <v>1964</v>
      </c>
      <c r="W1066" t="s">
        <v>1965</v>
      </c>
      <c r="X1066" t="s">
        <v>446</v>
      </c>
    </row>
    <row r="1067" spans="1:24" x14ac:dyDescent="0.25">
      <c r="A1067" t="s">
        <v>42</v>
      </c>
      <c r="B1067" t="s">
        <v>2655</v>
      </c>
      <c r="C1067" t="s">
        <v>403</v>
      </c>
      <c r="D1067" t="s">
        <v>410</v>
      </c>
      <c r="E1067" t="s">
        <v>1023</v>
      </c>
      <c r="F1067">
        <v>-164</v>
      </c>
      <c r="G1067" t="s">
        <v>1074</v>
      </c>
      <c r="H1067" t="s">
        <v>446</v>
      </c>
      <c r="I1067" t="s">
        <v>446</v>
      </c>
      <c r="J1067" t="s">
        <v>1746</v>
      </c>
      <c r="K1067" t="s">
        <v>446</v>
      </c>
      <c r="L1067" t="s">
        <v>446</v>
      </c>
      <c r="M1067" t="s">
        <v>446</v>
      </c>
      <c r="N1067" t="s">
        <v>446</v>
      </c>
      <c r="O1067" t="s">
        <v>446</v>
      </c>
      <c r="P1067" t="s">
        <v>446</v>
      </c>
      <c r="Q1067" t="b">
        <v>0</v>
      </c>
      <c r="R1067" t="b">
        <v>1</v>
      </c>
      <c r="S1067" t="s">
        <v>1961</v>
      </c>
      <c r="T1067" t="s">
        <v>1962</v>
      </c>
      <c r="U1067" t="s">
        <v>1963</v>
      </c>
      <c r="V1067" t="s">
        <v>1964</v>
      </c>
      <c r="W1067" t="s">
        <v>1965</v>
      </c>
      <c r="X1067" t="s">
        <v>446</v>
      </c>
    </row>
    <row r="1068" spans="1:24" x14ac:dyDescent="0.25">
      <c r="A1068" t="s">
        <v>42</v>
      </c>
      <c r="B1068" t="s">
        <v>2656</v>
      </c>
      <c r="C1068" t="s">
        <v>403</v>
      </c>
      <c r="D1068" t="s">
        <v>410</v>
      </c>
      <c r="E1068" t="s">
        <v>1029</v>
      </c>
      <c r="F1068">
        <v>-136</v>
      </c>
      <c r="G1068" t="s">
        <v>1074</v>
      </c>
      <c r="H1068" t="s">
        <v>446</v>
      </c>
      <c r="I1068" t="s">
        <v>446</v>
      </c>
      <c r="J1068" t="s">
        <v>1746</v>
      </c>
      <c r="K1068" t="s">
        <v>446</v>
      </c>
      <c r="L1068" t="s">
        <v>446</v>
      </c>
      <c r="M1068" t="s">
        <v>446</v>
      </c>
      <c r="N1068" t="s">
        <v>446</v>
      </c>
      <c r="O1068" t="s">
        <v>446</v>
      </c>
      <c r="P1068" t="s">
        <v>446</v>
      </c>
      <c r="Q1068" t="b">
        <v>0</v>
      </c>
      <c r="R1068" t="b">
        <v>1</v>
      </c>
      <c r="S1068" t="s">
        <v>1961</v>
      </c>
      <c r="T1068" t="s">
        <v>1962</v>
      </c>
      <c r="U1068" t="s">
        <v>1963</v>
      </c>
      <c r="V1068" t="s">
        <v>1964</v>
      </c>
      <c r="W1068" t="s">
        <v>1965</v>
      </c>
      <c r="X1068" t="s">
        <v>446</v>
      </c>
    </row>
    <row r="1069" spans="1:24" x14ac:dyDescent="0.25">
      <c r="A1069" t="s">
        <v>42</v>
      </c>
      <c r="B1069" t="s">
        <v>2657</v>
      </c>
      <c r="C1069" t="s">
        <v>403</v>
      </c>
      <c r="D1069" t="s">
        <v>410</v>
      </c>
      <c r="E1069" t="s">
        <v>1035</v>
      </c>
      <c r="F1069">
        <v>-393</v>
      </c>
      <c r="G1069" t="s">
        <v>1074</v>
      </c>
      <c r="H1069" t="s">
        <v>446</v>
      </c>
      <c r="I1069" t="s">
        <v>446</v>
      </c>
      <c r="J1069" t="s">
        <v>1746</v>
      </c>
      <c r="K1069" t="s">
        <v>446</v>
      </c>
      <c r="L1069" t="s">
        <v>446</v>
      </c>
      <c r="M1069" t="s">
        <v>446</v>
      </c>
      <c r="N1069" t="s">
        <v>446</v>
      </c>
      <c r="O1069" t="s">
        <v>446</v>
      </c>
      <c r="P1069" t="s">
        <v>446</v>
      </c>
      <c r="Q1069" t="b">
        <v>0</v>
      </c>
      <c r="R1069" t="b">
        <v>1</v>
      </c>
      <c r="S1069" t="s">
        <v>1961</v>
      </c>
      <c r="T1069" t="s">
        <v>1962</v>
      </c>
      <c r="U1069" t="s">
        <v>1963</v>
      </c>
      <c r="V1069" t="s">
        <v>1964</v>
      </c>
      <c r="W1069" t="s">
        <v>1965</v>
      </c>
      <c r="X1069" t="s">
        <v>446</v>
      </c>
    </row>
    <row r="1070" spans="1:24" x14ac:dyDescent="0.25">
      <c r="A1070" t="s">
        <v>42</v>
      </c>
      <c r="B1070" t="s">
        <v>2658</v>
      </c>
      <c r="C1070" t="s">
        <v>403</v>
      </c>
      <c r="D1070" t="s">
        <v>410</v>
      </c>
      <c r="E1070" t="s">
        <v>1040</v>
      </c>
      <c r="F1070">
        <v>-285</v>
      </c>
      <c r="G1070" t="s">
        <v>1074</v>
      </c>
      <c r="H1070" t="s">
        <v>446</v>
      </c>
      <c r="I1070" t="s">
        <v>446</v>
      </c>
      <c r="J1070" t="s">
        <v>1746</v>
      </c>
      <c r="K1070" t="s">
        <v>446</v>
      </c>
      <c r="L1070" t="s">
        <v>446</v>
      </c>
      <c r="M1070" t="s">
        <v>446</v>
      </c>
      <c r="N1070" t="s">
        <v>446</v>
      </c>
      <c r="O1070" t="s">
        <v>446</v>
      </c>
      <c r="P1070" t="s">
        <v>446</v>
      </c>
      <c r="Q1070" t="b">
        <v>0</v>
      </c>
      <c r="R1070" t="b">
        <v>1</v>
      </c>
      <c r="S1070" t="s">
        <v>1961</v>
      </c>
      <c r="T1070" t="s">
        <v>1962</v>
      </c>
      <c r="U1070" t="s">
        <v>1963</v>
      </c>
      <c r="V1070" t="s">
        <v>1964</v>
      </c>
      <c r="W1070" t="s">
        <v>1965</v>
      </c>
      <c r="X1070" t="s">
        <v>446</v>
      </c>
    </row>
    <row r="1071" spans="1:24" x14ac:dyDescent="0.25">
      <c r="A1071" t="s">
        <v>42</v>
      </c>
      <c r="B1071" t="s">
        <v>2659</v>
      </c>
      <c r="C1071" t="s">
        <v>403</v>
      </c>
      <c r="D1071" t="s">
        <v>410</v>
      </c>
      <c r="E1071" t="s">
        <v>1045</v>
      </c>
      <c r="F1071">
        <v>-245</v>
      </c>
      <c r="G1071" t="s">
        <v>1074</v>
      </c>
      <c r="H1071" t="s">
        <v>446</v>
      </c>
      <c r="I1071" t="s">
        <v>446</v>
      </c>
      <c r="J1071" t="s">
        <v>1746</v>
      </c>
      <c r="K1071" t="s">
        <v>446</v>
      </c>
      <c r="L1071" t="s">
        <v>446</v>
      </c>
      <c r="M1071" t="s">
        <v>446</v>
      </c>
      <c r="N1071" t="s">
        <v>446</v>
      </c>
      <c r="O1071" t="s">
        <v>446</v>
      </c>
      <c r="P1071" t="s">
        <v>446</v>
      </c>
      <c r="Q1071" t="b">
        <v>0</v>
      </c>
      <c r="R1071" t="b">
        <v>1</v>
      </c>
      <c r="S1071" t="s">
        <v>1961</v>
      </c>
      <c r="T1071" t="s">
        <v>1962</v>
      </c>
      <c r="U1071" t="s">
        <v>1963</v>
      </c>
      <c r="V1071" t="s">
        <v>1964</v>
      </c>
      <c r="W1071" t="s">
        <v>1965</v>
      </c>
      <c r="X1071" t="s">
        <v>446</v>
      </c>
    </row>
    <row r="1072" spans="1:24" x14ac:dyDescent="0.25">
      <c r="A1072" t="s">
        <v>42</v>
      </c>
      <c r="B1072" t="s">
        <v>2660</v>
      </c>
      <c r="C1072" t="s">
        <v>403</v>
      </c>
      <c r="D1072" t="s">
        <v>410</v>
      </c>
      <c r="E1072" t="s">
        <v>1051</v>
      </c>
      <c r="F1072">
        <v>-136</v>
      </c>
      <c r="G1072" t="s">
        <v>1074</v>
      </c>
      <c r="H1072" t="s">
        <v>446</v>
      </c>
      <c r="I1072" t="s">
        <v>446</v>
      </c>
      <c r="J1072" t="s">
        <v>1746</v>
      </c>
      <c r="K1072" t="s">
        <v>446</v>
      </c>
      <c r="L1072" t="s">
        <v>446</v>
      </c>
      <c r="M1072" t="s">
        <v>446</v>
      </c>
      <c r="N1072" t="s">
        <v>446</v>
      </c>
      <c r="O1072" t="s">
        <v>446</v>
      </c>
      <c r="P1072" t="s">
        <v>446</v>
      </c>
      <c r="Q1072" t="b">
        <v>0</v>
      </c>
      <c r="R1072" t="b">
        <v>1</v>
      </c>
      <c r="S1072" t="s">
        <v>1961</v>
      </c>
      <c r="T1072" t="s">
        <v>1962</v>
      </c>
      <c r="U1072" t="s">
        <v>1963</v>
      </c>
      <c r="V1072" t="s">
        <v>1964</v>
      </c>
      <c r="W1072" t="s">
        <v>1965</v>
      </c>
      <c r="X1072" t="s">
        <v>446</v>
      </c>
    </row>
    <row r="1073" spans="1:24" x14ac:dyDescent="0.25">
      <c r="A1073" t="s">
        <v>42</v>
      </c>
      <c r="B1073" t="s">
        <v>2661</v>
      </c>
      <c r="C1073" t="s">
        <v>403</v>
      </c>
      <c r="D1073" t="s">
        <v>434</v>
      </c>
      <c r="E1073" t="s">
        <v>978</v>
      </c>
      <c r="F1073">
        <v>0</v>
      </c>
      <c r="G1073" t="s">
        <v>1074</v>
      </c>
      <c r="H1073" t="s">
        <v>446</v>
      </c>
      <c r="I1073" t="s">
        <v>446</v>
      </c>
      <c r="J1073" t="s">
        <v>1746</v>
      </c>
      <c r="K1073" t="s">
        <v>446</v>
      </c>
      <c r="L1073" t="s">
        <v>446</v>
      </c>
      <c r="M1073" t="s">
        <v>446</v>
      </c>
      <c r="N1073" t="s">
        <v>446</v>
      </c>
      <c r="O1073" t="s">
        <v>446</v>
      </c>
      <c r="P1073" t="s">
        <v>446</v>
      </c>
      <c r="Q1073" t="b">
        <v>0</v>
      </c>
      <c r="R1073" t="b">
        <v>1</v>
      </c>
      <c r="S1073" t="s">
        <v>1961</v>
      </c>
      <c r="T1073" t="s">
        <v>1962</v>
      </c>
      <c r="U1073" t="s">
        <v>1963</v>
      </c>
      <c r="V1073" t="s">
        <v>1964</v>
      </c>
      <c r="W1073" t="s">
        <v>1965</v>
      </c>
      <c r="X1073" t="s">
        <v>446</v>
      </c>
    </row>
    <row r="1074" spans="1:24" x14ac:dyDescent="0.25">
      <c r="A1074" t="s">
        <v>42</v>
      </c>
      <c r="B1074" t="s">
        <v>2662</v>
      </c>
      <c r="C1074" t="s">
        <v>403</v>
      </c>
      <c r="D1074" t="s">
        <v>434</v>
      </c>
      <c r="E1074" t="s">
        <v>986</v>
      </c>
      <c r="F1074">
        <v>0</v>
      </c>
      <c r="G1074" t="s">
        <v>1074</v>
      </c>
      <c r="H1074" t="s">
        <v>446</v>
      </c>
      <c r="I1074" t="s">
        <v>446</v>
      </c>
      <c r="J1074" t="s">
        <v>1746</v>
      </c>
      <c r="K1074" t="s">
        <v>446</v>
      </c>
      <c r="L1074" t="s">
        <v>446</v>
      </c>
      <c r="M1074" t="s">
        <v>446</v>
      </c>
      <c r="N1074" t="s">
        <v>446</v>
      </c>
      <c r="O1074" t="s">
        <v>446</v>
      </c>
      <c r="P1074" t="s">
        <v>446</v>
      </c>
      <c r="Q1074" t="b">
        <v>0</v>
      </c>
      <c r="R1074" t="b">
        <v>1</v>
      </c>
      <c r="S1074" t="s">
        <v>1961</v>
      </c>
      <c r="T1074" t="s">
        <v>1962</v>
      </c>
      <c r="U1074" t="s">
        <v>1963</v>
      </c>
      <c r="V1074" t="s">
        <v>1964</v>
      </c>
      <c r="W1074" t="s">
        <v>1965</v>
      </c>
      <c r="X1074" t="s">
        <v>446</v>
      </c>
    </row>
    <row r="1075" spans="1:24" x14ac:dyDescent="0.25">
      <c r="A1075" t="s">
        <v>42</v>
      </c>
      <c r="B1075" t="s">
        <v>2663</v>
      </c>
      <c r="C1075" t="s">
        <v>403</v>
      </c>
      <c r="D1075" t="s">
        <v>434</v>
      </c>
      <c r="E1075" t="s">
        <v>992</v>
      </c>
      <c r="F1075">
        <v>0</v>
      </c>
      <c r="G1075" t="s">
        <v>1074</v>
      </c>
      <c r="H1075" t="s">
        <v>446</v>
      </c>
      <c r="I1075" t="s">
        <v>446</v>
      </c>
      <c r="J1075" t="s">
        <v>1746</v>
      </c>
      <c r="K1075" t="s">
        <v>446</v>
      </c>
      <c r="L1075" t="s">
        <v>446</v>
      </c>
      <c r="M1075" t="s">
        <v>446</v>
      </c>
      <c r="N1075" t="s">
        <v>446</v>
      </c>
      <c r="O1075" t="s">
        <v>446</v>
      </c>
      <c r="P1075" t="s">
        <v>446</v>
      </c>
      <c r="Q1075" t="b">
        <v>0</v>
      </c>
      <c r="R1075" t="b">
        <v>1</v>
      </c>
      <c r="S1075" t="s">
        <v>1961</v>
      </c>
      <c r="T1075" t="s">
        <v>1962</v>
      </c>
      <c r="U1075" t="s">
        <v>1963</v>
      </c>
      <c r="V1075" t="s">
        <v>1964</v>
      </c>
      <c r="W1075" t="s">
        <v>1965</v>
      </c>
      <c r="X1075" t="s">
        <v>446</v>
      </c>
    </row>
    <row r="1076" spans="1:24" x14ac:dyDescent="0.25">
      <c r="A1076" t="s">
        <v>42</v>
      </c>
      <c r="B1076" t="s">
        <v>2664</v>
      </c>
      <c r="C1076" t="s">
        <v>403</v>
      </c>
      <c r="D1076" t="s">
        <v>434</v>
      </c>
      <c r="E1076" t="s">
        <v>998</v>
      </c>
      <c r="F1076">
        <v>0</v>
      </c>
      <c r="G1076" t="s">
        <v>1074</v>
      </c>
      <c r="H1076" t="s">
        <v>446</v>
      </c>
      <c r="I1076" t="s">
        <v>446</v>
      </c>
      <c r="J1076" t="s">
        <v>1746</v>
      </c>
      <c r="K1076" t="s">
        <v>446</v>
      </c>
      <c r="L1076" t="s">
        <v>446</v>
      </c>
      <c r="M1076" t="s">
        <v>446</v>
      </c>
      <c r="N1076" t="s">
        <v>446</v>
      </c>
      <c r="O1076" t="s">
        <v>446</v>
      </c>
      <c r="P1076" t="s">
        <v>446</v>
      </c>
      <c r="Q1076" t="b">
        <v>0</v>
      </c>
      <c r="R1076" t="b">
        <v>1</v>
      </c>
      <c r="S1076" t="s">
        <v>1961</v>
      </c>
      <c r="T1076" t="s">
        <v>1962</v>
      </c>
      <c r="U1076" t="s">
        <v>1963</v>
      </c>
      <c r="V1076" t="s">
        <v>1964</v>
      </c>
      <c r="W1076" t="s">
        <v>1965</v>
      </c>
      <c r="X1076" t="s">
        <v>446</v>
      </c>
    </row>
    <row r="1077" spans="1:24" x14ac:dyDescent="0.25">
      <c r="A1077" t="s">
        <v>42</v>
      </c>
      <c r="B1077" t="s">
        <v>2665</v>
      </c>
      <c r="C1077" t="s">
        <v>403</v>
      </c>
      <c r="D1077" t="s">
        <v>434</v>
      </c>
      <c r="E1077" t="s">
        <v>1006</v>
      </c>
      <c r="F1077">
        <v>0</v>
      </c>
      <c r="G1077" t="s">
        <v>1074</v>
      </c>
      <c r="H1077" t="s">
        <v>446</v>
      </c>
      <c r="I1077" t="s">
        <v>446</v>
      </c>
      <c r="J1077" t="s">
        <v>1746</v>
      </c>
      <c r="K1077" t="s">
        <v>446</v>
      </c>
      <c r="L1077" t="s">
        <v>446</v>
      </c>
      <c r="M1077" t="s">
        <v>446</v>
      </c>
      <c r="N1077" t="s">
        <v>446</v>
      </c>
      <c r="O1077" t="s">
        <v>446</v>
      </c>
      <c r="P1077" t="s">
        <v>446</v>
      </c>
      <c r="Q1077" t="b">
        <v>0</v>
      </c>
      <c r="R1077" t="b">
        <v>1</v>
      </c>
      <c r="S1077" t="s">
        <v>1961</v>
      </c>
      <c r="T1077" t="s">
        <v>1962</v>
      </c>
      <c r="U1077" t="s">
        <v>1963</v>
      </c>
      <c r="V1077" t="s">
        <v>1964</v>
      </c>
      <c r="W1077" t="s">
        <v>1965</v>
      </c>
      <c r="X1077" t="s">
        <v>446</v>
      </c>
    </row>
    <row r="1078" spans="1:24" x14ac:dyDescent="0.25">
      <c r="A1078" t="s">
        <v>42</v>
      </c>
      <c r="B1078" t="s">
        <v>2666</v>
      </c>
      <c r="C1078" t="s">
        <v>403</v>
      </c>
      <c r="D1078" t="s">
        <v>434</v>
      </c>
      <c r="E1078" t="s">
        <v>1013</v>
      </c>
      <c r="F1078">
        <v>0</v>
      </c>
      <c r="G1078" t="s">
        <v>1074</v>
      </c>
      <c r="H1078" t="s">
        <v>446</v>
      </c>
      <c r="I1078" t="s">
        <v>446</v>
      </c>
      <c r="J1078" t="s">
        <v>1746</v>
      </c>
      <c r="K1078" t="s">
        <v>446</v>
      </c>
      <c r="L1078" t="s">
        <v>446</v>
      </c>
      <c r="M1078" t="s">
        <v>446</v>
      </c>
      <c r="N1078" t="s">
        <v>446</v>
      </c>
      <c r="O1078" t="s">
        <v>446</v>
      </c>
      <c r="P1078" t="s">
        <v>446</v>
      </c>
      <c r="Q1078" t="b">
        <v>0</v>
      </c>
      <c r="R1078" t="b">
        <v>1</v>
      </c>
      <c r="S1078" t="s">
        <v>1961</v>
      </c>
      <c r="T1078" t="s">
        <v>1962</v>
      </c>
      <c r="U1078" t="s">
        <v>1963</v>
      </c>
      <c r="V1078" t="s">
        <v>1964</v>
      </c>
      <c r="W1078" t="s">
        <v>1965</v>
      </c>
      <c r="X1078" t="s">
        <v>446</v>
      </c>
    </row>
    <row r="1079" spans="1:24" x14ac:dyDescent="0.25">
      <c r="A1079" t="s">
        <v>42</v>
      </c>
      <c r="B1079" t="s">
        <v>2667</v>
      </c>
      <c r="C1079" t="s">
        <v>403</v>
      </c>
      <c r="D1079" t="s">
        <v>434</v>
      </c>
      <c r="E1079" t="s">
        <v>1018</v>
      </c>
      <c r="F1079">
        <v>0</v>
      </c>
      <c r="G1079" t="s">
        <v>1074</v>
      </c>
      <c r="H1079" t="s">
        <v>446</v>
      </c>
      <c r="I1079" t="s">
        <v>446</v>
      </c>
      <c r="J1079" t="s">
        <v>1746</v>
      </c>
      <c r="K1079" t="s">
        <v>446</v>
      </c>
      <c r="L1079" t="s">
        <v>446</v>
      </c>
      <c r="M1079" t="s">
        <v>446</v>
      </c>
      <c r="N1079" t="s">
        <v>446</v>
      </c>
      <c r="O1079" t="s">
        <v>446</v>
      </c>
      <c r="P1079" t="s">
        <v>446</v>
      </c>
      <c r="Q1079" t="b">
        <v>0</v>
      </c>
      <c r="R1079" t="b">
        <v>1</v>
      </c>
      <c r="S1079" t="s">
        <v>1961</v>
      </c>
      <c r="T1079" t="s">
        <v>1962</v>
      </c>
      <c r="U1079" t="s">
        <v>1963</v>
      </c>
      <c r="V1079" t="s">
        <v>1964</v>
      </c>
      <c r="W1079" t="s">
        <v>1965</v>
      </c>
      <c r="X1079" t="s">
        <v>446</v>
      </c>
    </row>
    <row r="1080" spans="1:24" x14ac:dyDescent="0.25">
      <c r="A1080" t="s">
        <v>42</v>
      </c>
      <c r="B1080" t="s">
        <v>2668</v>
      </c>
      <c r="C1080" t="s">
        <v>403</v>
      </c>
      <c r="D1080" t="s">
        <v>434</v>
      </c>
      <c r="E1080" t="s">
        <v>1023</v>
      </c>
      <c r="F1080">
        <v>0</v>
      </c>
      <c r="G1080" t="s">
        <v>1074</v>
      </c>
      <c r="H1080" t="s">
        <v>446</v>
      </c>
      <c r="I1080" t="s">
        <v>446</v>
      </c>
      <c r="J1080" t="s">
        <v>1746</v>
      </c>
      <c r="K1080" t="s">
        <v>446</v>
      </c>
      <c r="L1080" t="s">
        <v>446</v>
      </c>
      <c r="M1080" t="s">
        <v>446</v>
      </c>
      <c r="N1080" t="s">
        <v>446</v>
      </c>
      <c r="O1080" t="s">
        <v>446</v>
      </c>
      <c r="P1080" t="s">
        <v>446</v>
      </c>
      <c r="Q1080" t="b">
        <v>0</v>
      </c>
      <c r="R1080" t="b">
        <v>1</v>
      </c>
      <c r="S1080" t="s">
        <v>1961</v>
      </c>
      <c r="T1080" t="s">
        <v>1962</v>
      </c>
      <c r="U1080" t="s">
        <v>1963</v>
      </c>
      <c r="V1080" t="s">
        <v>1964</v>
      </c>
      <c r="W1080" t="s">
        <v>1965</v>
      </c>
      <c r="X1080" t="s">
        <v>446</v>
      </c>
    </row>
    <row r="1081" spans="1:24" x14ac:dyDescent="0.25">
      <c r="A1081" t="s">
        <v>42</v>
      </c>
      <c r="B1081" t="s">
        <v>2669</v>
      </c>
      <c r="C1081" t="s">
        <v>403</v>
      </c>
      <c r="D1081" t="s">
        <v>434</v>
      </c>
      <c r="E1081" t="s">
        <v>1029</v>
      </c>
      <c r="F1081">
        <v>0</v>
      </c>
      <c r="G1081" t="s">
        <v>1074</v>
      </c>
      <c r="H1081" t="s">
        <v>446</v>
      </c>
      <c r="I1081" t="s">
        <v>446</v>
      </c>
      <c r="J1081" t="s">
        <v>1746</v>
      </c>
      <c r="K1081" t="s">
        <v>446</v>
      </c>
      <c r="L1081" t="s">
        <v>446</v>
      </c>
      <c r="M1081" t="s">
        <v>446</v>
      </c>
      <c r="N1081" t="s">
        <v>446</v>
      </c>
      <c r="O1081" t="s">
        <v>446</v>
      </c>
      <c r="P1081" t="s">
        <v>446</v>
      </c>
      <c r="Q1081" t="b">
        <v>0</v>
      </c>
      <c r="R1081" t="b">
        <v>1</v>
      </c>
      <c r="S1081" t="s">
        <v>1961</v>
      </c>
      <c r="T1081" t="s">
        <v>1962</v>
      </c>
      <c r="U1081" t="s">
        <v>1963</v>
      </c>
      <c r="V1081" t="s">
        <v>1964</v>
      </c>
      <c r="W1081" t="s">
        <v>1965</v>
      </c>
      <c r="X1081" t="s">
        <v>446</v>
      </c>
    </row>
    <row r="1082" spans="1:24" x14ac:dyDescent="0.25">
      <c r="A1082" t="s">
        <v>42</v>
      </c>
      <c r="B1082" t="s">
        <v>2670</v>
      </c>
      <c r="C1082" t="s">
        <v>403</v>
      </c>
      <c r="D1082" t="s">
        <v>434</v>
      </c>
      <c r="E1082" t="s">
        <v>1035</v>
      </c>
      <c r="F1082">
        <v>0</v>
      </c>
      <c r="G1082" t="s">
        <v>1074</v>
      </c>
      <c r="H1082" t="s">
        <v>446</v>
      </c>
      <c r="I1082" t="s">
        <v>446</v>
      </c>
      <c r="J1082" t="s">
        <v>1746</v>
      </c>
      <c r="K1082" t="s">
        <v>446</v>
      </c>
      <c r="L1082" t="s">
        <v>446</v>
      </c>
      <c r="M1082" t="s">
        <v>446</v>
      </c>
      <c r="N1082" t="s">
        <v>446</v>
      </c>
      <c r="O1082" t="s">
        <v>446</v>
      </c>
      <c r="P1082" t="s">
        <v>446</v>
      </c>
      <c r="Q1082" t="b">
        <v>0</v>
      </c>
      <c r="R1082" t="b">
        <v>1</v>
      </c>
      <c r="S1082" t="s">
        <v>1961</v>
      </c>
      <c r="T1082" t="s">
        <v>1962</v>
      </c>
      <c r="U1082" t="s">
        <v>1963</v>
      </c>
      <c r="V1082" t="s">
        <v>1964</v>
      </c>
      <c r="W1082" t="s">
        <v>1965</v>
      </c>
      <c r="X1082" t="s">
        <v>446</v>
      </c>
    </row>
    <row r="1083" spans="1:24" x14ac:dyDescent="0.25">
      <c r="A1083" t="s">
        <v>42</v>
      </c>
      <c r="B1083" t="s">
        <v>2671</v>
      </c>
      <c r="C1083" t="s">
        <v>403</v>
      </c>
      <c r="D1083" t="s">
        <v>434</v>
      </c>
      <c r="E1083" t="s">
        <v>1040</v>
      </c>
      <c r="F1083">
        <v>0</v>
      </c>
      <c r="G1083" t="s">
        <v>1074</v>
      </c>
      <c r="H1083" t="s">
        <v>446</v>
      </c>
      <c r="I1083" t="s">
        <v>446</v>
      </c>
      <c r="J1083" t="s">
        <v>1746</v>
      </c>
      <c r="K1083" t="s">
        <v>446</v>
      </c>
      <c r="L1083" t="s">
        <v>446</v>
      </c>
      <c r="M1083" t="s">
        <v>446</v>
      </c>
      <c r="N1083" t="s">
        <v>446</v>
      </c>
      <c r="O1083" t="s">
        <v>446</v>
      </c>
      <c r="P1083" t="s">
        <v>446</v>
      </c>
      <c r="Q1083" t="b">
        <v>0</v>
      </c>
      <c r="R1083" t="b">
        <v>1</v>
      </c>
      <c r="S1083" t="s">
        <v>1961</v>
      </c>
      <c r="T1083" t="s">
        <v>1962</v>
      </c>
      <c r="U1083" t="s">
        <v>1963</v>
      </c>
      <c r="V1083" t="s">
        <v>1964</v>
      </c>
      <c r="W1083" t="s">
        <v>1965</v>
      </c>
      <c r="X1083" t="s">
        <v>446</v>
      </c>
    </row>
    <row r="1084" spans="1:24" x14ac:dyDescent="0.25">
      <c r="A1084" t="s">
        <v>42</v>
      </c>
      <c r="B1084" t="s">
        <v>2672</v>
      </c>
      <c r="C1084" t="s">
        <v>403</v>
      </c>
      <c r="D1084" t="s">
        <v>434</v>
      </c>
      <c r="E1084" t="s">
        <v>1045</v>
      </c>
      <c r="F1084">
        <v>0</v>
      </c>
      <c r="G1084" t="s">
        <v>1074</v>
      </c>
      <c r="H1084" t="s">
        <v>446</v>
      </c>
      <c r="I1084" t="s">
        <v>446</v>
      </c>
      <c r="J1084" t="s">
        <v>1746</v>
      </c>
      <c r="K1084" t="s">
        <v>446</v>
      </c>
      <c r="L1084" t="s">
        <v>446</v>
      </c>
      <c r="M1084" t="s">
        <v>446</v>
      </c>
      <c r="N1084" t="s">
        <v>446</v>
      </c>
      <c r="O1084" t="s">
        <v>446</v>
      </c>
      <c r="P1084" t="s">
        <v>446</v>
      </c>
      <c r="Q1084" t="b">
        <v>0</v>
      </c>
      <c r="R1084" t="b">
        <v>1</v>
      </c>
      <c r="S1084" t="s">
        <v>1961</v>
      </c>
      <c r="T1084" t="s">
        <v>1962</v>
      </c>
      <c r="U1084" t="s">
        <v>1963</v>
      </c>
      <c r="V1084" t="s">
        <v>1964</v>
      </c>
      <c r="W1084" t="s">
        <v>1965</v>
      </c>
      <c r="X1084" t="s">
        <v>446</v>
      </c>
    </row>
    <row r="1085" spans="1:24" x14ac:dyDescent="0.25">
      <c r="A1085" t="s">
        <v>42</v>
      </c>
      <c r="B1085" t="s">
        <v>2673</v>
      </c>
      <c r="C1085" t="s">
        <v>403</v>
      </c>
      <c r="D1085" t="s">
        <v>434</v>
      </c>
      <c r="E1085" t="s">
        <v>1051</v>
      </c>
      <c r="F1085">
        <v>0</v>
      </c>
      <c r="G1085" t="s">
        <v>1074</v>
      </c>
      <c r="H1085" t="s">
        <v>446</v>
      </c>
      <c r="I1085" t="s">
        <v>446</v>
      </c>
      <c r="J1085" t="s">
        <v>1746</v>
      </c>
      <c r="K1085" t="s">
        <v>446</v>
      </c>
      <c r="L1085" t="s">
        <v>446</v>
      </c>
      <c r="M1085" t="s">
        <v>446</v>
      </c>
      <c r="N1085" t="s">
        <v>446</v>
      </c>
      <c r="O1085" t="s">
        <v>446</v>
      </c>
      <c r="P1085" t="s">
        <v>446</v>
      </c>
      <c r="Q1085" t="b">
        <v>0</v>
      </c>
      <c r="R1085" t="b">
        <v>1</v>
      </c>
      <c r="S1085" t="s">
        <v>1961</v>
      </c>
      <c r="T1085" t="s">
        <v>1962</v>
      </c>
      <c r="U1085" t="s">
        <v>1963</v>
      </c>
      <c r="V1085" t="s">
        <v>1964</v>
      </c>
      <c r="W1085" t="s">
        <v>1965</v>
      </c>
      <c r="X1085" t="s">
        <v>446</v>
      </c>
    </row>
    <row r="1086" spans="1:24" x14ac:dyDescent="0.25">
      <c r="A1086" t="s">
        <v>42</v>
      </c>
      <c r="B1086" t="s">
        <v>2674</v>
      </c>
      <c r="C1086" t="s">
        <v>403</v>
      </c>
      <c r="D1086" t="s">
        <v>436</v>
      </c>
      <c r="E1086" t="s">
        <v>978</v>
      </c>
      <c r="F1086">
        <v>0</v>
      </c>
      <c r="G1086" t="s">
        <v>1074</v>
      </c>
      <c r="H1086" t="s">
        <v>446</v>
      </c>
      <c r="I1086" t="s">
        <v>446</v>
      </c>
      <c r="J1086" t="s">
        <v>1746</v>
      </c>
      <c r="K1086" t="s">
        <v>446</v>
      </c>
      <c r="L1086" t="s">
        <v>446</v>
      </c>
      <c r="M1086" t="s">
        <v>446</v>
      </c>
      <c r="N1086" t="s">
        <v>446</v>
      </c>
      <c r="O1086" t="s">
        <v>446</v>
      </c>
      <c r="P1086" t="s">
        <v>446</v>
      </c>
      <c r="Q1086" t="b">
        <v>0</v>
      </c>
      <c r="R1086" t="b">
        <v>1</v>
      </c>
      <c r="S1086" t="s">
        <v>1961</v>
      </c>
      <c r="T1086" t="s">
        <v>1962</v>
      </c>
      <c r="U1086" t="s">
        <v>1963</v>
      </c>
      <c r="V1086" t="s">
        <v>1964</v>
      </c>
      <c r="W1086" t="s">
        <v>1965</v>
      </c>
      <c r="X1086" t="s">
        <v>446</v>
      </c>
    </row>
    <row r="1087" spans="1:24" x14ac:dyDescent="0.25">
      <c r="A1087" t="s">
        <v>42</v>
      </c>
      <c r="B1087" t="s">
        <v>2675</v>
      </c>
      <c r="C1087" t="s">
        <v>403</v>
      </c>
      <c r="D1087" t="s">
        <v>436</v>
      </c>
      <c r="E1087" t="s">
        <v>986</v>
      </c>
      <c r="F1087">
        <v>15844</v>
      </c>
      <c r="G1087" t="s">
        <v>1074</v>
      </c>
      <c r="H1087" t="s">
        <v>446</v>
      </c>
      <c r="I1087" t="s">
        <v>446</v>
      </c>
      <c r="J1087" t="s">
        <v>1746</v>
      </c>
      <c r="K1087" t="s">
        <v>446</v>
      </c>
      <c r="L1087" t="s">
        <v>446</v>
      </c>
      <c r="M1087" t="s">
        <v>446</v>
      </c>
      <c r="N1087" t="s">
        <v>446</v>
      </c>
      <c r="O1087" t="s">
        <v>446</v>
      </c>
      <c r="P1087" t="s">
        <v>446</v>
      </c>
      <c r="Q1087" t="b">
        <v>0</v>
      </c>
      <c r="R1087" t="b">
        <v>1</v>
      </c>
      <c r="S1087" t="s">
        <v>1961</v>
      </c>
      <c r="T1087" t="s">
        <v>1962</v>
      </c>
      <c r="U1087" t="s">
        <v>1963</v>
      </c>
      <c r="V1087" t="s">
        <v>1964</v>
      </c>
      <c r="W1087" t="s">
        <v>1965</v>
      </c>
      <c r="X1087" t="s">
        <v>446</v>
      </c>
    </row>
    <row r="1088" spans="1:24" x14ac:dyDescent="0.25">
      <c r="A1088" t="s">
        <v>42</v>
      </c>
      <c r="B1088" t="s">
        <v>2676</v>
      </c>
      <c r="C1088" t="s">
        <v>403</v>
      </c>
      <c r="D1088" t="s">
        <v>436</v>
      </c>
      <c r="E1088" t="s">
        <v>992</v>
      </c>
      <c r="F1088">
        <v>15831</v>
      </c>
      <c r="G1088" t="s">
        <v>1074</v>
      </c>
      <c r="H1088" t="s">
        <v>446</v>
      </c>
      <c r="I1088" t="s">
        <v>446</v>
      </c>
      <c r="J1088" t="s">
        <v>1746</v>
      </c>
      <c r="K1088" t="s">
        <v>446</v>
      </c>
      <c r="L1088" t="s">
        <v>446</v>
      </c>
      <c r="M1088" t="s">
        <v>446</v>
      </c>
      <c r="N1088" t="s">
        <v>446</v>
      </c>
      <c r="O1088" t="s">
        <v>446</v>
      </c>
      <c r="P1088" t="s">
        <v>446</v>
      </c>
      <c r="Q1088" t="b">
        <v>0</v>
      </c>
      <c r="R1088" t="b">
        <v>1</v>
      </c>
      <c r="S1088" t="s">
        <v>1961</v>
      </c>
      <c r="T1088" t="s">
        <v>1962</v>
      </c>
      <c r="U1088" t="s">
        <v>1963</v>
      </c>
      <c r="V1088" t="s">
        <v>1964</v>
      </c>
      <c r="W1088" t="s">
        <v>1965</v>
      </c>
      <c r="X1088" t="s">
        <v>446</v>
      </c>
    </row>
    <row r="1089" spans="1:24" x14ac:dyDescent="0.25">
      <c r="A1089" t="s">
        <v>42</v>
      </c>
      <c r="B1089" t="s">
        <v>2677</v>
      </c>
      <c r="C1089" t="s">
        <v>403</v>
      </c>
      <c r="D1089" t="s">
        <v>436</v>
      </c>
      <c r="E1089" t="s">
        <v>998</v>
      </c>
      <c r="F1089">
        <v>15577</v>
      </c>
      <c r="G1089" t="s">
        <v>1074</v>
      </c>
      <c r="H1089" t="s">
        <v>446</v>
      </c>
      <c r="I1089" t="s">
        <v>446</v>
      </c>
      <c r="J1089" t="s">
        <v>1746</v>
      </c>
      <c r="K1089" t="s">
        <v>446</v>
      </c>
      <c r="L1089" t="s">
        <v>446</v>
      </c>
      <c r="M1089" t="s">
        <v>446</v>
      </c>
      <c r="N1089" t="s">
        <v>446</v>
      </c>
      <c r="O1089" t="s">
        <v>446</v>
      </c>
      <c r="P1089" t="s">
        <v>446</v>
      </c>
      <c r="Q1089" t="b">
        <v>0</v>
      </c>
      <c r="R1089" t="b">
        <v>1</v>
      </c>
      <c r="S1089" t="s">
        <v>1961</v>
      </c>
      <c r="T1089" t="s">
        <v>1962</v>
      </c>
      <c r="U1089" t="s">
        <v>1963</v>
      </c>
      <c r="V1089" t="s">
        <v>1964</v>
      </c>
      <c r="W1089" t="s">
        <v>1965</v>
      </c>
      <c r="X1089" t="s">
        <v>446</v>
      </c>
    </row>
    <row r="1090" spans="1:24" x14ac:dyDescent="0.25">
      <c r="A1090" t="s">
        <v>42</v>
      </c>
      <c r="B1090" t="s">
        <v>2678</v>
      </c>
      <c r="C1090" t="s">
        <v>403</v>
      </c>
      <c r="D1090" t="s">
        <v>436</v>
      </c>
      <c r="E1090" t="s">
        <v>1006</v>
      </c>
      <c r="F1090">
        <v>15501</v>
      </c>
      <c r="G1090" t="s">
        <v>1074</v>
      </c>
      <c r="H1090" t="s">
        <v>446</v>
      </c>
      <c r="I1090" t="s">
        <v>446</v>
      </c>
      <c r="J1090" t="s">
        <v>1746</v>
      </c>
      <c r="K1090" t="s">
        <v>446</v>
      </c>
      <c r="L1090" t="s">
        <v>446</v>
      </c>
      <c r="M1090" t="s">
        <v>446</v>
      </c>
      <c r="N1090" t="s">
        <v>446</v>
      </c>
      <c r="O1090" t="s">
        <v>446</v>
      </c>
      <c r="P1090" t="s">
        <v>446</v>
      </c>
      <c r="Q1090" t="b">
        <v>0</v>
      </c>
      <c r="R1090" t="b">
        <v>1</v>
      </c>
      <c r="S1090" t="s">
        <v>1961</v>
      </c>
      <c r="T1090" t="s">
        <v>1962</v>
      </c>
      <c r="U1090" t="s">
        <v>1963</v>
      </c>
      <c r="V1090" t="s">
        <v>1964</v>
      </c>
      <c r="W1090" t="s">
        <v>1965</v>
      </c>
      <c r="X1090" t="s">
        <v>446</v>
      </c>
    </row>
    <row r="1091" spans="1:24" x14ac:dyDescent="0.25">
      <c r="A1091" t="s">
        <v>42</v>
      </c>
      <c r="B1091" t="s">
        <v>2679</v>
      </c>
      <c r="C1091" t="s">
        <v>403</v>
      </c>
      <c r="D1091" t="s">
        <v>436</v>
      </c>
      <c r="E1091" t="s">
        <v>1013</v>
      </c>
      <c r="F1091">
        <v>17550</v>
      </c>
      <c r="G1091" t="s">
        <v>1074</v>
      </c>
      <c r="H1091" t="s">
        <v>446</v>
      </c>
      <c r="I1091" t="s">
        <v>446</v>
      </c>
      <c r="J1091" t="s">
        <v>1746</v>
      </c>
      <c r="K1091" t="s">
        <v>446</v>
      </c>
      <c r="L1091" t="s">
        <v>446</v>
      </c>
      <c r="M1091" t="s">
        <v>446</v>
      </c>
      <c r="N1091" t="s">
        <v>446</v>
      </c>
      <c r="O1091" t="s">
        <v>446</v>
      </c>
      <c r="P1091" t="s">
        <v>446</v>
      </c>
      <c r="Q1091" t="b">
        <v>0</v>
      </c>
      <c r="R1091" t="b">
        <v>1</v>
      </c>
      <c r="S1091" t="s">
        <v>1961</v>
      </c>
      <c r="T1091" t="s">
        <v>1962</v>
      </c>
      <c r="U1091" t="s">
        <v>1963</v>
      </c>
      <c r="V1091" t="s">
        <v>1964</v>
      </c>
      <c r="W1091" t="s">
        <v>1965</v>
      </c>
      <c r="X1091" t="s">
        <v>446</v>
      </c>
    </row>
    <row r="1092" spans="1:24" x14ac:dyDescent="0.25">
      <c r="A1092" t="s">
        <v>42</v>
      </c>
      <c r="B1092" t="s">
        <v>2680</v>
      </c>
      <c r="C1092" t="s">
        <v>403</v>
      </c>
      <c r="D1092" t="s">
        <v>436</v>
      </c>
      <c r="E1092" t="s">
        <v>1018</v>
      </c>
      <c r="F1092">
        <v>17547</v>
      </c>
      <c r="G1092" t="s">
        <v>1074</v>
      </c>
      <c r="H1092" t="s">
        <v>446</v>
      </c>
      <c r="I1092" t="s">
        <v>446</v>
      </c>
      <c r="J1092" t="s">
        <v>1746</v>
      </c>
      <c r="K1092" t="s">
        <v>446</v>
      </c>
      <c r="L1092" t="s">
        <v>446</v>
      </c>
      <c r="M1092" t="s">
        <v>446</v>
      </c>
      <c r="N1092" t="s">
        <v>446</v>
      </c>
      <c r="O1092" t="s">
        <v>446</v>
      </c>
      <c r="P1092" t="s">
        <v>446</v>
      </c>
      <c r="Q1092" t="b">
        <v>0</v>
      </c>
      <c r="R1092" t="b">
        <v>1</v>
      </c>
      <c r="S1092" t="s">
        <v>1961</v>
      </c>
      <c r="T1092" t="s">
        <v>1962</v>
      </c>
      <c r="U1092" t="s">
        <v>1963</v>
      </c>
      <c r="V1092" t="s">
        <v>1964</v>
      </c>
      <c r="W1092" t="s">
        <v>1965</v>
      </c>
      <c r="X1092" t="s">
        <v>446</v>
      </c>
    </row>
    <row r="1093" spans="1:24" x14ac:dyDescent="0.25">
      <c r="A1093" t="s">
        <v>42</v>
      </c>
      <c r="B1093" t="s">
        <v>2681</v>
      </c>
      <c r="C1093" t="s">
        <v>403</v>
      </c>
      <c r="D1093" t="s">
        <v>436</v>
      </c>
      <c r="E1093" t="s">
        <v>1023</v>
      </c>
      <c r="F1093">
        <v>17209</v>
      </c>
      <c r="G1093" t="s">
        <v>1074</v>
      </c>
      <c r="H1093" t="s">
        <v>446</v>
      </c>
      <c r="I1093" t="s">
        <v>446</v>
      </c>
      <c r="J1093" t="s">
        <v>1746</v>
      </c>
      <c r="K1093" t="s">
        <v>446</v>
      </c>
      <c r="L1093" t="s">
        <v>446</v>
      </c>
      <c r="M1093" t="s">
        <v>446</v>
      </c>
      <c r="N1093" t="s">
        <v>446</v>
      </c>
      <c r="O1093" t="s">
        <v>446</v>
      </c>
      <c r="P1093" t="s">
        <v>446</v>
      </c>
      <c r="Q1093" t="b">
        <v>0</v>
      </c>
      <c r="R1093" t="b">
        <v>1</v>
      </c>
      <c r="S1093" t="s">
        <v>1961</v>
      </c>
      <c r="T1093" t="s">
        <v>1962</v>
      </c>
      <c r="U1093" t="s">
        <v>1963</v>
      </c>
      <c r="V1093" t="s">
        <v>1964</v>
      </c>
      <c r="W1093" t="s">
        <v>1965</v>
      </c>
      <c r="X1093" t="s">
        <v>446</v>
      </c>
    </row>
    <row r="1094" spans="1:24" x14ac:dyDescent="0.25">
      <c r="A1094" t="s">
        <v>42</v>
      </c>
      <c r="B1094" t="s">
        <v>2682</v>
      </c>
      <c r="C1094" t="s">
        <v>403</v>
      </c>
      <c r="D1094" t="s">
        <v>436</v>
      </c>
      <c r="E1094" t="s">
        <v>1029</v>
      </c>
      <c r="F1094">
        <v>17365</v>
      </c>
      <c r="G1094" t="s">
        <v>1074</v>
      </c>
      <c r="H1094" t="s">
        <v>446</v>
      </c>
      <c r="I1094" t="s">
        <v>446</v>
      </c>
      <c r="J1094" t="s">
        <v>1746</v>
      </c>
      <c r="K1094" t="s">
        <v>446</v>
      </c>
      <c r="L1094" t="s">
        <v>446</v>
      </c>
      <c r="M1094" t="s">
        <v>446</v>
      </c>
      <c r="N1094" t="s">
        <v>446</v>
      </c>
      <c r="O1094" t="s">
        <v>446</v>
      </c>
      <c r="P1094" t="s">
        <v>446</v>
      </c>
      <c r="Q1094" t="b">
        <v>0</v>
      </c>
      <c r="R1094" t="b">
        <v>1</v>
      </c>
      <c r="S1094" t="s">
        <v>1961</v>
      </c>
      <c r="T1094" t="s">
        <v>1962</v>
      </c>
      <c r="U1094" t="s">
        <v>1963</v>
      </c>
      <c r="V1094" t="s">
        <v>1964</v>
      </c>
      <c r="W1094" t="s">
        <v>1965</v>
      </c>
      <c r="X1094" t="s">
        <v>446</v>
      </c>
    </row>
    <row r="1095" spans="1:24" x14ac:dyDescent="0.25">
      <c r="A1095" t="s">
        <v>42</v>
      </c>
      <c r="B1095" t="s">
        <v>2683</v>
      </c>
      <c r="C1095" t="s">
        <v>403</v>
      </c>
      <c r="D1095" t="s">
        <v>436</v>
      </c>
      <c r="E1095" t="s">
        <v>1035</v>
      </c>
      <c r="F1095">
        <v>20804</v>
      </c>
      <c r="G1095" t="s">
        <v>1074</v>
      </c>
      <c r="H1095" t="s">
        <v>446</v>
      </c>
      <c r="I1095" t="s">
        <v>446</v>
      </c>
      <c r="J1095" t="s">
        <v>1746</v>
      </c>
      <c r="K1095" t="s">
        <v>446</v>
      </c>
      <c r="L1095" t="s">
        <v>446</v>
      </c>
      <c r="M1095" t="s">
        <v>446</v>
      </c>
      <c r="N1095" t="s">
        <v>446</v>
      </c>
      <c r="O1095" t="s">
        <v>446</v>
      </c>
      <c r="P1095" t="s">
        <v>446</v>
      </c>
      <c r="Q1095" t="b">
        <v>0</v>
      </c>
      <c r="R1095" t="b">
        <v>1</v>
      </c>
      <c r="S1095" t="s">
        <v>1961</v>
      </c>
      <c r="T1095" t="s">
        <v>1962</v>
      </c>
      <c r="U1095" t="s">
        <v>1963</v>
      </c>
      <c r="V1095" t="s">
        <v>1964</v>
      </c>
      <c r="W1095" t="s">
        <v>1965</v>
      </c>
      <c r="X1095" t="s">
        <v>446</v>
      </c>
    </row>
    <row r="1096" spans="1:24" x14ac:dyDescent="0.25">
      <c r="A1096" t="s">
        <v>42</v>
      </c>
      <c r="B1096" t="s">
        <v>2684</v>
      </c>
      <c r="C1096" t="s">
        <v>403</v>
      </c>
      <c r="D1096" t="s">
        <v>436</v>
      </c>
      <c r="E1096" t="s">
        <v>1040</v>
      </c>
      <c r="F1096">
        <v>20806</v>
      </c>
      <c r="G1096" t="s">
        <v>1074</v>
      </c>
      <c r="H1096" t="s">
        <v>446</v>
      </c>
      <c r="I1096" t="s">
        <v>446</v>
      </c>
      <c r="J1096" t="s">
        <v>1746</v>
      </c>
      <c r="K1096" t="s">
        <v>446</v>
      </c>
      <c r="L1096" t="s">
        <v>446</v>
      </c>
      <c r="M1096" t="s">
        <v>446</v>
      </c>
      <c r="N1096" t="s">
        <v>446</v>
      </c>
      <c r="O1096" t="s">
        <v>446</v>
      </c>
      <c r="P1096" t="s">
        <v>446</v>
      </c>
      <c r="Q1096" t="b">
        <v>0</v>
      </c>
      <c r="R1096" t="b">
        <v>1</v>
      </c>
      <c r="S1096" t="s">
        <v>1961</v>
      </c>
      <c r="T1096" t="s">
        <v>1962</v>
      </c>
      <c r="U1096" t="s">
        <v>1963</v>
      </c>
      <c r="V1096" t="s">
        <v>1964</v>
      </c>
      <c r="W1096" t="s">
        <v>1965</v>
      </c>
      <c r="X1096" t="s">
        <v>446</v>
      </c>
    </row>
    <row r="1097" spans="1:24" x14ac:dyDescent="0.25">
      <c r="A1097" t="s">
        <v>42</v>
      </c>
      <c r="B1097" t="s">
        <v>2685</v>
      </c>
      <c r="C1097" t="s">
        <v>403</v>
      </c>
      <c r="D1097" t="s">
        <v>436</v>
      </c>
      <c r="E1097" t="s">
        <v>1045</v>
      </c>
      <c r="F1097">
        <v>21794</v>
      </c>
      <c r="G1097" t="s">
        <v>1074</v>
      </c>
      <c r="H1097" t="s">
        <v>446</v>
      </c>
      <c r="I1097" t="s">
        <v>446</v>
      </c>
      <c r="J1097" t="s">
        <v>1746</v>
      </c>
      <c r="K1097" t="s">
        <v>446</v>
      </c>
      <c r="L1097" t="s">
        <v>446</v>
      </c>
      <c r="M1097" t="s">
        <v>446</v>
      </c>
      <c r="N1097" t="s">
        <v>446</v>
      </c>
      <c r="O1097" t="s">
        <v>446</v>
      </c>
      <c r="P1097" t="s">
        <v>446</v>
      </c>
      <c r="Q1097" t="b">
        <v>0</v>
      </c>
      <c r="R1097" t="b">
        <v>1</v>
      </c>
      <c r="S1097" t="s">
        <v>1961</v>
      </c>
      <c r="T1097" t="s">
        <v>1962</v>
      </c>
      <c r="U1097" t="s">
        <v>1963</v>
      </c>
      <c r="V1097" t="s">
        <v>1964</v>
      </c>
      <c r="W1097" t="s">
        <v>1965</v>
      </c>
      <c r="X1097" t="s">
        <v>446</v>
      </c>
    </row>
    <row r="1098" spans="1:24" x14ac:dyDescent="0.25">
      <c r="A1098" t="s">
        <v>42</v>
      </c>
      <c r="B1098" t="s">
        <v>2686</v>
      </c>
      <c r="C1098" t="s">
        <v>403</v>
      </c>
      <c r="D1098" t="s">
        <v>436</v>
      </c>
      <c r="E1098" t="s">
        <v>1051</v>
      </c>
      <c r="F1098">
        <v>26211</v>
      </c>
      <c r="G1098" t="s">
        <v>1074</v>
      </c>
      <c r="H1098" t="s">
        <v>446</v>
      </c>
      <c r="I1098" t="s">
        <v>446</v>
      </c>
      <c r="J1098" t="s">
        <v>1746</v>
      </c>
      <c r="K1098" t="s">
        <v>446</v>
      </c>
      <c r="L1098" t="s">
        <v>446</v>
      </c>
      <c r="M1098" t="s">
        <v>446</v>
      </c>
      <c r="N1098" t="s">
        <v>446</v>
      </c>
      <c r="O1098" t="s">
        <v>446</v>
      </c>
      <c r="P1098" t="s">
        <v>446</v>
      </c>
      <c r="Q1098" t="b">
        <v>0</v>
      </c>
      <c r="R1098" t="b">
        <v>1</v>
      </c>
      <c r="S1098" t="s">
        <v>1961</v>
      </c>
      <c r="T1098" t="s">
        <v>1962</v>
      </c>
      <c r="U1098" t="s">
        <v>1963</v>
      </c>
      <c r="V1098" t="s">
        <v>1964</v>
      </c>
      <c r="W1098" t="s">
        <v>1965</v>
      </c>
      <c r="X1098" t="s">
        <v>446</v>
      </c>
    </row>
    <row r="1099" spans="1:30" x14ac:dyDescent="0.25">
      <c r="A1099" t="s">
        <v>42</v>
      </c>
      <c r="B1099" t="s">
        <v>2157</v>
      </c>
      <c r="C1099" t="s">
        <v>330</v>
      </c>
      <c r="D1099" t="s">
        <v>323</v>
      </c>
      <c r="E1099" t="s">
        <v>978</v>
      </c>
      <c r="F1099">
        <v>13170</v>
      </c>
      <c r="G1099" t="s">
        <v>2012</v>
      </c>
      <c r="H1099" t="s">
        <v>2158</v>
      </c>
      <c r="I1099" t="s">
        <v>2159</v>
      </c>
      <c r="J1099" t="s">
        <v>1089</v>
      </c>
      <c r="K1099" t="s">
        <v>984</v>
      </c>
      <c r="L1099" t="s">
        <v>1948</v>
      </c>
      <c r="M1099" t="s">
        <v>980</v>
      </c>
      <c r="N1099" t="s">
        <v>985</v>
      </c>
      <c r="O1099" t="s">
        <v>446</v>
      </c>
      <c r="P1099" t="s">
        <v>981</v>
      </c>
      <c r="Q1099" t="b">
        <v>1</v>
      </c>
      <c r="R1099" t="b">
        <v>1</v>
      </c>
      <c r="S1099" t="s">
        <v>2160</v>
      </c>
      <c r="T1099" t="s">
        <v>446</v>
      </c>
      <c r="U1099" t="s">
        <v>1951</v>
      </c>
      <c r="V1099" t="s">
        <v>1980</v>
      </c>
      <c r="W1099" t="s">
        <v>1952</v>
      </c>
      <c r="X1099" t="s">
        <v>2687</v>
      </c>
      <c r="Y1099" t="s">
        <v>2162</v>
      </c>
      <c r="Z1099" t="s">
        <v>2163</v>
      </c>
      <c r="AA1099" t="s">
        <v>330</v>
      </c>
      <c r="AB1099" t="s">
        <v>2164</v>
      </c>
      <c r="AC1099" t="b">
        <v>0</v>
      </c>
      <c r="AD1099" t="b">
        <v>1</v>
      </c>
    </row>
    <row r="1100" spans="1:30" x14ac:dyDescent="0.25">
      <c r="A1100" t="s">
        <v>42</v>
      </c>
      <c r="B1100" t="s">
        <v>2165</v>
      </c>
      <c r="C1100" t="s">
        <v>330</v>
      </c>
      <c r="D1100" t="s">
        <v>323</v>
      </c>
      <c r="E1100" t="s">
        <v>986</v>
      </c>
      <c r="F1100">
        <v>14431</v>
      </c>
      <c r="G1100" t="s">
        <v>2012</v>
      </c>
      <c r="H1100" t="s">
        <v>2166</v>
      </c>
      <c r="I1100" t="s">
        <v>2159</v>
      </c>
      <c r="J1100" t="s">
        <v>1089</v>
      </c>
      <c r="K1100" t="s">
        <v>990</v>
      </c>
      <c r="L1100" t="s">
        <v>1955</v>
      </c>
      <c r="M1100" t="s">
        <v>980</v>
      </c>
      <c r="N1100" t="s">
        <v>991</v>
      </c>
      <c r="O1100" t="s">
        <v>446</v>
      </c>
      <c r="P1100" t="s">
        <v>988</v>
      </c>
      <c r="Q1100" t="b">
        <v>1</v>
      </c>
      <c r="R1100" t="b">
        <v>1</v>
      </c>
      <c r="S1100" t="s">
        <v>2160</v>
      </c>
      <c r="T1100" t="s">
        <v>446</v>
      </c>
      <c r="U1100" t="s">
        <v>1951</v>
      </c>
      <c r="V1100" t="s">
        <v>1980</v>
      </c>
      <c r="W1100" t="s">
        <v>1952</v>
      </c>
      <c r="X1100" t="s">
        <v>2687</v>
      </c>
      <c r="Y1100" t="s">
        <v>2162</v>
      </c>
      <c r="Z1100" t="s">
        <v>2163</v>
      </c>
      <c r="AA1100" t="s">
        <v>330</v>
      </c>
      <c r="AB1100" t="s">
        <v>2164</v>
      </c>
      <c r="AC1100" t="b">
        <v>0</v>
      </c>
      <c r="AD1100" t="b">
        <v>1</v>
      </c>
    </row>
    <row r="1101" spans="1:30" x14ac:dyDescent="0.25">
      <c r="A1101" t="s">
        <v>42</v>
      </c>
      <c r="B1101" t="s">
        <v>2167</v>
      </c>
      <c r="C1101" t="s">
        <v>330</v>
      </c>
      <c r="D1101" t="s">
        <v>323</v>
      </c>
      <c r="E1101" t="s">
        <v>992</v>
      </c>
      <c r="F1101">
        <v>14215</v>
      </c>
      <c r="G1101" t="s">
        <v>2012</v>
      </c>
      <c r="H1101" t="s">
        <v>2168</v>
      </c>
      <c r="I1101" t="s">
        <v>2159</v>
      </c>
      <c r="J1101" t="s">
        <v>1089</v>
      </c>
      <c r="K1101" t="s">
        <v>996</v>
      </c>
      <c r="L1101" t="s">
        <v>1958</v>
      </c>
      <c r="M1101" t="s">
        <v>980</v>
      </c>
      <c r="N1101" t="s">
        <v>997</v>
      </c>
      <c r="O1101" t="s">
        <v>446</v>
      </c>
      <c r="P1101" t="s">
        <v>994</v>
      </c>
      <c r="Q1101" t="b">
        <v>1</v>
      </c>
      <c r="R1101" t="b">
        <v>1</v>
      </c>
      <c r="S1101" t="s">
        <v>2160</v>
      </c>
      <c r="T1101" t="s">
        <v>446</v>
      </c>
      <c r="U1101" t="s">
        <v>1951</v>
      </c>
      <c r="V1101" t="s">
        <v>1980</v>
      </c>
      <c r="W1101" t="s">
        <v>1952</v>
      </c>
      <c r="X1101" t="s">
        <v>2687</v>
      </c>
      <c r="Y1101" t="s">
        <v>2162</v>
      </c>
      <c r="Z1101" t="s">
        <v>2163</v>
      </c>
      <c r="AA1101" t="s">
        <v>330</v>
      </c>
      <c r="AB1101" t="s">
        <v>2164</v>
      </c>
      <c r="AC1101" t="b">
        <v>0</v>
      </c>
      <c r="AD1101" t="b">
        <v>1</v>
      </c>
    </row>
    <row r="1102" spans="1:30" x14ac:dyDescent="0.25">
      <c r="A1102" t="s">
        <v>42</v>
      </c>
      <c r="B1102" t="s">
        <v>2169</v>
      </c>
      <c r="C1102" t="s">
        <v>330</v>
      </c>
      <c r="D1102" t="s">
        <v>323</v>
      </c>
      <c r="E1102" t="s">
        <v>998</v>
      </c>
      <c r="F1102">
        <v>12363</v>
      </c>
      <c r="G1102" t="s">
        <v>2012</v>
      </c>
      <c r="H1102" t="s">
        <v>2170</v>
      </c>
      <c r="I1102" t="s">
        <v>2159</v>
      </c>
      <c r="J1102" t="s">
        <v>1089</v>
      </c>
      <c r="K1102" t="s">
        <v>1003</v>
      </c>
      <c r="L1102" t="s">
        <v>2031</v>
      </c>
      <c r="M1102" t="s">
        <v>1000</v>
      </c>
      <c r="N1102" t="s">
        <v>1004</v>
      </c>
      <c r="O1102" t="s">
        <v>446</v>
      </c>
      <c r="P1102" t="s">
        <v>1001</v>
      </c>
      <c r="Q1102" t="b">
        <v>1</v>
      </c>
      <c r="R1102" t="b">
        <v>1</v>
      </c>
      <c r="S1102" t="s">
        <v>2160</v>
      </c>
      <c r="T1102" t="s">
        <v>446</v>
      </c>
      <c r="U1102" t="s">
        <v>1951</v>
      </c>
      <c r="V1102" t="s">
        <v>1980</v>
      </c>
      <c r="W1102" t="s">
        <v>1952</v>
      </c>
      <c r="X1102" t="s">
        <v>2687</v>
      </c>
      <c r="Y1102" t="s">
        <v>2162</v>
      </c>
      <c r="Z1102" t="s">
        <v>2163</v>
      </c>
      <c r="AA1102" t="s">
        <v>330</v>
      </c>
      <c r="AB1102" t="s">
        <v>2164</v>
      </c>
      <c r="AC1102" t="b">
        <v>0</v>
      </c>
      <c r="AD1102" t="b">
        <v>1</v>
      </c>
    </row>
    <row r="1103" spans="1:30" x14ac:dyDescent="0.25">
      <c r="A1103" t="s">
        <v>42</v>
      </c>
      <c r="B1103" t="s">
        <v>2688</v>
      </c>
      <c r="C1103" t="s">
        <v>330</v>
      </c>
      <c r="D1103" t="s">
        <v>323</v>
      </c>
      <c r="E1103" t="s">
        <v>982</v>
      </c>
      <c r="F1103">
        <v>12363</v>
      </c>
      <c r="G1103" t="s">
        <v>2012</v>
      </c>
      <c r="H1103" t="s">
        <v>2170</v>
      </c>
      <c r="I1103" t="s">
        <v>2159</v>
      </c>
      <c r="J1103" t="s">
        <v>1089</v>
      </c>
      <c r="K1103" t="s">
        <v>1003</v>
      </c>
      <c r="L1103" t="s">
        <v>2031</v>
      </c>
      <c r="M1103" t="s">
        <v>1000</v>
      </c>
      <c r="N1103" t="s">
        <v>1004</v>
      </c>
      <c r="O1103" t="s">
        <v>446</v>
      </c>
      <c r="P1103" t="s">
        <v>1001</v>
      </c>
      <c r="Q1103" t="b">
        <v>1</v>
      </c>
      <c r="R1103" t="b">
        <v>1</v>
      </c>
      <c r="S1103" t="s">
        <v>2160</v>
      </c>
      <c r="T1103" t="s">
        <v>446</v>
      </c>
      <c r="U1103" t="s">
        <v>1951</v>
      </c>
      <c r="V1103" t="s">
        <v>1980</v>
      </c>
      <c r="W1103" t="s">
        <v>2689</v>
      </c>
      <c r="X1103" t="s">
        <v>2687</v>
      </c>
      <c r="Y1103" t="s">
        <v>2162</v>
      </c>
      <c r="Z1103" t="s">
        <v>2163</v>
      </c>
      <c r="AA1103" t="s">
        <v>330</v>
      </c>
      <c r="AB1103" t="s">
        <v>2164</v>
      </c>
      <c r="AC1103" t="b">
        <v>0</v>
      </c>
      <c r="AD1103" t="b">
        <v>1</v>
      </c>
    </row>
    <row r="1104" spans="1:30" x14ac:dyDescent="0.25">
      <c r="A1104" t="s">
        <v>42</v>
      </c>
      <c r="B1104" t="s">
        <v>2171</v>
      </c>
      <c r="C1104" t="s">
        <v>330</v>
      </c>
      <c r="D1104" t="s">
        <v>323</v>
      </c>
      <c r="E1104" t="s">
        <v>1006</v>
      </c>
      <c r="F1104">
        <v>15203</v>
      </c>
      <c r="G1104" t="s">
        <v>2012</v>
      </c>
      <c r="H1104" t="s">
        <v>2172</v>
      </c>
      <c r="I1104" t="s">
        <v>2159</v>
      </c>
      <c r="J1104" t="s">
        <v>1089</v>
      </c>
      <c r="K1104" t="s">
        <v>1967</v>
      </c>
      <c r="L1104" t="s">
        <v>1968</v>
      </c>
      <c r="M1104" t="s">
        <v>980</v>
      </c>
      <c r="N1104" t="s">
        <v>1969</v>
      </c>
      <c r="O1104" t="s">
        <v>446</v>
      </c>
      <c r="P1104" t="s">
        <v>1009</v>
      </c>
      <c r="Q1104" t="b">
        <v>1</v>
      </c>
      <c r="R1104" t="b">
        <v>1</v>
      </c>
      <c r="S1104" t="s">
        <v>2160</v>
      </c>
      <c r="T1104" t="s">
        <v>446</v>
      </c>
      <c r="U1104" t="s">
        <v>1951</v>
      </c>
      <c r="V1104" t="s">
        <v>1980</v>
      </c>
      <c r="W1104" t="s">
        <v>1952</v>
      </c>
      <c r="X1104" t="s">
        <v>2687</v>
      </c>
      <c r="Y1104" t="s">
        <v>2173</v>
      </c>
      <c r="Z1104" t="s">
        <v>446</v>
      </c>
      <c r="AA1104" t="s">
        <v>330</v>
      </c>
      <c r="AB1104" t="s">
        <v>446</v>
      </c>
      <c r="AC1104" t="b">
        <v>0</v>
      </c>
      <c r="AD1104" t="b">
        <v>1</v>
      </c>
    </row>
    <row r="1105" spans="1:30" x14ac:dyDescent="0.25">
      <c r="A1105" t="s">
        <v>42</v>
      </c>
      <c r="B1105" t="s">
        <v>2174</v>
      </c>
      <c r="C1105" t="s">
        <v>330</v>
      </c>
      <c r="D1105" t="s">
        <v>323</v>
      </c>
      <c r="E1105" t="s">
        <v>1013</v>
      </c>
      <c r="F1105">
        <v>17399</v>
      </c>
      <c r="G1105" t="s">
        <v>2012</v>
      </c>
      <c r="H1105" t="s">
        <v>2175</v>
      </c>
      <c r="I1105" t="s">
        <v>2159</v>
      </c>
      <c r="J1105" t="s">
        <v>1089</v>
      </c>
      <c r="K1105" t="s">
        <v>1016</v>
      </c>
      <c r="L1105" t="s">
        <v>1972</v>
      </c>
      <c r="M1105" t="s">
        <v>980</v>
      </c>
      <c r="N1105" t="s">
        <v>1017</v>
      </c>
      <c r="O1105" t="s">
        <v>446</v>
      </c>
      <c r="P1105" t="s">
        <v>1015</v>
      </c>
      <c r="Q1105" t="b">
        <v>1</v>
      </c>
      <c r="R1105" t="b">
        <v>1</v>
      </c>
      <c r="S1105" t="s">
        <v>2160</v>
      </c>
      <c r="T1105" t="s">
        <v>446</v>
      </c>
      <c r="U1105" t="s">
        <v>1951</v>
      </c>
      <c r="V1105" t="s">
        <v>1980</v>
      </c>
      <c r="W1105" t="s">
        <v>1952</v>
      </c>
      <c r="X1105" t="s">
        <v>2687</v>
      </c>
      <c r="Y1105" t="s">
        <v>2162</v>
      </c>
      <c r="Z1105" t="s">
        <v>2163</v>
      </c>
      <c r="AA1105" t="s">
        <v>330</v>
      </c>
      <c r="AB1105" t="s">
        <v>2164</v>
      </c>
      <c r="AC1105" t="b">
        <v>0</v>
      </c>
      <c r="AD1105" t="b">
        <v>1</v>
      </c>
    </row>
    <row r="1106" spans="1:30" x14ac:dyDescent="0.25">
      <c r="A1106" t="s">
        <v>42</v>
      </c>
      <c r="B1106" t="s">
        <v>2176</v>
      </c>
      <c r="C1106" t="s">
        <v>330</v>
      </c>
      <c r="D1106" t="s">
        <v>323</v>
      </c>
      <c r="E1106" t="s">
        <v>1018</v>
      </c>
      <c r="F1106">
        <v>16377</v>
      </c>
      <c r="G1106" t="s">
        <v>2012</v>
      </c>
      <c r="H1106" t="s">
        <v>2177</v>
      </c>
      <c r="I1106" t="s">
        <v>2159</v>
      </c>
      <c r="J1106" t="s">
        <v>1089</v>
      </c>
      <c r="K1106" t="s">
        <v>1021</v>
      </c>
      <c r="L1106" t="s">
        <v>1975</v>
      </c>
      <c r="M1106" t="s">
        <v>980</v>
      </c>
      <c r="N1106" t="s">
        <v>1022</v>
      </c>
      <c r="O1106" t="s">
        <v>446</v>
      </c>
      <c r="P1106" t="s">
        <v>1020</v>
      </c>
      <c r="Q1106" t="b">
        <v>1</v>
      </c>
      <c r="R1106" t="b">
        <v>1</v>
      </c>
      <c r="S1106" t="s">
        <v>2160</v>
      </c>
      <c r="T1106" t="s">
        <v>446</v>
      </c>
      <c r="U1106" t="s">
        <v>1951</v>
      </c>
      <c r="V1106" t="s">
        <v>1980</v>
      </c>
      <c r="W1106" t="s">
        <v>1952</v>
      </c>
      <c r="X1106" t="s">
        <v>2687</v>
      </c>
      <c r="Y1106" t="s">
        <v>2162</v>
      </c>
      <c r="Z1106" t="s">
        <v>2163</v>
      </c>
      <c r="AA1106" t="s">
        <v>330</v>
      </c>
      <c r="AB1106" t="s">
        <v>2164</v>
      </c>
      <c r="AC1106" t="b">
        <v>0</v>
      </c>
      <c r="AD1106" t="b">
        <v>1</v>
      </c>
    </row>
    <row r="1107" spans="1:30" x14ac:dyDescent="0.25">
      <c r="A1107" t="s">
        <v>42</v>
      </c>
      <c r="B1107" t="s">
        <v>2178</v>
      </c>
      <c r="C1107" t="s">
        <v>330</v>
      </c>
      <c r="D1107" t="s">
        <v>323</v>
      </c>
      <c r="E1107" t="s">
        <v>1023</v>
      </c>
      <c r="F1107">
        <v>12848</v>
      </c>
      <c r="G1107" t="s">
        <v>2012</v>
      </c>
      <c r="H1107" t="s">
        <v>2179</v>
      </c>
      <c r="I1107" t="s">
        <v>2159</v>
      </c>
      <c r="J1107" t="s">
        <v>1089</v>
      </c>
      <c r="K1107" t="s">
        <v>1026</v>
      </c>
      <c r="L1107" t="s">
        <v>1979</v>
      </c>
      <c r="M1107" t="s">
        <v>1000</v>
      </c>
      <c r="N1107" t="s">
        <v>1027</v>
      </c>
      <c r="O1107" t="s">
        <v>446</v>
      </c>
      <c r="P1107" t="s">
        <v>1025</v>
      </c>
      <c r="Q1107" t="b">
        <v>1</v>
      </c>
      <c r="R1107" t="b">
        <v>1</v>
      </c>
      <c r="S1107" t="s">
        <v>2160</v>
      </c>
      <c r="T1107" t="s">
        <v>446</v>
      </c>
      <c r="U1107" t="s">
        <v>1951</v>
      </c>
      <c r="V1107" t="s">
        <v>1980</v>
      </c>
      <c r="W1107" t="s">
        <v>1952</v>
      </c>
      <c r="X1107" t="s">
        <v>2687</v>
      </c>
      <c r="Y1107" t="s">
        <v>2162</v>
      </c>
      <c r="Z1107" t="s">
        <v>2163</v>
      </c>
      <c r="AA1107" t="s">
        <v>330</v>
      </c>
      <c r="AB1107" t="s">
        <v>2164</v>
      </c>
      <c r="AC1107" t="b">
        <v>0</v>
      </c>
      <c r="AD1107" t="b">
        <v>1</v>
      </c>
    </row>
    <row r="1108" spans="1:30" x14ac:dyDescent="0.25">
      <c r="A1108" t="s">
        <v>42</v>
      </c>
      <c r="B1108" t="s">
        <v>2690</v>
      </c>
      <c r="C1108" t="s">
        <v>330</v>
      </c>
      <c r="D1108" t="s">
        <v>323</v>
      </c>
      <c r="E1108" t="s">
        <v>1010</v>
      </c>
      <c r="F1108">
        <v>12848</v>
      </c>
      <c r="G1108" t="s">
        <v>2012</v>
      </c>
      <c r="H1108" t="s">
        <v>2179</v>
      </c>
      <c r="I1108" t="s">
        <v>2159</v>
      </c>
      <c r="J1108" t="s">
        <v>1089</v>
      </c>
      <c r="K1108" t="s">
        <v>1026</v>
      </c>
      <c r="L1108" t="s">
        <v>1979</v>
      </c>
      <c r="M1108" t="s">
        <v>1000</v>
      </c>
      <c r="N1108" t="s">
        <v>1027</v>
      </c>
      <c r="O1108" t="s">
        <v>446</v>
      </c>
      <c r="P1108" t="s">
        <v>1025</v>
      </c>
      <c r="Q1108" t="b">
        <v>1</v>
      </c>
      <c r="R1108" t="b">
        <v>1</v>
      </c>
      <c r="S1108" t="s">
        <v>2160</v>
      </c>
      <c r="T1108" t="s">
        <v>446</v>
      </c>
      <c r="U1108" t="s">
        <v>1951</v>
      </c>
      <c r="V1108" t="s">
        <v>1980</v>
      </c>
      <c r="W1108" t="s">
        <v>2691</v>
      </c>
      <c r="X1108" t="s">
        <v>2687</v>
      </c>
      <c r="Y1108" t="s">
        <v>2162</v>
      </c>
      <c r="Z1108" t="s">
        <v>2163</v>
      </c>
      <c r="AA1108" t="s">
        <v>330</v>
      </c>
      <c r="AB1108" t="s">
        <v>2164</v>
      </c>
      <c r="AC1108" t="b">
        <v>0</v>
      </c>
      <c r="AD1108" t="b">
        <v>1</v>
      </c>
    </row>
    <row r="1109" spans="1:30" x14ac:dyDescent="0.25">
      <c r="A1109" t="s">
        <v>42</v>
      </c>
      <c r="B1109" t="s">
        <v>2692</v>
      </c>
      <c r="C1109" t="s">
        <v>330</v>
      </c>
      <c r="D1109" t="s">
        <v>323</v>
      </c>
      <c r="E1109" t="s">
        <v>1032</v>
      </c>
      <c r="F1109">
        <v>13872</v>
      </c>
      <c r="G1109" t="s">
        <v>2012</v>
      </c>
      <c r="H1109" t="s">
        <v>2183</v>
      </c>
      <c r="I1109" t="s">
        <v>2159</v>
      </c>
      <c r="J1109" t="s">
        <v>1089</v>
      </c>
      <c r="K1109" t="s">
        <v>1048</v>
      </c>
      <c r="L1109" t="s">
        <v>1991</v>
      </c>
      <c r="M1109" t="s">
        <v>1000</v>
      </c>
      <c r="N1109" t="s">
        <v>1049</v>
      </c>
      <c r="O1109" t="s">
        <v>446</v>
      </c>
      <c r="P1109" t="s">
        <v>1047</v>
      </c>
      <c r="Q1109" t="b">
        <v>1</v>
      </c>
      <c r="R1109" t="b">
        <v>1</v>
      </c>
      <c r="S1109" t="s">
        <v>2160</v>
      </c>
      <c r="T1109" t="s">
        <v>446</v>
      </c>
      <c r="U1109" t="s">
        <v>1951</v>
      </c>
      <c r="V1109" t="s">
        <v>1980</v>
      </c>
      <c r="W1109" t="s">
        <v>2693</v>
      </c>
      <c r="X1109" t="s">
        <v>2687</v>
      </c>
      <c r="Y1109" t="s">
        <v>2162</v>
      </c>
      <c r="Z1109" t="s">
        <v>2163</v>
      </c>
      <c r="AA1109" t="s">
        <v>330</v>
      </c>
      <c r="AB1109" t="s">
        <v>2164</v>
      </c>
      <c r="AC1109" t="b">
        <v>0</v>
      </c>
      <c r="AD1109" t="b">
        <v>1</v>
      </c>
    </row>
    <row r="1110" spans="1:30" x14ac:dyDescent="0.25">
      <c r="A1110" t="s">
        <v>42</v>
      </c>
      <c r="B1110" t="s">
        <v>2184</v>
      </c>
      <c r="C1110" t="s">
        <v>330</v>
      </c>
      <c r="D1110" t="s">
        <v>323</v>
      </c>
      <c r="E1110" t="s">
        <v>1051</v>
      </c>
      <c r="F1110">
        <v>11083</v>
      </c>
      <c r="G1110" t="s">
        <v>2012</v>
      </c>
      <c r="H1110" t="s">
        <v>2185</v>
      </c>
      <c r="I1110" t="s">
        <v>2159</v>
      </c>
      <c r="J1110" t="s">
        <v>1089</v>
      </c>
      <c r="K1110" t="s">
        <v>1055</v>
      </c>
      <c r="L1110" t="s">
        <v>1993</v>
      </c>
      <c r="M1110" t="s">
        <v>980</v>
      </c>
      <c r="N1110" t="s">
        <v>1056</v>
      </c>
      <c r="O1110" t="s">
        <v>446</v>
      </c>
      <c r="P1110" t="s">
        <v>1053</v>
      </c>
      <c r="Q1110" t="b">
        <v>1</v>
      </c>
      <c r="R1110" t="b">
        <v>1</v>
      </c>
      <c r="S1110" t="s">
        <v>2160</v>
      </c>
      <c r="T1110" t="s">
        <v>446</v>
      </c>
      <c r="U1110" t="s">
        <v>1951</v>
      </c>
      <c r="V1110" t="s">
        <v>1980</v>
      </c>
      <c r="W1110" t="s">
        <v>1952</v>
      </c>
      <c r="X1110" t="s">
        <v>2687</v>
      </c>
      <c r="Y1110" t="s">
        <v>2173</v>
      </c>
      <c r="Z1110" t="s">
        <v>446</v>
      </c>
      <c r="AA1110" t="s">
        <v>330</v>
      </c>
      <c r="AB1110" t="s">
        <v>446</v>
      </c>
      <c r="AC1110" t="b">
        <v>0</v>
      </c>
      <c r="AD1110" t="b">
        <v>1</v>
      </c>
    </row>
    <row r="1111" spans="1:30" x14ac:dyDescent="0.25">
      <c r="A1111" t="s">
        <v>42</v>
      </c>
      <c r="B1111" t="s">
        <v>2694</v>
      </c>
      <c r="C1111" t="s">
        <v>331</v>
      </c>
      <c r="D1111" t="s">
        <v>323</v>
      </c>
      <c r="E1111" t="s">
        <v>982</v>
      </c>
      <c r="F1111">
        <v>3410</v>
      </c>
      <c r="G1111" t="s">
        <v>2012</v>
      </c>
      <c r="H1111" t="s">
        <v>2193</v>
      </c>
      <c r="I1111" t="s">
        <v>2187</v>
      </c>
      <c r="J1111" t="s">
        <v>1089</v>
      </c>
      <c r="K1111" t="s">
        <v>1003</v>
      </c>
      <c r="L1111" t="s">
        <v>2031</v>
      </c>
      <c r="M1111" t="s">
        <v>1000</v>
      </c>
      <c r="N1111" t="s">
        <v>1004</v>
      </c>
      <c r="O1111" t="s">
        <v>446</v>
      </c>
      <c r="P1111" t="s">
        <v>1001</v>
      </c>
      <c r="Q1111" t="b">
        <v>1</v>
      </c>
      <c r="R1111" t="b">
        <v>1</v>
      </c>
      <c r="S1111" t="s">
        <v>2160</v>
      </c>
      <c r="T1111" t="s">
        <v>446</v>
      </c>
      <c r="U1111" t="s">
        <v>1951</v>
      </c>
      <c r="V1111" t="s">
        <v>1964</v>
      </c>
      <c r="W1111" t="s">
        <v>2695</v>
      </c>
      <c r="X1111" t="s">
        <v>2696</v>
      </c>
      <c r="Y1111" t="s">
        <v>2187</v>
      </c>
      <c r="Z1111" t="s">
        <v>446</v>
      </c>
      <c r="AA1111" t="s">
        <v>331</v>
      </c>
      <c r="AB1111" t="s">
        <v>446</v>
      </c>
      <c r="AC1111" t="b">
        <v>0</v>
      </c>
      <c r="AD1111" t="b">
        <v>1</v>
      </c>
    </row>
    <row r="1112" spans="1:30" x14ac:dyDescent="0.25">
      <c r="A1112" t="s">
        <v>42</v>
      </c>
      <c r="B1112" t="s">
        <v>2697</v>
      </c>
      <c r="C1112" t="s">
        <v>331</v>
      </c>
      <c r="D1112" t="s">
        <v>323</v>
      </c>
      <c r="E1112" t="s">
        <v>1010</v>
      </c>
      <c r="F1112">
        <v>3569</v>
      </c>
      <c r="G1112" t="s">
        <v>2012</v>
      </c>
      <c r="H1112" t="s">
        <v>2197</v>
      </c>
      <c r="I1112" t="s">
        <v>2187</v>
      </c>
      <c r="J1112" t="s">
        <v>1089</v>
      </c>
      <c r="K1112" t="s">
        <v>1026</v>
      </c>
      <c r="L1112" t="s">
        <v>1979</v>
      </c>
      <c r="M1112" t="s">
        <v>1000</v>
      </c>
      <c r="N1112" t="s">
        <v>1027</v>
      </c>
      <c r="O1112" t="s">
        <v>446</v>
      </c>
      <c r="P1112" t="s">
        <v>1025</v>
      </c>
      <c r="Q1112" t="b">
        <v>1</v>
      </c>
      <c r="R1112" t="b">
        <v>1</v>
      </c>
      <c r="S1112" t="s">
        <v>2160</v>
      </c>
      <c r="T1112" t="s">
        <v>446</v>
      </c>
      <c r="U1112" t="s">
        <v>1951</v>
      </c>
      <c r="V1112" t="s">
        <v>1964</v>
      </c>
      <c r="W1112" t="s">
        <v>2698</v>
      </c>
      <c r="X1112" t="s">
        <v>2696</v>
      </c>
      <c r="Y1112" t="s">
        <v>2187</v>
      </c>
      <c r="Z1112" t="s">
        <v>446</v>
      </c>
      <c r="AA1112" t="s">
        <v>331</v>
      </c>
      <c r="AB1112" t="s">
        <v>446</v>
      </c>
      <c r="AC1112" t="b">
        <v>0</v>
      </c>
      <c r="AD1112" t="b">
        <v>1</v>
      </c>
    </row>
    <row r="1113" spans="1:30" x14ac:dyDescent="0.25">
      <c r="A1113" t="s">
        <v>42</v>
      </c>
      <c r="B1113" t="s">
        <v>2699</v>
      </c>
      <c r="C1113" t="s">
        <v>331</v>
      </c>
      <c r="D1113" t="s">
        <v>323</v>
      </c>
      <c r="E1113" t="s">
        <v>1032</v>
      </c>
      <c r="F1113">
        <v>3038</v>
      </c>
      <c r="G1113" t="s">
        <v>2012</v>
      </c>
      <c r="H1113" t="s">
        <v>2201</v>
      </c>
      <c r="I1113" t="s">
        <v>2187</v>
      </c>
      <c r="J1113" t="s">
        <v>1089</v>
      </c>
      <c r="K1113" t="s">
        <v>1048</v>
      </c>
      <c r="L1113" t="s">
        <v>1991</v>
      </c>
      <c r="M1113" t="s">
        <v>1000</v>
      </c>
      <c r="N1113" t="s">
        <v>1049</v>
      </c>
      <c r="O1113" t="s">
        <v>446</v>
      </c>
      <c r="P1113" t="s">
        <v>1047</v>
      </c>
      <c r="Q1113" t="b">
        <v>1</v>
      </c>
      <c r="R1113" t="b">
        <v>1</v>
      </c>
      <c r="S1113" t="s">
        <v>2160</v>
      </c>
      <c r="T1113" t="s">
        <v>446</v>
      </c>
      <c r="U1113" t="s">
        <v>1951</v>
      </c>
      <c r="V1113" t="s">
        <v>1964</v>
      </c>
      <c r="W1113" t="s">
        <v>2700</v>
      </c>
      <c r="X1113" t="s">
        <v>2696</v>
      </c>
      <c r="Y1113" t="s">
        <v>2187</v>
      </c>
      <c r="Z1113" t="s">
        <v>446</v>
      </c>
      <c r="AA1113" t="s">
        <v>331</v>
      </c>
      <c r="AB1113" t="s">
        <v>446</v>
      </c>
      <c r="AC1113" t="b">
        <v>0</v>
      </c>
      <c r="AD1113" t="b">
        <v>1</v>
      </c>
    </row>
    <row r="1114" spans="1:30" x14ac:dyDescent="0.25">
      <c r="A1114" t="s">
        <v>42</v>
      </c>
      <c r="B1114" t="s">
        <v>2701</v>
      </c>
      <c r="C1114" t="s">
        <v>332</v>
      </c>
      <c r="D1114" t="s">
        <v>323</v>
      </c>
      <c r="E1114" t="s">
        <v>982</v>
      </c>
      <c r="F1114">
        <v>4424</v>
      </c>
      <c r="G1114" t="s">
        <v>1945</v>
      </c>
      <c r="H1114" t="s">
        <v>2210</v>
      </c>
      <c r="I1114" t="s">
        <v>2204</v>
      </c>
      <c r="J1114" t="s">
        <v>1089</v>
      </c>
      <c r="K1114" t="s">
        <v>1003</v>
      </c>
      <c r="L1114" t="s">
        <v>2031</v>
      </c>
      <c r="M1114" t="s">
        <v>1000</v>
      </c>
      <c r="N1114" t="s">
        <v>1004</v>
      </c>
      <c r="O1114" t="s">
        <v>446</v>
      </c>
      <c r="P1114" t="s">
        <v>1001</v>
      </c>
      <c r="Q1114" t="b">
        <v>1</v>
      </c>
      <c r="R1114" t="b">
        <v>1</v>
      </c>
      <c r="S1114" t="s">
        <v>2160</v>
      </c>
      <c r="T1114" t="s">
        <v>446</v>
      </c>
      <c r="U1114" t="s">
        <v>1951</v>
      </c>
      <c r="V1114" t="s">
        <v>1980</v>
      </c>
      <c r="W1114" t="s">
        <v>2702</v>
      </c>
      <c r="X1114" t="s">
        <v>2703</v>
      </c>
      <c r="Y1114" t="s">
        <v>2206</v>
      </c>
      <c r="Z1114" t="s">
        <v>2163</v>
      </c>
      <c r="AA1114" t="s">
        <v>332</v>
      </c>
      <c r="AB1114" t="s">
        <v>2207</v>
      </c>
      <c r="AC1114" t="b">
        <v>0</v>
      </c>
      <c r="AD1114" t="b">
        <v>1</v>
      </c>
    </row>
    <row r="1115" spans="1:30" x14ac:dyDescent="0.25">
      <c r="A1115" t="s">
        <v>42</v>
      </c>
      <c r="B1115" t="s">
        <v>2704</v>
      </c>
      <c r="C1115" t="s">
        <v>332</v>
      </c>
      <c r="D1115" t="s">
        <v>323</v>
      </c>
      <c r="E1115" t="s">
        <v>1010</v>
      </c>
      <c r="F1115">
        <v>4728</v>
      </c>
      <c r="G1115" t="s">
        <v>1945</v>
      </c>
      <c r="H1115" t="s">
        <v>2215</v>
      </c>
      <c r="I1115" t="s">
        <v>2204</v>
      </c>
      <c r="J1115" t="s">
        <v>1089</v>
      </c>
      <c r="K1115" t="s">
        <v>1026</v>
      </c>
      <c r="L1115" t="s">
        <v>1979</v>
      </c>
      <c r="M1115" t="s">
        <v>1000</v>
      </c>
      <c r="N1115" t="s">
        <v>1027</v>
      </c>
      <c r="O1115" t="s">
        <v>446</v>
      </c>
      <c r="P1115" t="s">
        <v>1025</v>
      </c>
      <c r="Q1115" t="b">
        <v>1</v>
      </c>
      <c r="R1115" t="b">
        <v>1</v>
      </c>
      <c r="S1115" t="s">
        <v>2160</v>
      </c>
      <c r="T1115" t="s">
        <v>446</v>
      </c>
      <c r="U1115" t="s">
        <v>1951</v>
      </c>
      <c r="V1115" t="s">
        <v>1980</v>
      </c>
      <c r="W1115" t="s">
        <v>2705</v>
      </c>
      <c r="X1115" t="s">
        <v>2703</v>
      </c>
      <c r="Y1115" t="s">
        <v>2206</v>
      </c>
      <c r="Z1115" t="s">
        <v>2163</v>
      </c>
      <c r="AA1115" t="s">
        <v>332</v>
      </c>
      <c r="AB1115" t="s">
        <v>2207</v>
      </c>
      <c r="AC1115" t="b">
        <v>0</v>
      </c>
      <c r="AD1115" t="b">
        <v>1</v>
      </c>
    </row>
    <row r="1116" spans="1:30" x14ac:dyDescent="0.25">
      <c r="A1116" t="s">
        <v>42</v>
      </c>
      <c r="B1116" t="s">
        <v>2706</v>
      </c>
      <c r="C1116" t="s">
        <v>332</v>
      </c>
      <c r="D1116" t="s">
        <v>323</v>
      </c>
      <c r="E1116" t="s">
        <v>1032</v>
      </c>
      <c r="F1116">
        <v>4425</v>
      </c>
      <c r="G1116" t="s">
        <v>1945</v>
      </c>
      <c r="H1116" t="s">
        <v>2219</v>
      </c>
      <c r="I1116" t="s">
        <v>2204</v>
      </c>
      <c r="J1116" t="s">
        <v>1089</v>
      </c>
      <c r="K1116" t="s">
        <v>1048</v>
      </c>
      <c r="L1116" t="s">
        <v>1991</v>
      </c>
      <c r="M1116" t="s">
        <v>1000</v>
      </c>
      <c r="N1116" t="s">
        <v>1049</v>
      </c>
      <c r="O1116" t="s">
        <v>446</v>
      </c>
      <c r="P1116" t="s">
        <v>1047</v>
      </c>
      <c r="Q1116" t="b">
        <v>1</v>
      </c>
      <c r="R1116" t="b">
        <v>1</v>
      </c>
      <c r="S1116" t="s">
        <v>2160</v>
      </c>
      <c r="T1116" t="s">
        <v>446</v>
      </c>
      <c r="U1116" t="s">
        <v>1951</v>
      </c>
      <c r="V1116" t="s">
        <v>1980</v>
      </c>
      <c r="W1116" t="s">
        <v>2707</v>
      </c>
      <c r="X1116" t="s">
        <v>2703</v>
      </c>
      <c r="Y1116" t="s">
        <v>2206</v>
      </c>
      <c r="Z1116" t="s">
        <v>2163</v>
      </c>
      <c r="AA1116" t="s">
        <v>332</v>
      </c>
      <c r="AB1116" t="s">
        <v>2207</v>
      </c>
      <c r="AC1116" t="b">
        <v>0</v>
      </c>
      <c r="AD1116" t="b">
        <v>1</v>
      </c>
    </row>
    <row r="1117" spans="1:30" x14ac:dyDescent="0.25">
      <c r="A1117" t="s">
        <v>42</v>
      </c>
      <c r="B1117" t="s">
        <v>2708</v>
      </c>
      <c r="C1117" t="s">
        <v>333</v>
      </c>
      <c r="D1117" t="s">
        <v>323</v>
      </c>
      <c r="E1117" t="s">
        <v>982</v>
      </c>
      <c r="F1117">
        <v>6535</v>
      </c>
      <c r="G1117" t="s">
        <v>2012</v>
      </c>
      <c r="H1117" t="s">
        <v>2230</v>
      </c>
      <c r="I1117" t="s">
        <v>2222</v>
      </c>
      <c r="J1117" t="s">
        <v>1089</v>
      </c>
      <c r="K1117" t="s">
        <v>1003</v>
      </c>
      <c r="L1117" t="s">
        <v>2031</v>
      </c>
      <c r="M1117" t="s">
        <v>1000</v>
      </c>
      <c r="N1117" t="s">
        <v>1004</v>
      </c>
      <c r="O1117" t="s">
        <v>446</v>
      </c>
      <c r="P1117" t="s">
        <v>1001</v>
      </c>
      <c r="Q1117" t="b">
        <v>1</v>
      </c>
      <c r="R1117" t="b">
        <v>1</v>
      </c>
      <c r="S1117" t="s">
        <v>2160</v>
      </c>
      <c r="T1117" t="s">
        <v>446</v>
      </c>
      <c r="U1117" t="s">
        <v>1951</v>
      </c>
      <c r="V1117" t="s">
        <v>1964</v>
      </c>
      <c r="W1117" t="s">
        <v>2709</v>
      </c>
      <c r="X1117" t="s">
        <v>2710</v>
      </c>
      <c r="Y1117" t="s">
        <v>2225</v>
      </c>
      <c r="Z1117" t="s">
        <v>2163</v>
      </c>
      <c r="AA1117" t="s">
        <v>2226</v>
      </c>
      <c r="AB1117" t="s">
        <v>2227</v>
      </c>
      <c r="AC1117" t="b">
        <v>0</v>
      </c>
      <c r="AD1117" t="b">
        <v>1</v>
      </c>
    </row>
    <row r="1118" spans="1:30" x14ac:dyDescent="0.25">
      <c r="A1118" t="s">
        <v>42</v>
      </c>
      <c r="B1118" t="s">
        <v>2711</v>
      </c>
      <c r="C1118" t="s">
        <v>333</v>
      </c>
      <c r="D1118" t="s">
        <v>323</v>
      </c>
      <c r="E1118" t="s">
        <v>1010</v>
      </c>
      <c r="F1118">
        <v>4852</v>
      </c>
      <c r="G1118" t="s">
        <v>2012</v>
      </c>
      <c r="H1118" t="s">
        <v>2234</v>
      </c>
      <c r="I1118" t="s">
        <v>2222</v>
      </c>
      <c r="J1118" t="s">
        <v>1089</v>
      </c>
      <c r="K1118" t="s">
        <v>1026</v>
      </c>
      <c r="L1118" t="s">
        <v>1979</v>
      </c>
      <c r="M1118" t="s">
        <v>1000</v>
      </c>
      <c r="N1118" t="s">
        <v>1027</v>
      </c>
      <c r="O1118" t="s">
        <v>446</v>
      </c>
      <c r="P1118" t="s">
        <v>1025</v>
      </c>
      <c r="Q1118" t="b">
        <v>1</v>
      </c>
      <c r="R1118" t="b">
        <v>1</v>
      </c>
      <c r="S1118" t="s">
        <v>2160</v>
      </c>
      <c r="T1118" t="s">
        <v>446</v>
      </c>
      <c r="U1118" t="s">
        <v>1951</v>
      </c>
      <c r="V1118" t="s">
        <v>1964</v>
      </c>
      <c r="W1118" t="s">
        <v>2712</v>
      </c>
      <c r="X1118" t="s">
        <v>2710</v>
      </c>
      <c r="Y1118" t="s">
        <v>2225</v>
      </c>
      <c r="Z1118" t="s">
        <v>2163</v>
      </c>
      <c r="AA1118" t="s">
        <v>2226</v>
      </c>
      <c r="AB1118" t="s">
        <v>2227</v>
      </c>
      <c r="AC1118" t="b">
        <v>0</v>
      </c>
      <c r="AD1118" t="b">
        <v>1</v>
      </c>
    </row>
    <row r="1119" spans="1:30" x14ac:dyDescent="0.25">
      <c r="A1119" t="s">
        <v>42</v>
      </c>
      <c r="B1119" t="s">
        <v>2713</v>
      </c>
      <c r="C1119" t="s">
        <v>333</v>
      </c>
      <c r="D1119" t="s">
        <v>323</v>
      </c>
      <c r="E1119" t="s">
        <v>1032</v>
      </c>
      <c r="F1119">
        <v>9709</v>
      </c>
      <c r="G1119" t="s">
        <v>2012</v>
      </c>
      <c r="H1119" t="s">
        <v>2238</v>
      </c>
      <c r="I1119" t="s">
        <v>2222</v>
      </c>
      <c r="J1119" t="s">
        <v>1089</v>
      </c>
      <c r="K1119" t="s">
        <v>1048</v>
      </c>
      <c r="L1119" t="s">
        <v>1991</v>
      </c>
      <c r="M1119" t="s">
        <v>1000</v>
      </c>
      <c r="N1119" t="s">
        <v>1049</v>
      </c>
      <c r="O1119" t="s">
        <v>446</v>
      </c>
      <c r="P1119" t="s">
        <v>1047</v>
      </c>
      <c r="Q1119" t="b">
        <v>1</v>
      </c>
      <c r="R1119" t="b">
        <v>1</v>
      </c>
      <c r="S1119" t="s">
        <v>2160</v>
      </c>
      <c r="T1119" t="s">
        <v>446</v>
      </c>
      <c r="U1119" t="s">
        <v>1951</v>
      </c>
      <c r="V1119" t="s">
        <v>1964</v>
      </c>
      <c r="W1119" t="s">
        <v>2714</v>
      </c>
      <c r="X1119" t="s">
        <v>2710</v>
      </c>
      <c r="Y1119" t="s">
        <v>2225</v>
      </c>
      <c r="Z1119" t="s">
        <v>2163</v>
      </c>
      <c r="AA1119" t="s">
        <v>2226</v>
      </c>
      <c r="AB1119" t="s">
        <v>2227</v>
      </c>
      <c r="AC1119" t="b">
        <v>0</v>
      </c>
      <c r="AD1119" t="b">
        <v>1</v>
      </c>
    </row>
    <row r="1120" spans="1:30" x14ac:dyDescent="0.25">
      <c r="A1120" t="s">
        <v>42</v>
      </c>
      <c r="B1120" t="s">
        <v>2715</v>
      </c>
      <c r="C1120" t="s">
        <v>335</v>
      </c>
      <c r="D1120" t="s">
        <v>323</v>
      </c>
      <c r="E1120" t="s">
        <v>982</v>
      </c>
      <c r="F1120">
        <v>9236</v>
      </c>
      <c r="G1120" t="s">
        <v>2012</v>
      </c>
      <c r="H1120" t="s">
        <v>2246</v>
      </c>
      <c r="I1120" t="s">
        <v>2241</v>
      </c>
      <c r="J1120" t="s">
        <v>1089</v>
      </c>
      <c r="K1120" t="s">
        <v>1003</v>
      </c>
      <c r="L1120" t="s">
        <v>2031</v>
      </c>
      <c r="M1120" t="s">
        <v>1000</v>
      </c>
      <c r="N1120" t="s">
        <v>1004</v>
      </c>
      <c r="O1120" t="s">
        <v>446</v>
      </c>
      <c r="P1120" t="s">
        <v>1001</v>
      </c>
      <c r="Q1120" t="b">
        <v>1</v>
      </c>
      <c r="R1120" t="b">
        <v>1</v>
      </c>
      <c r="S1120" t="s">
        <v>2160</v>
      </c>
      <c r="T1120" t="s">
        <v>446</v>
      </c>
      <c r="U1120" t="s">
        <v>1951</v>
      </c>
      <c r="V1120" t="s">
        <v>1980</v>
      </c>
      <c r="W1120" t="s">
        <v>2716</v>
      </c>
      <c r="X1120" t="s">
        <v>2717</v>
      </c>
      <c r="Y1120" t="s">
        <v>2243</v>
      </c>
      <c r="Z1120" t="s">
        <v>446</v>
      </c>
      <c r="AA1120" t="s">
        <v>335</v>
      </c>
      <c r="AB1120" t="s">
        <v>446</v>
      </c>
      <c r="AC1120" t="b">
        <v>0</v>
      </c>
      <c r="AD1120" t="b">
        <v>1</v>
      </c>
    </row>
    <row r="1121" spans="1:30" x14ac:dyDescent="0.25">
      <c r="A1121" t="s">
        <v>42</v>
      </c>
      <c r="B1121" t="s">
        <v>2718</v>
      </c>
      <c r="C1121" t="s">
        <v>335</v>
      </c>
      <c r="D1121" t="s">
        <v>323</v>
      </c>
      <c r="E1121" t="s">
        <v>1010</v>
      </c>
      <c r="F1121">
        <v>10303</v>
      </c>
      <c r="G1121" t="s">
        <v>2012</v>
      </c>
      <c r="H1121" t="s">
        <v>2250</v>
      </c>
      <c r="I1121" t="s">
        <v>2241</v>
      </c>
      <c r="J1121" t="s">
        <v>1089</v>
      </c>
      <c r="K1121" t="s">
        <v>1026</v>
      </c>
      <c r="L1121" t="s">
        <v>1979</v>
      </c>
      <c r="M1121" t="s">
        <v>1000</v>
      </c>
      <c r="N1121" t="s">
        <v>1027</v>
      </c>
      <c r="O1121" t="s">
        <v>446</v>
      </c>
      <c r="P1121" t="s">
        <v>1025</v>
      </c>
      <c r="Q1121" t="b">
        <v>1</v>
      </c>
      <c r="R1121" t="b">
        <v>1</v>
      </c>
      <c r="S1121" t="s">
        <v>2160</v>
      </c>
      <c r="T1121" t="s">
        <v>446</v>
      </c>
      <c r="U1121" t="s">
        <v>1951</v>
      </c>
      <c r="V1121" t="s">
        <v>1980</v>
      </c>
      <c r="W1121" t="s">
        <v>2719</v>
      </c>
      <c r="X1121" t="s">
        <v>2717</v>
      </c>
      <c r="Y1121" t="s">
        <v>2243</v>
      </c>
      <c r="Z1121" t="s">
        <v>446</v>
      </c>
      <c r="AA1121" t="s">
        <v>335</v>
      </c>
      <c r="AB1121" t="s">
        <v>446</v>
      </c>
      <c r="AC1121" t="b">
        <v>0</v>
      </c>
      <c r="AD1121" t="b">
        <v>1</v>
      </c>
    </row>
    <row r="1122" spans="1:30" x14ac:dyDescent="0.25">
      <c r="A1122" t="s">
        <v>42</v>
      </c>
      <c r="B1122" t="s">
        <v>2720</v>
      </c>
      <c r="C1122" t="s">
        <v>335</v>
      </c>
      <c r="D1122" t="s">
        <v>323</v>
      </c>
      <c r="E1122" t="s">
        <v>1032</v>
      </c>
      <c r="F1122">
        <v>9613</v>
      </c>
      <c r="G1122" t="s">
        <v>2012</v>
      </c>
      <c r="H1122" t="s">
        <v>2254</v>
      </c>
      <c r="I1122" t="s">
        <v>2241</v>
      </c>
      <c r="J1122" t="s">
        <v>1089</v>
      </c>
      <c r="K1122" t="s">
        <v>1048</v>
      </c>
      <c r="L1122" t="s">
        <v>1991</v>
      </c>
      <c r="M1122" t="s">
        <v>1000</v>
      </c>
      <c r="N1122" t="s">
        <v>1049</v>
      </c>
      <c r="O1122" t="s">
        <v>446</v>
      </c>
      <c r="P1122" t="s">
        <v>1047</v>
      </c>
      <c r="Q1122" t="b">
        <v>1</v>
      </c>
      <c r="R1122" t="b">
        <v>1</v>
      </c>
      <c r="S1122" t="s">
        <v>2160</v>
      </c>
      <c r="T1122" t="s">
        <v>446</v>
      </c>
      <c r="U1122" t="s">
        <v>1951</v>
      </c>
      <c r="V1122" t="s">
        <v>1980</v>
      </c>
      <c r="W1122" t="s">
        <v>2721</v>
      </c>
      <c r="X1122" t="s">
        <v>2717</v>
      </c>
      <c r="Y1122" t="s">
        <v>2243</v>
      </c>
      <c r="Z1122" t="s">
        <v>446</v>
      </c>
      <c r="AA1122" t="s">
        <v>335</v>
      </c>
      <c r="AB1122" t="s">
        <v>446</v>
      </c>
      <c r="AC1122" t="b">
        <v>0</v>
      </c>
      <c r="AD1122" t="b">
        <v>1</v>
      </c>
    </row>
    <row r="1123" spans="1:30" x14ac:dyDescent="0.25">
      <c r="A1123" t="s">
        <v>42</v>
      </c>
      <c r="B1123" t="s">
        <v>2722</v>
      </c>
      <c r="C1123" t="s">
        <v>336</v>
      </c>
      <c r="D1123" t="s">
        <v>323</v>
      </c>
      <c r="E1123" t="s">
        <v>982</v>
      </c>
      <c r="F1123">
        <v>355</v>
      </c>
      <c r="G1123" t="s">
        <v>2012</v>
      </c>
      <c r="H1123" t="s">
        <v>2258</v>
      </c>
      <c r="I1123" t="s">
        <v>2259</v>
      </c>
      <c r="J1123" t="s">
        <v>1089</v>
      </c>
      <c r="K1123" t="s">
        <v>1003</v>
      </c>
      <c r="L1123" t="s">
        <v>2031</v>
      </c>
      <c r="M1123" t="s">
        <v>1000</v>
      </c>
      <c r="N1123" t="s">
        <v>1004</v>
      </c>
      <c r="O1123" t="s">
        <v>446</v>
      </c>
      <c r="P1123" t="s">
        <v>1001</v>
      </c>
      <c r="Q1123" t="b">
        <v>1</v>
      </c>
      <c r="R1123" t="b">
        <v>1</v>
      </c>
      <c r="S1123" t="s">
        <v>2160</v>
      </c>
      <c r="T1123" t="s">
        <v>446</v>
      </c>
      <c r="U1123" t="s">
        <v>1951</v>
      </c>
      <c r="V1123" t="s">
        <v>1980</v>
      </c>
      <c r="W1123" t="s">
        <v>2723</v>
      </c>
      <c r="X1123" t="s">
        <v>2724</v>
      </c>
      <c r="Y1123" t="s">
        <v>2261</v>
      </c>
      <c r="Z1123" t="s">
        <v>446</v>
      </c>
      <c r="AA1123" t="s">
        <v>336</v>
      </c>
      <c r="AB1123" t="s">
        <v>446</v>
      </c>
      <c r="AC1123" t="b">
        <v>0</v>
      </c>
      <c r="AD1123" t="b">
        <v>1</v>
      </c>
    </row>
    <row r="1124" spans="1:30" x14ac:dyDescent="0.25">
      <c r="A1124" t="s">
        <v>42</v>
      </c>
      <c r="B1124" t="s">
        <v>2725</v>
      </c>
      <c r="C1124" t="s">
        <v>336</v>
      </c>
      <c r="D1124" t="s">
        <v>323</v>
      </c>
      <c r="E1124" t="s">
        <v>1010</v>
      </c>
      <c r="F1124">
        <v>0</v>
      </c>
      <c r="G1124" t="s">
        <v>2012</v>
      </c>
      <c r="H1124" t="s">
        <v>2256</v>
      </c>
      <c r="I1124" t="s">
        <v>2257</v>
      </c>
      <c r="J1124" t="s">
        <v>1089</v>
      </c>
      <c r="K1124" t="s">
        <v>446</v>
      </c>
      <c r="L1124" t="s">
        <v>446</v>
      </c>
      <c r="M1124" t="s">
        <v>446</v>
      </c>
      <c r="N1124" t="s">
        <v>446</v>
      </c>
      <c r="O1124" t="s">
        <v>446</v>
      </c>
      <c r="P1124" t="s">
        <v>446</v>
      </c>
      <c r="Q1124" t="b">
        <v>1</v>
      </c>
      <c r="R1124" t="b">
        <v>1</v>
      </c>
      <c r="S1124" t="s">
        <v>2160</v>
      </c>
      <c r="T1124" t="s">
        <v>446</v>
      </c>
      <c r="U1124" t="s">
        <v>1951</v>
      </c>
      <c r="V1124" t="s">
        <v>1980</v>
      </c>
      <c r="W1124" t="s">
        <v>2015</v>
      </c>
      <c r="X1124" t="s">
        <v>2710</v>
      </c>
      <c r="Y1124" t="s">
        <v>446</v>
      </c>
      <c r="Z1124" t="s">
        <v>446</v>
      </c>
      <c r="AA1124" t="s">
        <v>336</v>
      </c>
      <c r="AB1124" t="s">
        <v>446</v>
      </c>
      <c r="AC1124" t="b">
        <v>0</v>
      </c>
      <c r="AD1124" t="b">
        <v>1</v>
      </c>
    </row>
    <row r="1125" spans="1:30" x14ac:dyDescent="0.25">
      <c r="A1125" t="s">
        <v>42</v>
      </c>
      <c r="B1125" t="s">
        <v>2726</v>
      </c>
      <c r="C1125" t="s">
        <v>336</v>
      </c>
      <c r="D1125" t="s">
        <v>323</v>
      </c>
      <c r="E1125" t="s">
        <v>1032</v>
      </c>
      <c r="F1125">
        <v>0</v>
      </c>
      <c r="G1125" t="s">
        <v>2012</v>
      </c>
      <c r="H1125" t="s">
        <v>2256</v>
      </c>
      <c r="I1125" t="s">
        <v>2257</v>
      </c>
      <c r="J1125" t="s">
        <v>1089</v>
      </c>
      <c r="K1125" t="s">
        <v>446</v>
      </c>
      <c r="L1125" t="s">
        <v>446</v>
      </c>
      <c r="M1125" t="s">
        <v>446</v>
      </c>
      <c r="N1125" t="s">
        <v>446</v>
      </c>
      <c r="O1125" t="s">
        <v>446</v>
      </c>
      <c r="P1125" t="s">
        <v>446</v>
      </c>
      <c r="Q1125" t="b">
        <v>1</v>
      </c>
      <c r="R1125" t="b">
        <v>1</v>
      </c>
      <c r="S1125" t="s">
        <v>2160</v>
      </c>
      <c r="T1125" t="s">
        <v>446</v>
      </c>
      <c r="U1125" t="s">
        <v>1951</v>
      </c>
      <c r="V1125" t="s">
        <v>1980</v>
      </c>
      <c r="W1125" t="s">
        <v>2015</v>
      </c>
      <c r="X1125" t="s">
        <v>2710</v>
      </c>
      <c r="Y1125" t="s">
        <v>446</v>
      </c>
      <c r="Z1125" t="s">
        <v>446</v>
      </c>
      <c r="AA1125" t="s">
        <v>336</v>
      </c>
      <c r="AB1125" t="s">
        <v>446</v>
      </c>
      <c r="AC1125" t="b">
        <v>0</v>
      </c>
      <c r="AD1125" t="b">
        <v>1</v>
      </c>
    </row>
    <row r="1126" spans="1:30" x14ac:dyDescent="0.25">
      <c r="A1126" t="s">
        <v>42</v>
      </c>
      <c r="B1126" t="s">
        <v>2727</v>
      </c>
      <c r="C1126" t="s">
        <v>337</v>
      </c>
      <c r="D1126" t="s">
        <v>323</v>
      </c>
      <c r="E1126" t="s">
        <v>982</v>
      </c>
      <c r="F1126">
        <v>18358</v>
      </c>
      <c r="G1126" t="s">
        <v>2012</v>
      </c>
      <c r="H1126" t="s">
        <v>2266</v>
      </c>
      <c r="I1126" t="s">
        <v>337</v>
      </c>
      <c r="J1126" t="s">
        <v>1089</v>
      </c>
      <c r="K1126" t="s">
        <v>1003</v>
      </c>
      <c r="L1126" t="s">
        <v>2031</v>
      </c>
      <c r="M1126" t="s">
        <v>1000</v>
      </c>
      <c r="N1126" t="s">
        <v>1004</v>
      </c>
      <c r="O1126" t="s">
        <v>446</v>
      </c>
      <c r="P1126" t="s">
        <v>1001</v>
      </c>
      <c r="Q1126" t="b">
        <v>1</v>
      </c>
      <c r="R1126" t="b">
        <v>1</v>
      </c>
      <c r="S1126" t="s">
        <v>2160</v>
      </c>
      <c r="T1126" t="s">
        <v>446</v>
      </c>
      <c r="U1126" t="s">
        <v>1951</v>
      </c>
      <c r="V1126" t="s">
        <v>1980</v>
      </c>
      <c r="W1126" t="s">
        <v>2728</v>
      </c>
      <c r="X1126" t="s">
        <v>2729</v>
      </c>
      <c r="Y1126" t="s">
        <v>337</v>
      </c>
      <c r="Z1126" t="s">
        <v>446</v>
      </c>
      <c r="AA1126" t="s">
        <v>337</v>
      </c>
      <c r="AB1126" t="s">
        <v>446</v>
      </c>
      <c r="AC1126" t="b">
        <v>0</v>
      </c>
      <c r="AD1126" t="b">
        <v>1</v>
      </c>
    </row>
    <row r="1127" spans="1:30" x14ac:dyDescent="0.25">
      <c r="A1127" t="s">
        <v>42</v>
      </c>
      <c r="B1127" t="s">
        <v>2730</v>
      </c>
      <c r="C1127" t="s">
        <v>337</v>
      </c>
      <c r="D1127" t="s">
        <v>323</v>
      </c>
      <c r="E1127" t="s">
        <v>1010</v>
      </c>
      <c r="F1127">
        <v>18139</v>
      </c>
      <c r="G1127" t="s">
        <v>2012</v>
      </c>
      <c r="H1127" t="s">
        <v>2270</v>
      </c>
      <c r="I1127" t="s">
        <v>337</v>
      </c>
      <c r="J1127" t="s">
        <v>1089</v>
      </c>
      <c r="K1127" t="s">
        <v>1026</v>
      </c>
      <c r="L1127" t="s">
        <v>1979</v>
      </c>
      <c r="M1127" t="s">
        <v>1000</v>
      </c>
      <c r="N1127" t="s">
        <v>1027</v>
      </c>
      <c r="O1127" t="s">
        <v>446</v>
      </c>
      <c r="P1127" t="s">
        <v>1025</v>
      </c>
      <c r="Q1127" t="b">
        <v>1</v>
      </c>
      <c r="R1127" t="b">
        <v>1</v>
      </c>
      <c r="S1127" t="s">
        <v>2160</v>
      </c>
      <c r="T1127" t="s">
        <v>446</v>
      </c>
      <c r="U1127" t="s">
        <v>1951</v>
      </c>
      <c r="V1127" t="s">
        <v>1980</v>
      </c>
      <c r="W1127" t="s">
        <v>2731</v>
      </c>
      <c r="X1127" t="s">
        <v>2729</v>
      </c>
      <c r="Y1127" t="s">
        <v>337</v>
      </c>
      <c r="Z1127" t="s">
        <v>446</v>
      </c>
      <c r="AA1127" t="s">
        <v>337</v>
      </c>
      <c r="AB1127" t="s">
        <v>446</v>
      </c>
      <c r="AC1127" t="b">
        <v>0</v>
      </c>
      <c r="AD1127" t="b">
        <v>1</v>
      </c>
    </row>
    <row r="1128" spans="1:30" x14ac:dyDescent="0.25">
      <c r="A1128" t="s">
        <v>42</v>
      </c>
      <c r="B1128" t="s">
        <v>2732</v>
      </c>
      <c r="C1128" t="s">
        <v>337</v>
      </c>
      <c r="D1128" t="s">
        <v>323</v>
      </c>
      <c r="E1128" t="s">
        <v>1032</v>
      </c>
      <c r="F1128">
        <v>15491</v>
      </c>
      <c r="G1128" t="s">
        <v>2012</v>
      </c>
      <c r="H1128" t="s">
        <v>2274</v>
      </c>
      <c r="I1128" t="s">
        <v>337</v>
      </c>
      <c r="J1128" t="s">
        <v>1089</v>
      </c>
      <c r="K1128" t="s">
        <v>1048</v>
      </c>
      <c r="L1128" t="s">
        <v>1991</v>
      </c>
      <c r="M1128" t="s">
        <v>1000</v>
      </c>
      <c r="N1128" t="s">
        <v>1049</v>
      </c>
      <c r="O1128" t="s">
        <v>446</v>
      </c>
      <c r="P1128" t="s">
        <v>1047</v>
      </c>
      <c r="Q1128" t="b">
        <v>1</v>
      </c>
      <c r="R1128" t="b">
        <v>1</v>
      </c>
      <c r="S1128" t="s">
        <v>2160</v>
      </c>
      <c r="T1128" t="s">
        <v>446</v>
      </c>
      <c r="U1128" t="s">
        <v>1951</v>
      </c>
      <c r="V1128" t="s">
        <v>1980</v>
      </c>
      <c r="W1128" t="s">
        <v>2733</v>
      </c>
      <c r="X1128" t="s">
        <v>2729</v>
      </c>
      <c r="Y1128" t="s">
        <v>337</v>
      </c>
      <c r="Z1128" t="s">
        <v>446</v>
      </c>
      <c r="AA1128" t="s">
        <v>337</v>
      </c>
      <c r="AB1128" t="s">
        <v>446</v>
      </c>
      <c r="AC1128" t="b">
        <v>0</v>
      </c>
      <c r="AD1128" t="b">
        <v>1</v>
      </c>
    </row>
    <row r="1129" spans="1:30" x14ac:dyDescent="0.25">
      <c r="A1129" t="s">
        <v>42</v>
      </c>
      <c r="B1129" t="s">
        <v>2276</v>
      </c>
      <c r="C1129" t="s">
        <v>338</v>
      </c>
      <c r="D1129" t="s">
        <v>323</v>
      </c>
      <c r="E1129" t="s">
        <v>978</v>
      </c>
      <c r="F1129">
        <v>41998</v>
      </c>
      <c r="G1129" t="s">
        <v>2012</v>
      </c>
      <c r="H1129" t="s">
        <v>2277</v>
      </c>
      <c r="I1129" t="s">
        <v>2278</v>
      </c>
      <c r="J1129" t="s">
        <v>1089</v>
      </c>
      <c r="K1129" t="s">
        <v>984</v>
      </c>
      <c r="L1129" t="s">
        <v>1948</v>
      </c>
      <c r="M1129" t="s">
        <v>980</v>
      </c>
      <c r="N1129" t="s">
        <v>985</v>
      </c>
      <c r="O1129" t="s">
        <v>446</v>
      </c>
      <c r="P1129" t="s">
        <v>981</v>
      </c>
      <c r="Q1129" t="b">
        <v>1</v>
      </c>
      <c r="R1129" t="b">
        <v>1</v>
      </c>
      <c r="S1129" t="s">
        <v>2160</v>
      </c>
      <c r="T1129" t="s">
        <v>446</v>
      </c>
      <c r="U1129" t="s">
        <v>1951</v>
      </c>
      <c r="V1129" t="s">
        <v>1980</v>
      </c>
      <c r="W1129" t="s">
        <v>1952</v>
      </c>
      <c r="X1129" t="s">
        <v>2734</v>
      </c>
      <c r="Y1129" t="s">
        <v>2280</v>
      </c>
      <c r="Z1129" t="s">
        <v>446</v>
      </c>
      <c r="AA1129" t="s">
        <v>338</v>
      </c>
      <c r="AB1129" t="s">
        <v>446</v>
      </c>
      <c r="AC1129" t="b">
        <v>0</v>
      </c>
      <c r="AD1129" t="b">
        <v>1</v>
      </c>
    </row>
    <row r="1130" spans="1:30" x14ac:dyDescent="0.25">
      <c r="A1130" t="s">
        <v>42</v>
      </c>
      <c r="B1130" t="s">
        <v>2281</v>
      </c>
      <c r="C1130" t="s">
        <v>338</v>
      </c>
      <c r="D1130" t="s">
        <v>323</v>
      </c>
      <c r="E1130" t="s">
        <v>986</v>
      </c>
      <c r="F1130">
        <v>42614</v>
      </c>
      <c r="G1130" t="s">
        <v>2012</v>
      </c>
      <c r="H1130" t="s">
        <v>2282</v>
      </c>
      <c r="I1130" t="s">
        <v>2278</v>
      </c>
      <c r="J1130" t="s">
        <v>1089</v>
      </c>
      <c r="K1130" t="s">
        <v>990</v>
      </c>
      <c r="L1130" t="s">
        <v>1955</v>
      </c>
      <c r="M1130" t="s">
        <v>980</v>
      </c>
      <c r="N1130" t="s">
        <v>991</v>
      </c>
      <c r="O1130" t="s">
        <v>446</v>
      </c>
      <c r="P1130" t="s">
        <v>988</v>
      </c>
      <c r="Q1130" t="b">
        <v>1</v>
      </c>
      <c r="R1130" t="b">
        <v>1</v>
      </c>
      <c r="S1130" t="s">
        <v>2160</v>
      </c>
      <c r="T1130" t="s">
        <v>446</v>
      </c>
      <c r="U1130" t="s">
        <v>1951</v>
      </c>
      <c r="V1130" t="s">
        <v>1980</v>
      </c>
      <c r="W1130" t="s">
        <v>1952</v>
      </c>
      <c r="X1130" t="s">
        <v>2734</v>
      </c>
      <c r="Y1130" t="s">
        <v>2280</v>
      </c>
      <c r="Z1130" t="s">
        <v>446</v>
      </c>
      <c r="AA1130" t="s">
        <v>338</v>
      </c>
      <c r="AB1130" t="s">
        <v>446</v>
      </c>
      <c r="AC1130" t="b">
        <v>0</v>
      </c>
      <c r="AD1130" t="b">
        <v>1</v>
      </c>
    </row>
    <row r="1131" spans="1:30" x14ac:dyDescent="0.25">
      <c r="A1131" t="s">
        <v>42</v>
      </c>
      <c r="B1131" t="s">
        <v>2283</v>
      </c>
      <c r="C1131" t="s">
        <v>338</v>
      </c>
      <c r="D1131" t="s">
        <v>323</v>
      </c>
      <c r="E1131" t="s">
        <v>992</v>
      </c>
      <c r="F1131">
        <v>42707</v>
      </c>
      <c r="G1131" t="s">
        <v>2012</v>
      </c>
      <c r="H1131" t="s">
        <v>2284</v>
      </c>
      <c r="I1131" t="s">
        <v>2278</v>
      </c>
      <c r="J1131" t="s">
        <v>1089</v>
      </c>
      <c r="K1131" t="s">
        <v>996</v>
      </c>
      <c r="L1131" t="s">
        <v>1958</v>
      </c>
      <c r="M1131" t="s">
        <v>980</v>
      </c>
      <c r="N1131" t="s">
        <v>997</v>
      </c>
      <c r="O1131" t="s">
        <v>446</v>
      </c>
      <c r="P1131" t="s">
        <v>994</v>
      </c>
      <c r="Q1131" t="b">
        <v>1</v>
      </c>
      <c r="R1131" t="b">
        <v>1</v>
      </c>
      <c r="S1131" t="s">
        <v>2160</v>
      </c>
      <c r="T1131" t="s">
        <v>446</v>
      </c>
      <c r="U1131" t="s">
        <v>1951</v>
      </c>
      <c r="V1131" t="s">
        <v>1980</v>
      </c>
      <c r="W1131" t="s">
        <v>1952</v>
      </c>
      <c r="X1131" t="s">
        <v>2734</v>
      </c>
      <c r="Y1131" t="s">
        <v>2280</v>
      </c>
      <c r="Z1131" t="s">
        <v>446</v>
      </c>
      <c r="AA1131" t="s">
        <v>338</v>
      </c>
      <c r="AB1131" t="s">
        <v>446</v>
      </c>
      <c r="AC1131" t="b">
        <v>0</v>
      </c>
      <c r="AD1131" t="b">
        <v>1</v>
      </c>
    </row>
    <row r="1132" spans="1:30" x14ac:dyDescent="0.25">
      <c r="A1132" t="s">
        <v>42</v>
      </c>
      <c r="B1132" t="s">
        <v>2285</v>
      </c>
      <c r="C1132" t="s">
        <v>338</v>
      </c>
      <c r="D1132" t="s">
        <v>323</v>
      </c>
      <c r="E1132" t="s">
        <v>998</v>
      </c>
      <c r="F1132">
        <v>43022</v>
      </c>
      <c r="G1132" t="s">
        <v>2012</v>
      </c>
      <c r="H1132" t="s">
        <v>2286</v>
      </c>
      <c r="I1132" t="s">
        <v>2287</v>
      </c>
      <c r="J1132" t="s">
        <v>1089</v>
      </c>
      <c r="K1132" t="s">
        <v>1003</v>
      </c>
      <c r="L1132" t="s">
        <v>2031</v>
      </c>
      <c r="M1132" t="s">
        <v>1000</v>
      </c>
      <c r="N1132" t="s">
        <v>1004</v>
      </c>
      <c r="O1132" t="s">
        <v>446</v>
      </c>
      <c r="P1132" t="s">
        <v>1001</v>
      </c>
      <c r="Q1132" t="b">
        <v>1</v>
      </c>
      <c r="R1132" t="b">
        <v>1</v>
      </c>
      <c r="S1132" t="s">
        <v>2160</v>
      </c>
      <c r="T1132" t="s">
        <v>446</v>
      </c>
      <c r="U1132" t="s">
        <v>1951</v>
      </c>
      <c r="V1132" t="s">
        <v>1980</v>
      </c>
      <c r="W1132" t="s">
        <v>1952</v>
      </c>
      <c r="X1132" t="s">
        <v>2735</v>
      </c>
      <c r="Y1132" t="s">
        <v>2289</v>
      </c>
      <c r="Z1132" t="s">
        <v>446</v>
      </c>
      <c r="AA1132" t="s">
        <v>338</v>
      </c>
      <c r="AB1132" t="s">
        <v>446</v>
      </c>
      <c r="AC1132" t="b">
        <v>0</v>
      </c>
      <c r="AD1132" t="b">
        <v>1</v>
      </c>
    </row>
    <row r="1133" spans="1:30" x14ac:dyDescent="0.25">
      <c r="A1133" t="s">
        <v>42</v>
      </c>
      <c r="B1133" t="s">
        <v>2736</v>
      </c>
      <c r="C1133" t="s">
        <v>338</v>
      </c>
      <c r="D1133" t="s">
        <v>323</v>
      </c>
      <c r="E1133" t="s">
        <v>982</v>
      </c>
      <c r="F1133">
        <v>43022</v>
      </c>
      <c r="G1133" t="s">
        <v>2012</v>
      </c>
      <c r="H1133" t="s">
        <v>2286</v>
      </c>
      <c r="I1133" t="s">
        <v>2287</v>
      </c>
      <c r="J1133" t="s">
        <v>1089</v>
      </c>
      <c r="K1133" t="s">
        <v>1003</v>
      </c>
      <c r="L1133" t="s">
        <v>2031</v>
      </c>
      <c r="M1133" t="s">
        <v>1000</v>
      </c>
      <c r="N1133" t="s">
        <v>1004</v>
      </c>
      <c r="O1133" t="s">
        <v>446</v>
      </c>
      <c r="P1133" t="s">
        <v>1001</v>
      </c>
      <c r="Q1133" t="b">
        <v>1</v>
      </c>
      <c r="R1133" t="b">
        <v>1</v>
      </c>
      <c r="S1133" t="s">
        <v>2160</v>
      </c>
      <c r="T1133" t="s">
        <v>446</v>
      </c>
      <c r="U1133" t="s">
        <v>1951</v>
      </c>
      <c r="V1133" t="s">
        <v>1980</v>
      </c>
      <c r="W1133" t="s">
        <v>2737</v>
      </c>
      <c r="X1133" t="s">
        <v>2735</v>
      </c>
      <c r="Y1133" t="s">
        <v>2289</v>
      </c>
      <c r="Z1133" t="s">
        <v>446</v>
      </c>
      <c r="AA1133" t="s">
        <v>338</v>
      </c>
      <c r="AB1133" t="s">
        <v>446</v>
      </c>
      <c r="AC1133" t="b">
        <v>0</v>
      </c>
      <c r="AD1133" t="b">
        <v>1</v>
      </c>
    </row>
    <row r="1134" spans="1:30" x14ac:dyDescent="0.25">
      <c r="A1134" t="s">
        <v>42</v>
      </c>
      <c r="B1134" t="s">
        <v>2290</v>
      </c>
      <c r="C1134" t="s">
        <v>338</v>
      </c>
      <c r="D1134" t="s">
        <v>323</v>
      </c>
      <c r="E1134" t="s">
        <v>1006</v>
      </c>
      <c r="F1134">
        <v>42414</v>
      </c>
      <c r="G1134" t="s">
        <v>2012</v>
      </c>
      <c r="H1134" t="s">
        <v>2291</v>
      </c>
      <c r="I1134" t="s">
        <v>2278</v>
      </c>
      <c r="J1134" t="s">
        <v>1089</v>
      </c>
      <c r="K1134" t="s">
        <v>1967</v>
      </c>
      <c r="L1134" t="s">
        <v>1968</v>
      </c>
      <c r="M1134" t="s">
        <v>980</v>
      </c>
      <c r="N1134" t="s">
        <v>1969</v>
      </c>
      <c r="O1134" t="s">
        <v>446</v>
      </c>
      <c r="P1134" t="s">
        <v>1009</v>
      </c>
      <c r="Q1134" t="b">
        <v>1</v>
      </c>
      <c r="R1134" t="b">
        <v>1</v>
      </c>
      <c r="S1134" t="s">
        <v>2160</v>
      </c>
      <c r="T1134" t="s">
        <v>446</v>
      </c>
      <c r="U1134" t="s">
        <v>1951</v>
      </c>
      <c r="V1134" t="s">
        <v>1980</v>
      </c>
      <c r="W1134" t="s">
        <v>1952</v>
      </c>
      <c r="X1134" t="s">
        <v>2710</v>
      </c>
      <c r="Y1134" t="s">
        <v>446</v>
      </c>
      <c r="Z1134" t="s">
        <v>446</v>
      </c>
      <c r="AA1134" t="s">
        <v>338</v>
      </c>
      <c r="AB1134" t="s">
        <v>446</v>
      </c>
      <c r="AC1134" t="b">
        <v>0</v>
      </c>
      <c r="AD1134" t="b">
        <v>1</v>
      </c>
    </row>
    <row r="1135" spans="1:30" x14ac:dyDescent="0.25">
      <c r="A1135" t="s">
        <v>42</v>
      </c>
      <c r="B1135" t="s">
        <v>2292</v>
      </c>
      <c r="C1135" t="s">
        <v>338</v>
      </c>
      <c r="D1135" t="s">
        <v>323</v>
      </c>
      <c r="E1135" t="s">
        <v>1013</v>
      </c>
      <c r="F1135">
        <v>41771</v>
      </c>
      <c r="G1135" t="s">
        <v>2012</v>
      </c>
      <c r="H1135" t="s">
        <v>2293</v>
      </c>
      <c r="I1135" t="s">
        <v>2278</v>
      </c>
      <c r="J1135" t="s">
        <v>1089</v>
      </c>
      <c r="K1135" t="s">
        <v>1016</v>
      </c>
      <c r="L1135" t="s">
        <v>1972</v>
      </c>
      <c r="M1135" t="s">
        <v>980</v>
      </c>
      <c r="N1135" t="s">
        <v>1017</v>
      </c>
      <c r="O1135" t="s">
        <v>446</v>
      </c>
      <c r="P1135" t="s">
        <v>1015</v>
      </c>
      <c r="Q1135" t="b">
        <v>1</v>
      </c>
      <c r="R1135" t="b">
        <v>1</v>
      </c>
      <c r="S1135" t="s">
        <v>2160</v>
      </c>
      <c r="T1135" t="s">
        <v>446</v>
      </c>
      <c r="U1135" t="s">
        <v>1951</v>
      </c>
      <c r="V1135" t="s">
        <v>1980</v>
      </c>
      <c r="W1135" t="s">
        <v>1952</v>
      </c>
      <c r="X1135" t="s">
        <v>2734</v>
      </c>
      <c r="Y1135" t="s">
        <v>2280</v>
      </c>
      <c r="Z1135" t="s">
        <v>446</v>
      </c>
      <c r="AA1135" t="s">
        <v>338</v>
      </c>
      <c r="AB1135" t="s">
        <v>446</v>
      </c>
      <c r="AC1135" t="b">
        <v>0</v>
      </c>
      <c r="AD1135" t="b">
        <v>1</v>
      </c>
    </row>
    <row r="1136" spans="1:30" x14ac:dyDescent="0.25">
      <c r="A1136" t="s">
        <v>42</v>
      </c>
      <c r="B1136" t="s">
        <v>2294</v>
      </c>
      <c r="C1136" t="s">
        <v>338</v>
      </c>
      <c r="D1136" t="s">
        <v>323</v>
      </c>
      <c r="E1136" t="s">
        <v>1018</v>
      </c>
      <c r="F1136">
        <v>47428</v>
      </c>
      <c r="G1136" t="s">
        <v>2012</v>
      </c>
      <c r="H1136" t="s">
        <v>2295</v>
      </c>
      <c r="I1136" t="s">
        <v>2278</v>
      </c>
      <c r="J1136" t="s">
        <v>1089</v>
      </c>
      <c r="K1136" t="s">
        <v>1021</v>
      </c>
      <c r="L1136" t="s">
        <v>1975</v>
      </c>
      <c r="M1136" t="s">
        <v>980</v>
      </c>
      <c r="N1136" t="s">
        <v>1022</v>
      </c>
      <c r="O1136" t="s">
        <v>446</v>
      </c>
      <c r="P1136" t="s">
        <v>1020</v>
      </c>
      <c r="Q1136" t="b">
        <v>1</v>
      </c>
      <c r="R1136" t="b">
        <v>1</v>
      </c>
      <c r="S1136" t="s">
        <v>2160</v>
      </c>
      <c r="T1136" t="s">
        <v>446</v>
      </c>
      <c r="U1136" t="s">
        <v>1951</v>
      </c>
      <c r="V1136" t="s">
        <v>1980</v>
      </c>
      <c r="W1136" t="s">
        <v>1952</v>
      </c>
      <c r="X1136" t="s">
        <v>2734</v>
      </c>
      <c r="Y1136" t="s">
        <v>2280</v>
      </c>
      <c r="Z1136" t="s">
        <v>446</v>
      </c>
      <c r="AA1136" t="s">
        <v>338</v>
      </c>
      <c r="AB1136" t="s">
        <v>446</v>
      </c>
      <c r="AC1136" t="b">
        <v>0</v>
      </c>
      <c r="AD1136" t="b">
        <v>1</v>
      </c>
    </row>
    <row r="1137" spans="1:30" x14ac:dyDescent="0.25">
      <c r="A1137" t="s">
        <v>42</v>
      </c>
      <c r="B1137" t="s">
        <v>2296</v>
      </c>
      <c r="C1137" t="s">
        <v>338</v>
      </c>
      <c r="D1137" t="s">
        <v>323</v>
      </c>
      <c r="E1137" t="s">
        <v>1023</v>
      </c>
      <c r="F1137">
        <v>46110</v>
      </c>
      <c r="G1137" t="s">
        <v>2012</v>
      </c>
      <c r="H1137" t="s">
        <v>2297</v>
      </c>
      <c r="I1137" t="s">
        <v>2278</v>
      </c>
      <c r="J1137" t="s">
        <v>1089</v>
      </c>
      <c r="K1137" t="s">
        <v>1026</v>
      </c>
      <c r="L1137" t="s">
        <v>1979</v>
      </c>
      <c r="M1137" t="s">
        <v>1000</v>
      </c>
      <c r="N1137" t="s">
        <v>1027</v>
      </c>
      <c r="O1137" t="s">
        <v>446</v>
      </c>
      <c r="P1137" t="s">
        <v>1025</v>
      </c>
      <c r="Q1137" t="b">
        <v>1</v>
      </c>
      <c r="R1137" t="b">
        <v>1</v>
      </c>
      <c r="S1137" t="s">
        <v>2160</v>
      </c>
      <c r="T1137" t="s">
        <v>446</v>
      </c>
      <c r="U1137" t="s">
        <v>1951</v>
      </c>
      <c r="V1137" t="s">
        <v>1980</v>
      </c>
      <c r="W1137" t="s">
        <v>1952</v>
      </c>
      <c r="X1137" t="s">
        <v>2738</v>
      </c>
      <c r="Y1137" t="s">
        <v>2299</v>
      </c>
      <c r="Z1137" t="s">
        <v>446</v>
      </c>
      <c r="AA1137" t="s">
        <v>338</v>
      </c>
      <c r="AB1137" t="s">
        <v>446</v>
      </c>
      <c r="AC1137" t="b">
        <v>0</v>
      </c>
      <c r="AD1137" t="b">
        <v>1</v>
      </c>
    </row>
    <row r="1138" spans="1:30" x14ac:dyDescent="0.25">
      <c r="A1138" t="s">
        <v>42</v>
      </c>
      <c r="B1138" t="s">
        <v>2739</v>
      </c>
      <c r="C1138" t="s">
        <v>338</v>
      </c>
      <c r="D1138" t="s">
        <v>323</v>
      </c>
      <c r="E1138" t="s">
        <v>1010</v>
      </c>
      <c r="F1138">
        <v>46110</v>
      </c>
      <c r="G1138" t="s">
        <v>2012</v>
      </c>
      <c r="H1138" t="s">
        <v>2297</v>
      </c>
      <c r="I1138" t="s">
        <v>2278</v>
      </c>
      <c r="J1138" t="s">
        <v>1089</v>
      </c>
      <c r="K1138" t="s">
        <v>1026</v>
      </c>
      <c r="L1138" t="s">
        <v>1979</v>
      </c>
      <c r="M1138" t="s">
        <v>1000</v>
      </c>
      <c r="N1138" t="s">
        <v>1027</v>
      </c>
      <c r="O1138" t="s">
        <v>446</v>
      </c>
      <c r="P1138" t="s">
        <v>1025</v>
      </c>
      <c r="Q1138" t="b">
        <v>1</v>
      </c>
      <c r="R1138" t="b">
        <v>1</v>
      </c>
      <c r="S1138" t="s">
        <v>2160</v>
      </c>
      <c r="T1138" t="s">
        <v>446</v>
      </c>
      <c r="U1138" t="s">
        <v>1951</v>
      </c>
      <c r="V1138" t="s">
        <v>1980</v>
      </c>
      <c r="W1138" t="s">
        <v>2740</v>
      </c>
      <c r="X1138" t="s">
        <v>2738</v>
      </c>
      <c r="Y1138" t="s">
        <v>2299</v>
      </c>
      <c r="Z1138" t="s">
        <v>446</v>
      </c>
      <c r="AA1138" t="s">
        <v>338</v>
      </c>
      <c r="AB1138" t="s">
        <v>446</v>
      </c>
      <c r="AC1138" t="b">
        <v>0</v>
      </c>
      <c r="AD1138" t="b">
        <v>1</v>
      </c>
    </row>
    <row r="1139" spans="1:30" x14ac:dyDescent="0.25">
      <c r="A1139" t="s">
        <v>42</v>
      </c>
      <c r="B1139" t="s">
        <v>2741</v>
      </c>
      <c r="C1139" t="s">
        <v>338</v>
      </c>
      <c r="D1139" t="s">
        <v>323</v>
      </c>
      <c r="E1139" t="s">
        <v>1032</v>
      </c>
      <c r="F1139">
        <v>48668</v>
      </c>
      <c r="G1139" t="s">
        <v>2012</v>
      </c>
      <c r="H1139" t="s">
        <v>2305</v>
      </c>
      <c r="I1139" t="s">
        <v>2278</v>
      </c>
      <c r="J1139" t="s">
        <v>1089</v>
      </c>
      <c r="K1139" t="s">
        <v>1048</v>
      </c>
      <c r="L1139" t="s">
        <v>1991</v>
      </c>
      <c r="M1139" t="s">
        <v>1000</v>
      </c>
      <c r="N1139" t="s">
        <v>1049</v>
      </c>
      <c r="O1139" t="s">
        <v>446</v>
      </c>
      <c r="P1139" t="s">
        <v>1047</v>
      </c>
      <c r="Q1139" t="b">
        <v>1</v>
      </c>
      <c r="R1139" t="b">
        <v>1</v>
      </c>
      <c r="S1139" t="s">
        <v>2160</v>
      </c>
      <c r="T1139" t="s">
        <v>446</v>
      </c>
      <c r="U1139" t="s">
        <v>1951</v>
      </c>
      <c r="V1139" t="s">
        <v>1980</v>
      </c>
      <c r="W1139" t="s">
        <v>2742</v>
      </c>
      <c r="X1139" t="s">
        <v>2738</v>
      </c>
      <c r="Y1139" t="s">
        <v>2299</v>
      </c>
      <c r="Z1139" t="s">
        <v>446</v>
      </c>
      <c r="AA1139" t="s">
        <v>338</v>
      </c>
      <c r="AB1139" t="s">
        <v>446</v>
      </c>
      <c r="AC1139" t="b">
        <v>0</v>
      </c>
      <c r="AD1139" t="b">
        <v>1</v>
      </c>
    </row>
    <row r="1140" spans="1:30" x14ac:dyDescent="0.25">
      <c r="A1140" t="s">
        <v>42</v>
      </c>
      <c r="B1140" t="s">
        <v>2306</v>
      </c>
      <c r="C1140" t="s">
        <v>338</v>
      </c>
      <c r="D1140" t="s">
        <v>323</v>
      </c>
      <c r="E1140" t="s">
        <v>1051</v>
      </c>
      <c r="F1140">
        <v>48894</v>
      </c>
      <c r="G1140" t="s">
        <v>2012</v>
      </c>
      <c r="H1140" t="s">
        <v>2307</v>
      </c>
      <c r="I1140" t="s">
        <v>2278</v>
      </c>
      <c r="J1140" t="s">
        <v>1089</v>
      </c>
      <c r="K1140" t="s">
        <v>1055</v>
      </c>
      <c r="L1140" t="s">
        <v>1993</v>
      </c>
      <c r="M1140" t="s">
        <v>980</v>
      </c>
      <c r="N1140" t="s">
        <v>1056</v>
      </c>
      <c r="O1140" t="s">
        <v>446</v>
      </c>
      <c r="P1140" t="s">
        <v>1053</v>
      </c>
      <c r="Q1140" t="b">
        <v>1</v>
      </c>
      <c r="R1140" t="b">
        <v>1</v>
      </c>
      <c r="S1140" t="s">
        <v>2160</v>
      </c>
      <c r="T1140" t="s">
        <v>446</v>
      </c>
      <c r="U1140" t="s">
        <v>1951</v>
      </c>
      <c r="V1140" t="s">
        <v>1980</v>
      </c>
      <c r="W1140" t="s">
        <v>1952</v>
      </c>
      <c r="X1140" t="s">
        <v>2710</v>
      </c>
      <c r="Y1140" t="s">
        <v>446</v>
      </c>
      <c r="Z1140" t="s">
        <v>446</v>
      </c>
      <c r="AA1140" t="s">
        <v>338</v>
      </c>
      <c r="AB1140" t="s">
        <v>446</v>
      </c>
      <c r="AC1140" t="b">
        <v>0</v>
      </c>
      <c r="AD1140" t="b">
        <v>1</v>
      </c>
    </row>
    <row r="1141" spans="1:30" x14ac:dyDescent="0.25">
      <c r="A1141" t="s">
        <v>42</v>
      </c>
      <c r="B1141" t="s">
        <v>2743</v>
      </c>
      <c r="C1141" t="s">
        <v>341</v>
      </c>
      <c r="D1141" t="s">
        <v>446</v>
      </c>
      <c r="E1141" t="s">
        <v>982</v>
      </c>
      <c r="F1141">
        <v>5590</v>
      </c>
      <c r="G1141" t="s">
        <v>2012</v>
      </c>
      <c r="H1141" t="s">
        <v>2314</v>
      </c>
      <c r="I1141" t="s">
        <v>2315</v>
      </c>
      <c r="J1141" t="s">
        <v>1089</v>
      </c>
      <c r="K1141" t="s">
        <v>1003</v>
      </c>
      <c r="L1141" t="s">
        <v>2031</v>
      </c>
      <c r="M1141" t="s">
        <v>1000</v>
      </c>
      <c r="N1141" t="s">
        <v>1004</v>
      </c>
      <c r="O1141" t="s">
        <v>446</v>
      </c>
      <c r="P1141" t="s">
        <v>1001</v>
      </c>
      <c r="Q1141" t="b">
        <v>1</v>
      </c>
      <c r="R1141" t="b">
        <v>1</v>
      </c>
      <c r="S1141" t="s">
        <v>2160</v>
      </c>
      <c r="T1141" t="s">
        <v>446</v>
      </c>
      <c r="U1141" t="s">
        <v>1951</v>
      </c>
      <c r="V1141" t="s">
        <v>1980</v>
      </c>
      <c r="W1141" t="s">
        <v>2744</v>
      </c>
      <c r="X1141" t="s">
        <v>2745</v>
      </c>
      <c r="Y1141" t="s">
        <v>2317</v>
      </c>
      <c r="Z1141" t="s">
        <v>446</v>
      </c>
      <c r="AA1141" t="s">
        <v>341</v>
      </c>
      <c r="AB1141" t="s">
        <v>446</v>
      </c>
      <c r="AC1141" t="b">
        <v>0</v>
      </c>
      <c r="AD1141" t="b">
        <v>1</v>
      </c>
    </row>
    <row r="1142" spans="1:30" x14ac:dyDescent="0.25">
      <c r="A1142" t="s">
        <v>42</v>
      </c>
      <c r="B1142" t="s">
        <v>2746</v>
      </c>
      <c r="C1142" t="s">
        <v>341</v>
      </c>
      <c r="D1142" t="s">
        <v>446</v>
      </c>
      <c r="E1142" t="s">
        <v>1010</v>
      </c>
      <c r="F1142">
        <v>5468</v>
      </c>
      <c r="G1142" t="s">
        <v>2012</v>
      </c>
      <c r="H1142" t="s">
        <v>2321</v>
      </c>
      <c r="I1142" t="s">
        <v>2315</v>
      </c>
      <c r="J1142" t="s">
        <v>1089</v>
      </c>
      <c r="K1142" t="s">
        <v>1026</v>
      </c>
      <c r="L1142" t="s">
        <v>1979</v>
      </c>
      <c r="M1142" t="s">
        <v>1000</v>
      </c>
      <c r="N1142" t="s">
        <v>1027</v>
      </c>
      <c r="O1142" t="s">
        <v>446</v>
      </c>
      <c r="P1142" t="s">
        <v>1025</v>
      </c>
      <c r="Q1142" t="b">
        <v>1</v>
      </c>
      <c r="R1142" t="b">
        <v>1</v>
      </c>
      <c r="S1142" t="s">
        <v>2160</v>
      </c>
      <c r="T1142" t="s">
        <v>446</v>
      </c>
      <c r="U1142" t="s">
        <v>1951</v>
      </c>
      <c r="V1142" t="s">
        <v>1980</v>
      </c>
      <c r="W1142" t="s">
        <v>2747</v>
      </c>
      <c r="X1142" t="s">
        <v>2745</v>
      </c>
      <c r="Y1142" t="s">
        <v>2317</v>
      </c>
      <c r="Z1142" t="s">
        <v>446</v>
      </c>
      <c r="AA1142" t="s">
        <v>341</v>
      </c>
      <c r="AB1142" t="s">
        <v>446</v>
      </c>
      <c r="AC1142" t="b">
        <v>0</v>
      </c>
      <c r="AD1142" t="b">
        <v>1</v>
      </c>
    </row>
    <row r="1143" spans="1:30" x14ac:dyDescent="0.25">
      <c r="A1143" t="s">
        <v>42</v>
      </c>
      <c r="B1143" t="s">
        <v>2748</v>
      </c>
      <c r="C1143" t="s">
        <v>341</v>
      </c>
      <c r="D1143" t="s">
        <v>446</v>
      </c>
      <c r="E1143" t="s">
        <v>1032</v>
      </c>
      <c r="F1143">
        <v>5649</v>
      </c>
      <c r="G1143" t="s">
        <v>2012</v>
      </c>
      <c r="H1143" t="s">
        <v>2325</v>
      </c>
      <c r="I1143" t="s">
        <v>2315</v>
      </c>
      <c r="J1143" t="s">
        <v>1089</v>
      </c>
      <c r="K1143" t="s">
        <v>1048</v>
      </c>
      <c r="L1143" t="s">
        <v>1991</v>
      </c>
      <c r="M1143" t="s">
        <v>1000</v>
      </c>
      <c r="N1143" t="s">
        <v>1049</v>
      </c>
      <c r="O1143" t="s">
        <v>446</v>
      </c>
      <c r="P1143" t="s">
        <v>1047</v>
      </c>
      <c r="Q1143" t="b">
        <v>1</v>
      </c>
      <c r="R1143" t="b">
        <v>1</v>
      </c>
      <c r="S1143" t="s">
        <v>2160</v>
      </c>
      <c r="T1143" t="s">
        <v>446</v>
      </c>
      <c r="U1143" t="s">
        <v>1951</v>
      </c>
      <c r="V1143" t="s">
        <v>1980</v>
      </c>
      <c r="W1143" t="s">
        <v>2749</v>
      </c>
      <c r="X1143" t="s">
        <v>2745</v>
      </c>
      <c r="Y1143" t="s">
        <v>2317</v>
      </c>
      <c r="Z1143" t="s">
        <v>446</v>
      </c>
      <c r="AA1143" t="s">
        <v>341</v>
      </c>
      <c r="AB1143" t="s">
        <v>446</v>
      </c>
      <c r="AC1143" t="b">
        <v>0</v>
      </c>
      <c r="AD1143" t="b">
        <v>1</v>
      </c>
    </row>
    <row r="1144" spans="1:30" x14ac:dyDescent="0.25">
      <c r="A1144" t="s">
        <v>42</v>
      </c>
      <c r="B1144" t="s">
        <v>2750</v>
      </c>
      <c r="C1144" t="s">
        <v>342</v>
      </c>
      <c r="D1144" t="s">
        <v>446</v>
      </c>
      <c r="E1144" t="s">
        <v>982</v>
      </c>
      <c r="F1144">
        <v>1593</v>
      </c>
      <c r="G1144" t="s">
        <v>2012</v>
      </c>
      <c r="H1144" t="s">
        <v>2340</v>
      </c>
      <c r="I1144" t="s">
        <v>2328</v>
      </c>
      <c r="J1144" t="s">
        <v>1089</v>
      </c>
      <c r="K1144" t="s">
        <v>1003</v>
      </c>
      <c r="L1144" t="s">
        <v>2341</v>
      </c>
      <c r="M1144" t="s">
        <v>1000</v>
      </c>
      <c r="N1144" t="s">
        <v>446</v>
      </c>
      <c r="O1144" t="s">
        <v>446</v>
      </c>
      <c r="P1144" t="s">
        <v>1001</v>
      </c>
      <c r="Q1144" t="b">
        <v>1</v>
      </c>
      <c r="R1144" t="b">
        <v>1</v>
      </c>
      <c r="S1144" t="s">
        <v>2160</v>
      </c>
      <c r="T1144" t="s">
        <v>446</v>
      </c>
      <c r="U1144" t="s">
        <v>1951</v>
      </c>
      <c r="V1144" t="s">
        <v>1964</v>
      </c>
      <c r="W1144" t="s">
        <v>2751</v>
      </c>
      <c r="X1144" t="s">
        <v>2752</v>
      </c>
      <c r="Y1144" t="s">
        <v>2328</v>
      </c>
      <c r="Z1144" t="s">
        <v>446</v>
      </c>
      <c r="AA1144" t="s">
        <v>342</v>
      </c>
      <c r="AB1144" t="s">
        <v>446</v>
      </c>
      <c r="AC1144" t="b">
        <v>0</v>
      </c>
      <c r="AD1144" t="b">
        <v>1</v>
      </c>
    </row>
    <row r="1145" spans="1:30" x14ac:dyDescent="0.25">
      <c r="A1145" t="s">
        <v>42</v>
      </c>
      <c r="B1145" t="s">
        <v>2753</v>
      </c>
      <c r="C1145" t="s">
        <v>342</v>
      </c>
      <c r="D1145" t="s">
        <v>446</v>
      </c>
      <c r="E1145" t="s">
        <v>1010</v>
      </c>
      <c r="F1145">
        <v>1387</v>
      </c>
      <c r="G1145" t="s">
        <v>1945</v>
      </c>
      <c r="H1145" t="s">
        <v>2350</v>
      </c>
      <c r="I1145" t="s">
        <v>2328</v>
      </c>
      <c r="J1145" t="s">
        <v>1089</v>
      </c>
      <c r="K1145" t="s">
        <v>1026</v>
      </c>
      <c r="L1145" t="s">
        <v>2037</v>
      </c>
      <c r="M1145" t="s">
        <v>1000</v>
      </c>
      <c r="N1145" t="s">
        <v>446</v>
      </c>
      <c r="O1145" t="s">
        <v>446</v>
      </c>
      <c r="P1145" t="s">
        <v>1025</v>
      </c>
      <c r="Q1145" t="b">
        <v>1</v>
      </c>
      <c r="R1145" t="b">
        <v>1</v>
      </c>
      <c r="S1145" t="s">
        <v>2160</v>
      </c>
      <c r="T1145" t="s">
        <v>446</v>
      </c>
      <c r="U1145" t="s">
        <v>1951</v>
      </c>
      <c r="V1145" t="s">
        <v>1964</v>
      </c>
      <c r="W1145" t="s">
        <v>2754</v>
      </c>
      <c r="X1145" t="s">
        <v>2755</v>
      </c>
      <c r="Y1145" t="s">
        <v>2328</v>
      </c>
      <c r="Z1145" t="s">
        <v>446</v>
      </c>
      <c r="AA1145" t="s">
        <v>342</v>
      </c>
      <c r="AB1145" t="s">
        <v>446</v>
      </c>
      <c r="AC1145" t="b">
        <v>0</v>
      </c>
      <c r="AD1145" t="b">
        <v>1</v>
      </c>
    </row>
    <row r="1146" spans="1:30" x14ac:dyDescent="0.25">
      <c r="A1146" t="s">
        <v>42</v>
      </c>
      <c r="B1146" t="s">
        <v>2756</v>
      </c>
      <c r="C1146" t="s">
        <v>342</v>
      </c>
      <c r="D1146" t="s">
        <v>446</v>
      </c>
      <c r="E1146" t="s">
        <v>1032</v>
      </c>
      <c r="F1146">
        <v>525</v>
      </c>
      <c r="G1146" t="s">
        <v>1945</v>
      </c>
      <c r="H1146" t="s">
        <v>2357</v>
      </c>
      <c r="I1146" t="s">
        <v>2328</v>
      </c>
      <c r="J1146" t="s">
        <v>1089</v>
      </c>
      <c r="K1146" t="s">
        <v>1048</v>
      </c>
      <c r="L1146" t="s">
        <v>2043</v>
      </c>
      <c r="M1146" t="s">
        <v>1000</v>
      </c>
      <c r="N1146" t="s">
        <v>446</v>
      </c>
      <c r="O1146" t="s">
        <v>446</v>
      </c>
      <c r="P1146" t="s">
        <v>1047</v>
      </c>
      <c r="Q1146" t="b">
        <v>1</v>
      </c>
      <c r="R1146" t="b">
        <v>1</v>
      </c>
      <c r="S1146" t="s">
        <v>2160</v>
      </c>
      <c r="T1146" t="s">
        <v>446</v>
      </c>
      <c r="U1146" t="s">
        <v>1951</v>
      </c>
      <c r="V1146" t="s">
        <v>1964</v>
      </c>
      <c r="W1146" t="s">
        <v>2757</v>
      </c>
      <c r="X1146" t="s">
        <v>2755</v>
      </c>
      <c r="Y1146" t="s">
        <v>2328</v>
      </c>
      <c r="Z1146" t="s">
        <v>446</v>
      </c>
      <c r="AA1146" t="s">
        <v>342</v>
      </c>
      <c r="AB1146" t="s">
        <v>446</v>
      </c>
      <c r="AC1146" t="b">
        <v>0</v>
      </c>
      <c r="AD1146" t="b">
        <v>1</v>
      </c>
    </row>
    <row r="1147" spans="1:30" x14ac:dyDescent="0.25">
      <c r="A1147" t="s">
        <v>42</v>
      </c>
      <c r="B1147" t="s">
        <v>2758</v>
      </c>
      <c r="C1147" t="s">
        <v>343</v>
      </c>
      <c r="D1147" t="s">
        <v>446</v>
      </c>
      <c r="E1147" t="s">
        <v>982</v>
      </c>
      <c r="F1147">
        <v>14080</v>
      </c>
      <c r="G1147" t="s">
        <v>2012</v>
      </c>
      <c r="H1147" t="s">
        <v>2377</v>
      </c>
      <c r="I1147" t="s">
        <v>2378</v>
      </c>
      <c r="J1147" t="s">
        <v>1089</v>
      </c>
      <c r="K1147" t="s">
        <v>1003</v>
      </c>
      <c r="L1147" t="s">
        <v>2379</v>
      </c>
      <c r="M1147" t="s">
        <v>1000</v>
      </c>
      <c r="N1147" t="s">
        <v>1004</v>
      </c>
      <c r="O1147" t="s">
        <v>446</v>
      </c>
      <c r="P1147" t="s">
        <v>1001</v>
      </c>
      <c r="Q1147" t="b">
        <v>1</v>
      </c>
      <c r="R1147" t="b">
        <v>1</v>
      </c>
      <c r="S1147" t="s">
        <v>2160</v>
      </c>
      <c r="T1147" t="s">
        <v>446</v>
      </c>
      <c r="U1147" t="s">
        <v>1951</v>
      </c>
      <c r="V1147" t="s">
        <v>1964</v>
      </c>
      <c r="W1147" t="s">
        <v>2759</v>
      </c>
      <c r="X1147" t="s">
        <v>2710</v>
      </c>
      <c r="Y1147" t="s">
        <v>2366</v>
      </c>
      <c r="Z1147" t="s">
        <v>2367</v>
      </c>
      <c r="AA1147" t="s">
        <v>346</v>
      </c>
      <c r="AB1147" t="s">
        <v>2368</v>
      </c>
      <c r="AC1147" t="b">
        <v>0</v>
      </c>
      <c r="AD1147" t="b">
        <v>1</v>
      </c>
    </row>
    <row r="1148" spans="1:30" x14ac:dyDescent="0.25">
      <c r="A1148" t="s">
        <v>42</v>
      </c>
      <c r="B1148" t="s">
        <v>2760</v>
      </c>
      <c r="C1148" t="s">
        <v>343</v>
      </c>
      <c r="D1148" t="s">
        <v>446</v>
      </c>
      <c r="E1148" t="s">
        <v>1010</v>
      </c>
      <c r="F1148">
        <v>17386</v>
      </c>
      <c r="G1148" t="s">
        <v>2012</v>
      </c>
      <c r="H1148" t="s">
        <v>2392</v>
      </c>
      <c r="I1148" t="s">
        <v>2378</v>
      </c>
      <c r="J1148" t="s">
        <v>1089</v>
      </c>
      <c r="K1148" t="s">
        <v>1026</v>
      </c>
      <c r="L1148" t="s">
        <v>2393</v>
      </c>
      <c r="M1148" t="s">
        <v>1000</v>
      </c>
      <c r="N1148" t="s">
        <v>1027</v>
      </c>
      <c r="O1148" t="s">
        <v>446</v>
      </c>
      <c r="P1148" t="s">
        <v>1025</v>
      </c>
      <c r="Q1148" t="b">
        <v>1</v>
      </c>
      <c r="R1148" t="b">
        <v>1</v>
      </c>
      <c r="S1148" t="s">
        <v>2160</v>
      </c>
      <c r="T1148" t="s">
        <v>446</v>
      </c>
      <c r="U1148" t="s">
        <v>1951</v>
      </c>
      <c r="V1148" t="s">
        <v>1964</v>
      </c>
      <c r="W1148" t="s">
        <v>2761</v>
      </c>
      <c r="X1148" t="s">
        <v>2710</v>
      </c>
      <c r="Y1148" t="s">
        <v>2366</v>
      </c>
      <c r="Z1148" t="s">
        <v>2367</v>
      </c>
      <c r="AA1148" t="s">
        <v>346</v>
      </c>
      <c r="AB1148" t="s">
        <v>2368</v>
      </c>
      <c r="AC1148" t="b">
        <v>0</v>
      </c>
      <c r="AD1148" t="b">
        <v>1</v>
      </c>
    </row>
    <row r="1149" spans="1:30" x14ac:dyDescent="0.25">
      <c r="A1149" t="s">
        <v>42</v>
      </c>
      <c r="B1149" t="s">
        <v>2762</v>
      </c>
      <c r="C1149" t="s">
        <v>343</v>
      </c>
      <c r="D1149" t="s">
        <v>446</v>
      </c>
      <c r="E1149" t="s">
        <v>1032</v>
      </c>
      <c r="F1149">
        <v>13229</v>
      </c>
      <c r="G1149" t="s">
        <v>2012</v>
      </c>
      <c r="H1149" t="s">
        <v>2403</v>
      </c>
      <c r="I1149" t="s">
        <v>2378</v>
      </c>
      <c r="J1149" t="s">
        <v>1089</v>
      </c>
      <c r="K1149" t="s">
        <v>1048</v>
      </c>
      <c r="L1149" t="s">
        <v>2404</v>
      </c>
      <c r="M1149" t="s">
        <v>1000</v>
      </c>
      <c r="N1149" t="s">
        <v>1049</v>
      </c>
      <c r="O1149" t="s">
        <v>446</v>
      </c>
      <c r="P1149" t="s">
        <v>1047</v>
      </c>
      <c r="Q1149" t="b">
        <v>1</v>
      </c>
      <c r="R1149" t="b">
        <v>1</v>
      </c>
      <c r="S1149" t="s">
        <v>2160</v>
      </c>
      <c r="T1149" t="s">
        <v>446</v>
      </c>
      <c r="U1149" t="s">
        <v>1951</v>
      </c>
      <c r="V1149" t="s">
        <v>1964</v>
      </c>
      <c r="W1149" t="s">
        <v>2763</v>
      </c>
      <c r="X1149" t="s">
        <v>2710</v>
      </c>
      <c r="Y1149" t="s">
        <v>2366</v>
      </c>
      <c r="Z1149" t="s">
        <v>2367</v>
      </c>
      <c r="AA1149" t="s">
        <v>346</v>
      </c>
      <c r="AB1149" t="s">
        <v>2368</v>
      </c>
      <c r="AC1149" t="b">
        <v>0</v>
      </c>
      <c r="AD1149" t="b">
        <v>1</v>
      </c>
    </row>
    <row r="1150" spans="1:30" x14ac:dyDescent="0.25">
      <c r="A1150" t="s">
        <v>42</v>
      </c>
      <c r="B1150" t="s">
        <v>2764</v>
      </c>
      <c r="C1150" t="s">
        <v>345</v>
      </c>
      <c r="D1150" t="s">
        <v>446</v>
      </c>
      <c r="E1150" t="s">
        <v>982</v>
      </c>
      <c r="F1150">
        <v>348</v>
      </c>
      <c r="G1150" t="s">
        <v>2012</v>
      </c>
      <c r="H1150" t="s">
        <v>2414</v>
      </c>
      <c r="I1150" t="s">
        <v>2415</v>
      </c>
      <c r="J1150" t="s">
        <v>1089</v>
      </c>
      <c r="K1150" t="s">
        <v>1003</v>
      </c>
      <c r="L1150" t="s">
        <v>2031</v>
      </c>
      <c r="M1150" t="s">
        <v>1000</v>
      </c>
      <c r="N1150" t="s">
        <v>1004</v>
      </c>
      <c r="O1150" t="s">
        <v>446</v>
      </c>
      <c r="P1150" t="s">
        <v>1001</v>
      </c>
      <c r="Q1150" t="b">
        <v>1</v>
      </c>
      <c r="R1150" t="b">
        <v>1</v>
      </c>
      <c r="S1150" t="s">
        <v>2160</v>
      </c>
      <c r="T1150" t="s">
        <v>446</v>
      </c>
      <c r="U1150" t="s">
        <v>1951</v>
      </c>
      <c r="V1150" t="s">
        <v>1980</v>
      </c>
      <c r="W1150" t="s">
        <v>2765</v>
      </c>
      <c r="X1150" t="s">
        <v>2766</v>
      </c>
      <c r="Y1150" t="s">
        <v>2417</v>
      </c>
      <c r="Z1150" t="s">
        <v>446</v>
      </c>
      <c r="AA1150" t="s">
        <v>345</v>
      </c>
      <c r="AB1150" t="s">
        <v>446</v>
      </c>
      <c r="AC1150" t="b">
        <v>0</v>
      </c>
      <c r="AD1150" t="b">
        <v>1</v>
      </c>
    </row>
    <row r="1151" spans="1:30" x14ac:dyDescent="0.25">
      <c r="A1151" t="s">
        <v>42</v>
      </c>
      <c r="B1151" t="s">
        <v>2767</v>
      </c>
      <c r="C1151" t="s">
        <v>345</v>
      </c>
      <c r="D1151" t="s">
        <v>446</v>
      </c>
      <c r="E1151" t="s">
        <v>1010</v>
      </c>
      <c r="F1151">
        <v>360</v>
      </c>
      <c r="G1151" t="s">
        <v>2012</v>
      </c>
      <c r="H1151" t="s">
        <v>2421</v>
      </c>
      <c r="I1151" t="s">
        <v>2415</v>
      </c>
      <c r="J1151" t="s">
        <v>1089</v>
      </c>
      <c r="K1151" t="s">
        <v>1026</v>
      </c>
      <c r="L1151" t="s">
        <v>1979</v>
      </c>
      <c r="M1151" t="s">
        <v>1000</v>
      </c>
      <c r="N1151" t="s">
        <v>1027</v>
      </c>
      <c r="O1151" t="s">
        <v>446</v>
      </c>
      <c r="P1151" t="s">
        <v>1025</v>
      </c>
      <c r="Q1151" t="b">
        <v>1</v>
      </c>
      <c r="R1151" t="b">
        <v>1</v>
      </c>
      <c r="S1151" t="s">
        <v>2160</v>
      </c>
      <c r="T1151" t="s">
        <v>446</v>
      </c>
      <c r="U1151" t="s">
        <v>1951</v>
      </c>
      <c r="V1151" t="s">
        <v>1980</v>
      </c>
      <c r="W1151" t="s">
        <v>2768</v>
      </c>
      <c r="X1151" t="s">
        <v>2766</v>
      </c>
      <c r="Y1151" t="s">
        <v>2417</v>
      </c>
      <c r="Z1151" t="s">
        <v>446</v>
      </c>
      <c r="AA1151" t="s">
        <v>345</v>
      </c>
      <c r="AB1151" t="s">
        <v>446</v>
      </c>
      <c r="AC1151" t="b">
        <v>0</v>
      </c>
      <c r="AD1151" t="b">
        <v>1</v>
      </c>
    </row>
    <row r="1152" spans="1:30" x14ac:dyDescent="0.25">
      <c r="A1152" t="s">
        <v>42</v>
      </c>
      <c r="B1152" t="s">
        <v>2769</v>
      </c>
      <c r="C1152" t="s">
        <v>345</v>
      </c>
      <c r="D1152" t="s">
        <v>446</v>
      </c>
      <c r="E1152" t="s">
        <v>1032</v>
      </c>
      <c r="F1152">
        <v>56</v>
      </c>
      <c r="G1152" t="s">
        <v>2012</v>
      </c>
      <c r="H1152" t="s">
        <v>2425</v>
      </c>
      <c r="I1152" t="s">
        <v>2415</v>
      </c>
      <c r="J1152" t="s">
        <v>1089</v>
      </c>
      <c r="K1152" t="s">
        <v>1048</v>
      </c>
      <c r="L1152" t="s">
        <v>1991</v>
      </c>
      <c r="M1152" t="s">
        <v>1000</v>
      </c>
      <c r="N1152" t="s">
        <v>1049</v>
      </c>
      <c r="O1152" t="s">
        <v>446</v>
      </c>
      <c r="P1152" t="s">
        <v>1047</v>
      </c>
      <c r="Q1152" t="b">
        <v>1</v>
      </c>
      <c r="R1152" t="b">
        <v>1</v>
      </c>
      <c r="S1152" t="s">
        <v>2160</v>
      </c>
      <c r="T1152" t="s">
        <v>446</v>
      </c>
      <c r="U1152" t="s">
        <v>1951</v>
      </c>
      <c r="V1152" t="s">
        <v>1980</v>
      </c>
      <c r="W1152" t="s">
        <v>2770</v>
      </c>
      <c r="X1152" t="s">
        <v>2766</v>
      </c>
      <c r="Y1152" t="s">
        <v>2417</v>
      </c>
      <c r="Z1152" t="s">
        <v>446</v>
      </c>
      <c r="AA1152" t="s">
        <v>345</v>
      </c>
      <c r="AB1152" t="s">
        <v>446</v>
      </c>
      <c r="AC1152" t="b">
        <v>0</v>
      </c>
      <c r="AD1152" t="b">
        <v>1</v>
      </c>
    </row>
    <row r="1153" spans="1:30" x14ac:dyDescent="0.25">
      <c r="A1153" t="s">
        <v>42</v>
      </c>
      <c r="B1153" t="s">
        <v>2427</v>
      </c>
      <c r="C1153" t="s">
        <v>346</v>
      </c>
      <c r="D1153" t="s">
        <v>446</v>
      </c>
      <c r="E1153" t="s">
        <v>978</v>
      </c>
      <c r="F1153">
        <v>36945</v>
      </c>
      <c r="G1153" t="s">
        <v>2012</v>
      </c>
      <c r="H1153" t="s">
        <v>2428</v>
      </c>
      <c r="I1153" t="s">
        <v>2429</v>
      </c>
      <c r="J1153" t="s">
        <v>1089</v>
      </c>
      <c r="K1153" t="s">
        <v>984</v>
      </c>
      <c r="L1153" t="s">
        <v>1948</v>
      </c>
      <c r="M1153" t="s">
        <v>980</v>
      </c>
      <c r="N1153" t="s">
        <v>985</v>
      </c>
      <c r="O1153" t="s">
        <v>446</v>
      </c>
      <c r="P1153" t="s">
        <v>981</v>
      </c>
      <c r="Q1153" t="b">
        <v>1</v>
      </c>
      <c r="R1153" t="b">
        <v>1</v>
      </c>
      <c r="S1153" t="s">
        <v>2160</v>
      </c>
      <c r="T1153" t="s">
        <v>446</v>
      </c>
      <c r="U1153" t="s">
        <v>1951</v>
      </c>
      <c r="V1153" t="s">
        <v>1093</v>
      </c>
      <c r="W1153" t="s">
        <v>1952</v>
      </c>
      <c r="X1153" t="s">
        <v>2710</v>
      </c>
      <c r="Y1153" t="s">
        <v>2430</v>
      </c>
      <c r="Z1153" t="s">
        <v>2367</v>
      </c>
      <c r="AA1153" t="s">
        <v>346</v>
      </c>
      <c r="AB1153" t="s">
        <v>2368</v>
      </c>
      <c r="AC1153" t="b">
        <v>0</v>
      </c>
      <c r="AD1153" t="b">
        <v>1</v>
      </c>
    </row>
    <row r="1154" spans="1:30" x14ac:dyDescent="0.25">
      <c r="A1154" t="s">
        <v>42</v>
      </c>
      <c r="B1154" t="s">
        <v>2431</v>
      </c>
      <c r="C1154" t="s">
        <v>346</v>
      </c>
      <c r="D1154" t="s">
        <v>446</v>
      </c>
      <c r="E1154" t="s">
        <v>986</v>
      </c>
      <c r="F1154">
        <v>36797</v>
      </c>
      <c r="G1154" t="s">
        <v>2012</v>
      </c>
      <c r="H1154" t="s">
        <v>2432</v>
      </c>
      <c r="I1154" t="s">
        <v>2429</v>
      </c>
      <c r="J1154" t="s">
        <v>1089</v>
      </c>
      <c r="K1154" t="s">
        <v>990</v>
      </c>
      <c r="L1154" t="s">
        <v>1955</v>
      </c>
      <c r="M1154" t="s">
        <v>980</v>
      </c>
      <c r="N1154" t="s">
        <v>991</v>
      </c>
      <c r="O1154" t="s">
        <v>446</v>
      </c>
      <c r="P1154" t="s">
        <v>988</v>
      </c>
      <c r="Q1154" t="b">
        <v>1</v>
      </c>
      <c r="R1154" t="b">
        <v>1</v>
      </c>
      <c r="S1154" t="s">
        <v>2160</v>
      </c>
      <c r="T1154" t="s">
        <v>446</v>
      </c>
      <c r="U1154" t="s">
        <v>1951</v>
      </c>
      <c r="V1154" t="s">
        <v>1093</v>
      </c>
      <c r="W1154" t="s">
        <v>1952</v>
      </c>
      <c r="X1154" t="s">
        <v>2710</v>
      </c>
      <c r="Y1154" t="s">
        <v>2430</v>
      </c>
      <c r="Z1154" t="s">
        <v>2367</v>
      </c>
      <c r="AA1154" t="s">
        <v>346</v>
      </c>
      <c r="AB1154" t="s">
        <v>2368</v>
      </c>
      <c r="AC1154" t="b">
        <v>0</v>
      </c>
      <c r="AD1154" t="b">
        <v>1</v>
      </c>
    </row>
    <row r="1155" spans="1:30" x14ac:dyDescent="0.25">
      <c r="A1155" t="s">
        <v>42</v>
      </c>
      <c r="B1155" t="s">
        <v>2433</v>
      </c>
      <c r="C1155" t="s">
        <v>346</v>
      </c>
      <c r="D1155" t="s">
        <v>446</v>
      </c>
      <c r="E1155" t="s">
        <v>992</v>
      </c>
      <c r="F1155">
        <v>36256</v>
      </c>
      <c r="G1155" t="s">
        <v>2012</v>
      </c>
      <c r="H1155" t="s">
        <v>2434</v>
      </c>
      <c r="I1155" t="s">
        <v>2429</v>
      </c>
      <c r="J1155" t="s">
        <v>1089</v>
      </c>
      <c r="K1155" t="s">
        <v>996</v>
      </c>
      <c r="L1155" t="s">
        <v>1958</v>
      </c>
      <c r="M1155" t="s">
        <v>980</v>
      </c>
      <c r="N1155" t="s">
        <v>997</v>
      </c>
      <c r="O1155" t="s">
        <v>446</v>
      </c>
      <c r="P1155" t="s">
        <v>994</v>
      </c>
      <c r="Q1155" t="b">
        <v>1</v>
      </c>
      <c r="R1155" t="b">
        <v>1</v>
      </c>
      <c r="S1155" t="s">
        <v>2160</v>
      </c>
      <c r="T1155" t="s">
        <v>446</v>
      </c>
      <c r="U1155" t="s">
        <v>1951</v>
      </c>
      <c r="V1155" t="s">
        <v>1093</v>
      </c>
      <c r="W1155" t="s">
        <v>1952</v>
      </c>
      <c r="X1155" t="s">
        <v>2710</v>
      </c>
      <c r="Y1155" t="s">
        <v>2430</v>
      </c>
      <c r="Z1155" t="s">
        <v>2367</v>
      </c>
      <c r="AA1155" t="s">
        <v>346</v>
      </c>
      <c r="AB1155" t="s">
        <v>2368</v>
      </c>
      <c r="AC1155" t="b">
        <v>0</v>
      </c>
      <c r="AD1155" t="b">
        <v>1</v>
      </c>
    </row>
    <row r="1156" spans="1:30" x14ac:dyDescent="0.25">
      <c r="A1156" t="s">
        <v>42</v>
      </c>
      <c r="B1156" t="s">
        <v>2435</v>
      </c>
      <c r="C1156" t="s">
        <v>346</v>
      </c>
      <c r="D1156" t="s">
        <v>446</v>
      </c>
      <c r="E1156" t="s">
        <v>998</v>
      </c>
      <c r="F1156">
        <v>37507</v>
      </c>
      <c r="G1156" t="s">
        <v>2012</v>
      </c>
      <c r="H1156" t="s">
        <v>2436</v>
      </c>
      <c r="I1156" t="s">
        <v>2437</v>
      </c>
      <c r="J1156" t="s">
        <v>1089</v>
      </c>
      <c r="K1156" t="s">
        <v>1026</v>
      </c>
      <c r="L1156" t="s">
        <v>1979</v>
      </c>
      <c r="M1156" t="s">
        <v>1000</v>
      </c>
      <c r="N1156" t="s">
        <v>1027</v>
      </c>
      <c r="O1156" t="s">
        <v>446</v>
      </c>
      <c r="P1156" t="s">
        <v>1001</v>
      </c>
      <c r="Q1156" t="b">
        <v>1</v>
      </c>
      <c r="R1156" t="b">
        <v>1</v>
      </c>
      <c r="S1156" t="s">
        <v>2160</v>
      </c>
      <c r="T1156" t="s">
        <v>446</v>
      </c>
      <c r="U1156" t="s">
        <v>1951</v>
      </c>
      <c r="V1156" t="s">
        <v>1093</v>
      </c>
      <c r="W1156" t="s">
        <v>1952</v>
      </c>
      <c r="X1156" t="s">
        <v>2771</v>
      </c>
      <c r="Y1156" t="s">
        <v>2437</v>
      </c>
      <c r="Z1156" t="s">
        <v>446</v>
      </c>
      <c r="AA1156" t="s">
        <v>346</v>
      </c>
      <c r="AB1156" t="s">
        <v>446</v>
      </c>
      <c r="AC1156" t="b">
        <v>0</v>
      </c>
      <c r="AD1156" t="b">
        <v>1</v>
      </c>
    </row>
    <row r="1157" spans="1:30" x14ac:dyDescent="0.25">
      <c r="A1157" t="s">
        <v>42</v>
      </c>
      <c r="B1157" t="s">
        <v>2772</v>
      </c>
      <c r="C1157" t="s">
        <v>346</v>
      </c>
      <c r="D1157" t="s">
        <v>446</v>
      </c>
      <c r="E1157" t="s">
        <v>982</v>
      </c>
      <c r="F1157">
        <v>37507</v>
      </c>
      <c r="G1157" t="s">
        <v>2012</v>
      </c>
      <c r="H1157" t="s">
        <v>2436</v>
      </c>
      <c r="I1157" t="s">
        <v>2437</v>
      </c>
      <c r="J1157" t="s">
        <v>1089</v>
      </c>
      <c r="K1157" t="s">
        <v>1026</v>
      </c>
      <c r="L1157" t="s">
        <v>1979</v>
      </c>
      <c r="M1157" t="s">
        <v>1000</v>
      </c>
      <c r="N1157" t="s">
        <v>1027</v>
      </c>
      <c r="O1157" t="s">
        <v>446</v>
      </c>
      <c r="P1157" t="s">
        <v>1001</v>
      </c>
      <c r="Q1157" t="b">
        <v>1</v>
      </c>
      <c r="R1157" t="b">
        <v>1</v>
      </c>
      <c r="S1157" t="s">
        <v>2160</v>
      </c>
      <c r="T1157" t="s">
        <v>446</v>
      </c>
      <c r="U1157" t="s">
        <v>1951</v>
      </c>
      <c r="V1157" t="s">
        <v>1980</v>
      </c>
      <c r="W1157" t="s">
        <v>2765</v>
      </c>
      <c r="X1157" t="s">
        <v>2771</v>
      </c>
      <c r="Y1157" t="s">
        <v>2437</v>
      </c>
      <c r="Z1157" t="s">
        <v>446</v>
      </c>
      <c r="AA1157" t="s">
        <v>346</v>
      </c>
      <c r="AB1157" t="s">
        <v>446</v>
      </c>
      <c r="AC1157" t="b">
        <v>0</v>
      </c>
      <c r="AD1157" t="b">
        <v>1</v>
      </c>
    </row>
    <row r="1158" spans="1:30" x14ac:dyDescent="0.25">
      <c r="A1158" t="s">
        <v>42</v>
      </c>
      <c r="B1158" t="s">
        <v>2439</v>
      </c>
      <c r="C1158" t="s">
        <v>346</v>
      </c>
      <c r="D1158" t="s">
        <v>446</v>
      </c>
      <c r="E1158" t="s">
        <v>1006</v>
      </c>
      <c r="F1158">
        <v>36496</v>
      </c>
      <c r="G1158" t="s">
        <v>2012</v>
      </c>
      <c r="H1158" t="s">
        <v>2440</v>
      </c>
      <c r="I1158" t="s">
        <v>2429</v>
      </c>
      <c r="J1158" t="s">
        <v>1089</v>
      </c>
      <c r="K1158" t="s">
        <v>1967</v>
      </c>
      <c r="L1158" t="s">
        <v>1968</v>
      </c>
      <c r="M1158" t="s">
        <v>980</v>
      </c>
      <c r="N1158" t="s">
        <v>1969</v>
      </c>
      <c r="O1158" t="s">
        <v>446</v>
      </c>
      <c r="P1158" t="s">
        <v>1009</v>
      </c>
      <c r="Q1158" t="b">
        <v>1</v>
      </c>
      <c r="R1158" t="b">
        <v>1</v>
      </c>
      <c r="S1158" t="s">
        <v>2160</v>
      </c>
      <c r="T1158" t="s">
        <v>446</v>
      </c>
      <c r="U1158" t="s">
        <v>1951</v>
      </c>
      <c r="V1158" t="s">
        <v>1093</v>
      </c>
      <c r="W1158" t="s">
        <v>1952</v>
      </c>
      <c r="X1158" t="s">
        <v>2710</v>
      </c>
      <c r="Y1158" t="s">
        <v>446</v>
      </c>
      <c r="Z1158" t="s">
        <v>446</v>
      </c>
      <c r="AA1158" t="s">
        <v>346</v>
      </c>
      <c r="AB1158" t="s">
        <v>446</v>
      </c>
      <c r="AC1158" t="b">
        <v>0</v>
      </c>
      <c r="AD1158" t="b">
        <v>1</v>
      </c>
    </row>
    <row r="1159" spans="1:30" x14ac:dyDescent="0.25">
      <c r="A1159" t="s">
        <v>42</v>
      </c>
      <c r="B1159" t="s">
        <v>2441</v>
      </c>
      <c r="C1159" t="s">
        <v>346</v>
      </c>
      <c r="D1159" t="s">
        <v>446</v>
      </c>
      <c r="E1159" t="s">
        <v>1013</v>
      </c>
      <c r="F1159">
        <v>40024</v>
      </c>
      <c r="G1159" t="s">
        <v>2012</v>
      </c>
      <c r="H1159" t="s">
        <v>2442</v>
      </c>
      <c r="I1159" t="s">
        <v>2437</v>
      </c>
      <c r="J1159" t="s">
        <v>1089</v>
      </c>
      <c r="K1159" t="s">
        <v>1016</v>
      </c>
      <c r="L1159" t="s">
        <v>1972</v>
      </c>
      <c r="M1159" t="s">
        <v>980</v>
      </c>
      <c r="N1159" t="s">
        <v>1017</v>
      </c>
      <c r="O1159" t="s">
        <v>446</v>
      </c>
      <c r="P1159" t="s">
        <v>1015</v>
      </c>
      <c r="Q1159" t="b">
        <v>1</v>
      </c>
      <c r="R1159" t="b">
        <v>1</v>
      </c>
      <c r="S1159" t="s">
        <v>2160</v>
      </c>
      <c r="T1159" t="s">
        <v>446</v>
      </c>
      <c r="U1159" t="s">
        <v>1951</v>
      </c>
      <c r="V1159" t="s">
        <v>1093</v>
      </c>
      <c r="W1159" t="s">
        <v>1952</v>
      </c>
      <c r="X1159" t="s">
        <v>2771</v>
      </c>
      <c r="Y1159" t="s">
        <v>2437</v>
      </c>
      <c r="Z1159" t="s">
        <v>446</v>
      </c>
      <c r="AA1159" t="s">
        <v>346</v>
      </c>
      <c r="AB1159" t="s">
        <v>446</v>
      </c>
      <c r="AC1159" t="b">
        <v>0</v>
      </c>
      <c r="AD1159" t="b">
        <v>1</v>
      </c>
    </row>
    <row r="1160" spans="1:30" x14ac:dyDescent="0.25">
      <c r="A1160" t="s">
        <v>42</v>
      </c>
      <c r="B1160" t="s">
        <v>2443</v>
      </c>
      <c r="C1160" t="s">
        <v>346</v>
      </c>
      <c r="D1160" t="s">
        <v>446</v>
      </c>
      <c r="E1160" t="s">
        <v>1018</v>
      </c>
      <c r="F1160">
        <v>44061</v>
      </c>
      <c r="G1160" t="s">
        <v>2012</v>
      </c>
      <c r="H1160" t="s">
        <v>2444</v>
      </c>
      <c r="I1160" t="s">
        <v>2437</v>
      </c>
      <c r="J1160" t="s">
        <v>1089</v>
      </c>
      <c r="K1160" t="s">
        <v>1021</v>
      </c>
      <c r="L1160" t="s">
        <v>1975</v>
      </c>
      <c r="M1160" t="s">
        <v>980</v>
      </c>
      <c r="N1160" t="s">
        <v>1022</v>
      </c>
      <c r="O1160" t="s">
        <v>446</v>
      </c>
      <c r="P1160" t="s">
        <v>1020</v>
      </c>
      <c r="Q1160" t="b">
        <v>1</v>
      </c>
      <c r="R1160" t="b">
        <v>1</v>
      </c>
      <c r="S1160" t="s">
        <v>2160</v>
      </c>
      <c r="T1160" t="s">
        <v>446</v>
      </c>
      <c r="U1160" t="s">
        <v>1951</v>
      </c>
      <c r="V1160" t="s">
        <v>1093</v>
      </c>
      <c r="W1160" t="s">
        <v>1952</v>
      </c>
      <c r="X1160" t="s">
        <v>2771</v>
      </c>
      <c r="Y1160" t="s">
        <v>2437</v>
      </c>
      <c r="Z1160" t="s">
        <v>446</v>
      </c>
      <c r="AA1160" t="s">
        <v>346</v>
      </c>
      <c r="AB1160" t="s">
        <v>446</v>
      </c>
      <c r="AC1160" t="b">
        <v>0</v>
      </c>
      <c r="AD1160" t="b">
        <v>1</v>
      </c>
    </row>
    <row r="1161" spans="1:30" x14ac:dyDescent="0.25">
      <c r="A1161" t="s">
        <v>42</v>
      </c>
      <c r="B1161" t="s">
        <v>2445</v>
      </c>
      <c r="C1161" t="s">
        <v>346</v>
      </c>
      <c r="D1161" t="s">
        <v>446</v>
      </c>
      <c r="E1161" t="s">
        <v>1023</v>
      </c>
      <c r="F1161">
        <v>43023</v>
      </c>
      <c r="G1161" t="s">
        <v>2012</v>
      </c>
      <c r="H1161" t="s">
        <v>2446</v>
      </c>
      <c r="I1161" t="s">
        <v>2437</v>
      </c>
      <c r="J1161" t="s">
        <v>1089</v>
      </c>
      <c r="K1161" t="s">
        <v>1026</v>
      </c>
      <c r="L1161" t="s">
        <v>1979</v>
      </c>
      <c r="M1161" t="s">
        <v>1000</v>
      </c>
      <c r="N1161" t="s">
        <v>1027</v>
      </c>
      <c r="O1161" t="s">
        <v>446</v>
      </c>
      <c r="P1161" t="s">
        <v>1025</v>
      </c>
      <c r="Q1161" t="b">
        <v>1</v>
      </c>
      <c r="R1161" t="b">
        <v>1</v>
      </c>
      <c r="S1161" t="s">
        <v>2160</v>
      </c>
      <c r="T1161" t="s">
        <v>446</v>
      </c>
      <c r="U1161" t="s">
        <v>1951</v>
      </c>
      <c r="V1161" t="s">
        <v>1093</v>
      </c>
      <c r="W1161" t="s">
        <v>1952</v>
      </c>
      <c r="X1161" t="s">
        <v>2771</v>
      </c>
      <c r="Y1161" t="s">
        <v>2437</v>
      </c>
      <c r="Z1161" t="s">
        <v>446</v>
      </c>
      <c r="AA1161" t="s">
        <v>346</v>
      </c>
      <c r="AB1161" t="s">
        <v>446</v>
      </c>
      <c r="AC1161" t="b">
        <v>0</v>
      </c>
      <c r="AD1161" t="b">
        <v>1</v>
      </c>
    </row>
    <row r="1162" spans="1:30" x14ac:dyDescent="0.25">
      <c r="A1162" t="s">
        <v>42</v>
      </c>
      <c r="B1162" t="s">
        <v>2773</v>
      </c>
      <c r="C1162" t="s">
        <v>346</v>
      </c>
      <c r="D1162" t="s">
        <v>446</v>
      </c>
      <c r="E1162" t="s">
        <v>1010</v>
      </c>
      <c r="F1162">
        <v>43023</v>
      </c>
      <c r="G1162" t="s">
        <v>2012</v>
      </c>
      <c r="H1162" t="s">
        <v>2446</v>
      </c>
      <c r="I1162" t="s">
        <v>2437</v>
      </c>
      <c r="J1162" t="s">
        <v>1089</v>
      </c>
      <c r="K1162" t="s">
        <v>1026</v>
      </c>
      <c r="L1162" t="s">
        <v>1979</v>
      </c>
      <c r="M1162" t="s">
        <v>1000</v>
      </c>
      <c r="N1162" t="s">
        <v>1027</v>
      </c>
      <c r="O1162" t="s">
        <v>446</v>
      </c>
      <c r="P1162" t="s">
        <v>1025</v>
      </c>
      <c r="Q1162" t="b">
        <v>1</v>
      </c>
      <c r="R1162" t="b">
        <v>1</v>
      </c>
      <c r="S1162" t="s">
        <v>2160</v>
      </c>
      <c r="T1162" t="s">
        <v>446</v>
      </c>
      <c r="U1162" t="s">
        <v>1951</v>
      </c>
      <c r="V1162" t="s">
        <v>1980</v>
      </c>
      <c r="W1162" t="s">
        <v>2768</v>
      </c>
      <c r="X1162" t="s">
        <v>2771</v>
      </c>
      <c r="Y1162" t="s">
        <v>2437</v>
      </c>
      <c r="Z1162" t="s">
        <v>446</v>
      </c>
      <c r="AA1162" t="s">
        <v>346</v>
      </c>
      <c r="AB1162" t="s">
        <v>446</v>
      </c>
      <c r="AC1162" t="b">
        <v>0</v>
      </c>
      <c r="AD1162" t="b">
        <v>1</v>
      </c>
    </row>
    <row r="1163" spans="1:30" x14ac:dyDescent="0.25">
      <c r="A1163" t="s">
        <v>42</v>
      </c>
      <c r="B1163" t="s">
        <v>2774</v>
      </c>
      <c r="C1163" t="s">
        <v>346</v>
      </c>
      <c r="D1163" t="s">
        <v>446</v>
      </c>
      <c r="E1163" t="s">
        <v>1032</v>
      </c>
      <c r="F1163">
        <v>43941</v>
      </c>
      <c r="G1163" t="s">
        <v>2012</v>
      </c>
      <c r="H1163" t="s">
        <v>2450</v>
      </c>
      <c r="I1163" t="s">
        <v>2437</v>
      </c>
      <c r="J1163" t="s">
        <v>1089</v>
      </c>
      <c r="K1163" t="s">
        <v>1048</v>
      </c>
      <c r="L1163" t="s">
        <v>1991</v>
      </c>
      <c r="M1163" t="s">
        <v>1000</v>
      </c>
      <c r="N1163" t="s">
        <v>1049</v>
      </c>
      <c r="O1163" t="s">
        <v>446</v>
      </c>
      <c r="P1163" t="s">
        <v>1047</v>
      </c>
      <c r="Q1163" t="b">
        <v>1</v>
      </c>
      <c r="R1163" t="b">
        <v>1</v>
      </c>
      <c r="S1163" t="s">
        <v>2160</v>
      </c>
      <c r="T1163" t="s">
        <v>446</v>
      </c>
      <c r="U1163" t="s">
        <v>1951</v>
      </c>
      <c r="V1163" t="s">
        <v>1980</v>
      </c>
      <c r="W1163" t="s">
        <v>2770</v>
      </c>
      <c r="X1163" t="s">
        <v>2771</v>
      </c>
      <c r="Y1163" t="s">
        <v>2437</v>
      </c>
      <c r="Z1163" t="s">
        <v>446</v>
      </c>
      <c r="AA1163" t="s">
        <v>346</v>
      </c>
      <c r="AB1163" t="s">
        <v>446</v>
      </c>
      <c r="AC1163" t="b">
        <v>0</v>
      </c>
      <c r="AD1163" t="b">
        <v>1</v>
      </c>
    </row>
    <row r="1164" spans="1:30" x14ac:dyDescent="0.25">
      <c r="A1164" t="s">
        <v>42</v>
      </c>
      <c r="B1164" t="s">
        <v>2451</v>
      </c>
      <c r="C1164" t="s">
        <v>346</v>
      </c>
      <c r="D1164" t="s">
        <v>446</v>
      </c>
      <c r="E1164" t="s">
        <v>1051</v>
      </c>
      <c r="F1164">
        <v>43558</v>
      </c>
      <c r="G1164" t="s">
        <v>2012</v>
      </c>
      <c r="H1164" t="s">
        <v>2452</v>
      </c>
      <c r="I1164" t="s">
        <v>2437</v>
      </c>
      <c r="J1164" t="s">
        <v>1089</v>
      </c>
      <c r="K1164" t="s">
        <v>1055</v>
      </c>
      <c r="L1164" t="s">
        <v>1993</v>
      </c>
      <c r="M1164" t="s">
        <v>980</v>
      </c>
      <c r="N1164" t="s">
        <v>1056</v>
      </c>
      <c r="O1164" t="s">
        <v>446</v>
      </c>
      <c r="P1164" t="s">
        <v>1053</v>
      </c>
      <c r="Q1164" t="b">
        <v>1</v>
      </c>
      <c r="R1164" t="b">
        <v>1</v>
      </c>
      <c r="S1164" t="s">
        <v>2160</v>
      </c>
      <c r="T1164" t="s">
        <v>446</v>
      </c>
      <c r="U1164" t="s">
        <v>1951</v>
      </c>
      <c r="V1164" t="s">
        <v>1093</v>
      </c>
      <c r="W1164" t="s">
        <v>1952</v>
      </c>
      <c r="X1164" t="s">
        <v>2771</v>
      </c>
      <c r="Y1164" t="s">
        <v>2437</v>
      </c>
      <c r="Z1164" t="s">
        <v>446</v>
      </c>
      <c r="AA1164" t="s">
        <v>346</v>
      </c>
      <c r="AB1164" t="s">
        <v>446</v>
      </c>
      <c r="AC1164" t="b">
        <v>0</v>
      </c>
      <c r="AD1164" t="b">
        <v>1</v>
      </c>
    </row>
    <row r="1165" spans="1:30" x14ac:dyDescent="0.25">
      <c r="A1165" t="s">
        <v>42</v>
      </c>
      <c r="B1165" t="s">
        <v>2775</v>
      </c>
      <c r="C1165" t="s">
        <v>347</v>
      </c>
      <c r="D1165" t="s">
        <v>446</v>
      </c>
      <c r="E1165" t="s">
        <v>982</v>
      </c>
      <c r="F1165">
        <v>2639</v>
      </c>
      <c r="G1165" t="s">
        <v>2012</v>
      </c>
      <c r="H1165" t="s">
        <v>2461</v>
      </c>
      <c r="I1165" t="s">
        <v>2454</v>
      </c>
      <c r="J1165" t="s">
        <v>1089</v>
      </c>
      <c r="K1165" t="s">
        <v>1003</v>
      </c>
      <c r="L1165" t="s">
        <v>2031</v>
      </c>
      <c r="M1165" t="s">
        <v>1000</v>
      </c>
      <c r="N1165" t="s">
        <v>1004</v>
      </c>
      <c r="O1165" t="s">
        <v>446</v>
      </c>
      <c r="P1165" t="s">
        <v>1001</v>
      </c>
      <c r="Q1165" t="b">
        <v>1</v>
      </c>
      <c r="R1165" t="b">
        <v>1</v>
      </c>
      <c r="S1165" t="s">
        <v>2160</v>
      </c>
      <c r="T1165" t="s">
        <v>446</v>
      </c>
      <c r="U1165" t="s">
        <v>1951</v>
      </c>
      <c r="V1165" t="s">
        <v>1980</v>
      </c>
      <c r="W1165" t="s">
        <v>2776</v>
      </c>
      <c r="X1165" t="s">
        <v>2777</v>
      </c>
      <c r="Y1165" t="s">
        <v>2456</v>
      </c>
      <c r="Z1165" t="s">
        <v>2457</v>
      </c>
      <c r="AA1165" t="s">
        <v>347</v>
      </c>
      <c r="AB1165" t="s">
        <v>2458</v>
      </c>
      <c r="AC1165" t="b">
        <v>0</v>
      </c>
      <c r="AD1165" t="b">
        <v>1</v>
      </c>
    </row>
    <row r="1166" spans="1:30" x14ac:dyDescent="0.25">
      <c r="A1166" t="s">
        <v>42</v>
      </c>
      <c r="B1166" t="s">
        <v>2778</v>
      </c>
      <c r="C1166" t="s">
        <v>347</v>
      </c>
      <c r="D1166" t="s">
        <v>446</v>
      </c>
      <c r="E1166" t="s">
        <v>1010</v>
      </c>
      <c r="F1166">
        <v>2469</v>
      </c>
      <c r="G1166" t="s">
        <v>2012</v>
      </c>
      <c r="H1166" t="s">
        <v>2466</v>
      </c>
      <c r="I1166" t="s">
        <v>2454</v>
      </c>
      <c r="J1166" t="s">
        <v>1089</v>
      </c>
      <c r="K1166" t="s">
        <v>1026</v>
      </c>
      <c r="L1166" t="s">
        <v>1979</v>
      </c>
      <c r="M1166" t="s">
        <v>1000</v>
      </c>
      <c r="N1166" t="s">
        <v>1027</v>
      </c>
      <c r="O1166" t="s">
        <v>446</v>
      </c>
      <c r="P1166" t="s">
        <v>1025</v>
      </c>
      <c r="Q1166" t="b">
        <v>1</v>
      </c>
      <c r="R1166" t="b">
        <v>1</v>
      </c>
      <c r="S1166" t="s">
        <v>2160</v>
      </c>
      <c r="T1166" t="s">
        <v>446</v>
      </c>
      <c r="U1166" t="s">
        <v>1951</v>
      </c>
      <c r="V1166" t="s">
        <v>1980</v>
      </c>
      <c r="W1166" t="s">
        <v>2779</v>
      </c>
      <c r="X1166" t="s">
        <v>2777</v>
      </c>
      <c r="Y1166" t="s">
        <v>2456</v>
      </c>
      <c r="Z1166" t="s">
        <v>2457</v>
      </c>
      <c r="AA1166" t="s">
        <v>347</v>
      </c>
      <c r="AB1166" t="s">
        <v>2458</v>
      </c>
      <c r="AC1166" t="b">
        <v>0</v>
      </c>
      <c r="AD1166" t="b">
        <v>1</v>
      </c>
    </row>
    <row r="1167" spans="1:30" x14ac:dyDescent="0.25">
      <c r="A1167" t="s">
        <v>42</v>
      </c>
      <c r="B1167" t="s">
        <v>2780</v>
      </c>
      <c r="C1167" t="s">
        <v>347</v>
      </c>
      <c r="D1167" t="s">
        <v>446</v>
      </c>
      <c r="E1167" t="s">
        <v>1032</v>
      </c>
      <c r="F1167">
        <v>2406</v>
      </c>
      <c r="G1167" t="s">
        <v>2012</v>
      </c>
      <c r="H1167" t="s">
        <v>2470</v>
      </c>
      <c r="I1167" t="s">
        <v>2454</v>
      </c>
      <c r="J1167" t="s">
        <v>1089</v>
      </c>
      <c r="K1167" t="s">
        <v>1048</v>
      </c>
      <c r="L1167" t="s">
        <v>1991</v>
      </c>
      <c r="M1167" t="s">
        <v>1000</v>
      </c>
      <c r="N1167" t="s">
        <v>1049</v>
      </c>
      <c r="O1167" t="s">
        <v>446</v>
      </c>
      <c r="P1167" t="s">
        <v>1047</v>
      </c>
      <c r="Q1167" t="b">
        <v>1</v>
      </c>
      <c r="R1167" t="b">
        <v>1</v>
      </c>
      <c r="S1167" t="s">
        <v>2160</v>
      </c>
      <c r="T1167" t="s">
        <v>446</v>
      </c>
      <c r="U1167" t="s">
        <v>1951</v>
      </c>
      <c r="V1167" t="s">
        <v>1980</v>
      </c>
      <c r="W1167" t="s">
        <v>2781</v>
      </c>
      <c r="X1167" t="s">
        <v>2777</v>
      </c>
      <c r="Y1167" t="s">
        <v>2456</v>
      </c>
      <c r="Z1167" t="s">
        <v>2457</v>
      </c>
      <c r="AA1167" t="s">
        <v>347</v>
      </c>
      <c r="AB1167" t="s">
        <v>2458</v>
      </c>
      <c r="AC1167" t="b">
        <v>0</v>
      </c>
      <c r="AD1167" t="b">
        <v>1</v>
      </c>
    </row>
    <row r="1168" spans="1:30" x14ac:dyDescent="0.25">
      <c r="A1168" t="s">
        <v>42</v>
      </c>
      <c r="B1168" t="s">
        <v>2782</v>
      </c>
      <c r="C1168" t="s">
        <v>348</v>
      </c>
      <c r="D1168" t="s">
        <v>446</v>
      </c>
      <c r="E1168" t="s">
        <v>982</v>
      </c>
      <c r="F1168">
        <v>8466</v>
      </c>
      <c r="G1168" t="s">
        <v>2012</v>
      </c>
      <c r="H1168" t="s">
        <v>2486</v>
      </c>
      <c r="I1168" t="s">
        <v>2487</v>
      </c>
      <c r="J1168" t="s">
        <v>1089</v>
      </c>
      <c r="K1168" t="s">
        <v>2488</v>
      </c>
      <c r="L1168" t="s">
        <v>2489</v>
      </c>
      <c r="M1168" t="s">
        <v>1000</v>
      </c>
      <c r="N1168" t="s">
        <v>2490</v>
      </c>
      <c r="O1168" t="s">
        <v>446</v>
      </c>
      <c r="P1168" t="s">
        <v>1001</v>
      </c>
      <c r="Q1168" t="b">
        <v>1</v>
      </c>
      <c r="R1168" t="b">
        <v>1</v>
      </c>
      <c r="S1168" t="s">
        <v>2160</v>
      </c>
      <c r="T1168" t="s">
        <v>446</v>
      </c>
      <c r="U1168" t="s">
        <v>1951</v>
      </c>
      <c r="V1168" t="s">
        <v>1964</v>
      </c>
      <c r="W1168" t="s">
        <v>2783</v>
      </c>
      <c r="X1168" t="s">
        <v>2784</v>
      </c>
      <c r="Y1168" t="s">
        <v>2492</v>
      </c>
      <c r="Z1168" t="s">
        <v>2478</v>
      </c>
      <c r="AA1168" t="s">
        <v>2479</v>
      </c>
      <c r="AB1168" t="s">
        <v>2480</v>
      </c>
      <c r="AC1168" t="b">
        <v>0</v>
      </c>
      <c r="AD1168" t="b">
        <v>1</v>
      </c>
    </row>
    <row r="1169" spans="1:30" x14ac:dyDescent="0.25">
      <c r="A1169" t="s">
        <v>42</v>
      </c>
      <c r="B1169" t="s">
        <v>2785</v>
      </c>
      <c r="C1169" t="s">
        <v>348</v>
      </c>
      <c r="D1169" t="s">
        <v>446</v>
      </c>
      <c r="E1169" t="s">
        <v>1010</v>
      </c>
      <c r="F1169">
        <v>4084</v>
      </c>
      <c r="G1169" t="s">
        <v>2012</v>
      </c>
      <c r="H1169" t="s">
        <v>2506</v>
      </c>
      <c r="I1169" t="s">
        <v>2487</v>
      </c>
      <c r="J1169" t="s">
        <v>1089</v>
      </c>
      <c r="K1169" t="s">
        <v>1026</v>
      </c>
      <c r="L1169" t="s">
        <v>1979</v>
      </c>
      <c r="M1169" t="s">
        <v>1000</v>
      </c>
      <c r="N1169" t="s">
        <v>1027</v>
      </c>
      <c r="O1169" t="s">
        <v>446</v>
      </c>
      <c r="P1169" t="s">
        <v>1025</v>
      </c>
      <c r="Q1169" t="b">
        <v>1</v>
      </c>
      <c r="R1169" t="b">
        <v>1</v>
      </c>
      <c r="S1169" t="s">
        <v>2160</v>
      </c>
      <c r="T1169" t="s">
        <v>446</v>
      </c>
      <c r="U1169" t="s">
        <v>1951</v>
      </c>
      <c r="V1169" t="s">
        <v>1964</v>
      </c>
      <c r="W1169" t="s">
        <v>2786</v>
      </c>
      <c r="X1169" t="s">
        <v>2784</v>
      </c>
      <c r="Y1169" t="s">
        <v>2492</v>
      </c>
      <c r="Z1169" t="s">
        <v>2478</v>
      </c>
      <c r="AA1169" t="s">
        <v>2479</v>
      </c>
      <c r="AB1169" t="s">
        <v>2480</v>
      </c>
      <c r="AC1169" t="b">
        <v>0</v>
      </c>
      <c r="AD1169" t="b">
        <v>1</v>
      </c>
    </row>
    <row r="1170" spans="1:30" x14ac:dyDescent="0.25">
      <c r="A1170" t="s">
        <v>42</v>
      </c>
      <c r="B1170" t="s">
        <v>2787</v>
      </c>
      <c r="C1170" t="s">
        <v>348</v>
      </c>
      <c r="D1170" t="s">
        <v>446</v>
      </c>
      <c r="E1170" t="s">
        <v>1032</v>
      </c>
      <c r="F1170">
        <v>4735</v>
      </c>
      <c r="G1170" t="s">
        <v>2012</v>
      </c>
      <c r="H1170" t="s">
        <v>2513</v>
      </c>
      <c r="I1170" t="s">
        <v>2487</v>
      </c>
      <c r="J1170" t="s">
        <v>1089</v>
      </c>
      <c r="K1170" t="s">
        <v>1048</v>
      </c>
      <c r="L1170" t="s">
        <v>1991</v>
      </c>
      <c r="M1170" t="s">
        <v>1000</v>
      </c>
      <c r="N1170" t="s">
        <v>1049</v>
      </c>
      <c r="O1170" t="s">
        <v>446</v>
      </c>
      <c r="P1170" t="s">
        <v>1047</v>
      </c>
      <c r="Q1170" t="b">
        <v>1</v>
      </c>
      <c r="R1170" t="b">
        <v>1</v>
      </c>
      <c r="S1170" t="s">
        <v>2160</v>
      </c>
      <c r="T1170" t="s">
        <v>446</v>
      </c>
      <c r="U1170" t="s">
        <v>1951</v>
      </c>
      <c r="V1170" t="s">
        <v>1964</v>
      </c>
      <c r="W1170" t="s">
        <v>2788</v>
      </c>
      <c r="X1170" t="s">
        <v>2784</v>
      </c>
      <c r="Y1170" t="s">
        <v>2492</v>
      </c>
      <c r="Z1170" t="s">
        <v>2478</v>
      </c>
      <c r="AA1170" t="s">
        <v>2479</v>
      </c>
      <c r="AB1170" t="s">
        <v>2480</v>
      </c>
      <c r="AC1170" t="b">
        <v>0</v>
      </c>
      <c r="AD1170" t="b">
        <v>1</v>
      </c>
    </row>
    <row r="1171" spans="1:30" x14ac:dyDescent="0.25">
      <c r="A1171" t="s">
        <v>42</v>
      </c>
      <c r="B1171" t="s">
        <v>2789</v>
      </c>
      <c r="C1171" t="s">
        <v>351</v>
      </c>
      <c r="D1171" t="s">
        <v>446</v>
      </c>
      <c r="E1171" t="s">
        <v>982</v>
      </c>
      <c r="F1171">
        <v>20969</v>
      </c>
      <c r="G1171" t="s">
        <v>2012</v>
      </c>
      <c r="H1171" t="s">
        <v>2524</v>
      </c>
      <c r="I1171" t="s">
        <v>2519</v>
      </c>
      <c r="J1171" t="s">
        <v>1089</v>
      </c>
      <c r="K1171" t="s">
        <v>1003</v>
      </c>
      <c r="L1171" t="s">
        <v>2031</v>
      </c>
      <c r="M1171" t="s">
        <v>1000</v>
      </c>
      <c r="N1171" t="s">
        <v>1004</v>
      </c>
      <c r="O1171" t="s">
        <v>446</v>
      </c>
      <c r="P1171" t="s">
        <v>1001</v>
      </c>
      <c r="Q1171" t="b">
        <v>1</v>
      </c>
      <c r="R1171" t="b">
        <v>1</v>
      </c>
      <c r="S1171" t="s">
        <v>2160</v>
      </c>
      <c r="T1171" t="s">
        <v>446</v>
      </c>
      <c r="U1171" t="s">
        <v>1951</v>
      </c>
      <c r="V1171" t="s">
        <v>1980</v>
      </c>
      <c r="W1171" t="s">
        <v>2765</v>
      </c>
      <c r="X1171" t="s">
        <v>2790</v>
      </c>
      <c r="Y1171" t="s">
        <v>2521</v>
      </c>
      <c r="Z1171" t="s">
        <v>446</v>
      </c>
      <c r="AA1171" t="s">
        <v>351</v>
      </c>
      <c r="AB1171" t="s">
        <v>446</v>
      </c>
      <c r="AC1171" t="b">
        <v>0</v>
      </c>
      <c r="AD1171" t="b">
        <v>1</v>
      </c>
    </row>
    <row r="1172" spans="1:30" x14ac:dyDescent="0.25">
      <c r="A1172" t="s">
        <v>42</v>
      </c>
      <c r="B1172" t="s">
        <v>2791</v>
      </c>
      <c r="C1172" t="s">
        <v>351</v>
      </c>
      <c r="D1172" t="s">
        <v>446</v>
      </c>
      <c r="E1172" t="s">
        <v>1010</v>
      </c>
      <c r="F1172">
        <v>21561</v>
      </c>
      <c r="G1172" t="s">
        <v>2012</v>
      </c>
      <c r="H1172" t="s">
        <v>2528</v>
      </c>
      <c r="I1172" t="s">
        <v>2519</v>
      </c>
      <c r="J1172" t="s">
        <v>1089</v>
      </c>
      <c r="K1172" t="s">
        <v>1026</v>
      </c>
      <c r="L1172" t="s">
        <v>1979</v>
      </c>
      <c r="M1172" t="s">
        <v>1000</v>
      </c>
      <c r="N1172" t="s">
        <v>1027</v>
      </c>
      <c r="O1172" t="s">
        <v>446</v>
      </c>
      <c r="P1172" t="s">
        <v>1025</v>
      </c>
      <c r="Q1172" t="b">
        <v>1</v>
      </c>
      <c r="R1172" t="b">
        <v>1</v>
      </c>
      <c r="S1172" t="s">
        <v>2160</v>
      </c>
      <c r="T1172" t="s">
        <v>446</v>
      </c>
      <c r="U1172" t="s">
        <v>1951</v>
      </c>
      <c r="V1172" t="s">
        <v>1980</v>
      </c>
      <c r="W1172" t="s">
        <v>2768</v>
      </c>
      <c r="X1172" t="s">
        <v>2790</v>
      </c>
      <c r="Y1172" t="s">
        <v>2521</v>
      </c>
      <c r="Z1172" t="s">
        <v>446</v>
      </c>
      <c r="AA1172" t="s">
        <v>351</v>
      </c>
      <c r="AB1172" t="s">
        <v>446</v>
      </c>
      <c r="AC1172" t="b">
        <v>0</v>
      </c>
      <c r="AD1172" t="b">
        <v>1</v>
      </c>
    </row>
    <row r="1173" spans="1:30" x14ac:dyDescent="0.25">
      <c r="A1173" t="s">
        <v>42</v>
      </c>
      <c r="B1173" t="s">
        <v>2792</v>
      </c>
      <c r="C1173" t="s">
        <v>351</v>
      </c>
      <c r="D1173" t="s">
        <v>446</v>
      </c>
      <c r="E1173" t="s">
        <v>1032</v>
      </c>
      <c r="F1173">
        <v>22341</v>
      </c>
      <c r="G1173" t="s">
        <v>2012</v>
      </c>
      <c r="H1173" t="s">
        <v>2532</v>
      </c>
      <c r="I1173" t="s">
        <v>2519</v>
      </c>
      <c r="J1173" t="s">
        <v>1089</v>
      </c>
      <c r="K1173" t="s">
        <v>1048</v>
      </c>
      <c r="L1173" t="s">
        <v>1991</v>
      </c>
      <c r="M1173" t="s">
        <v>1000</v>
      </c>
      <c r="N1173" t="s">
        <v>1049</v>
      </c>
      <c r="O1173" t="s">
        <v>446</v>
      </c>
      <c r="P1173" t="s">
        <v>1047</v>
      </c>
      <c r="Q1173" t="b">
        <v>1</v>
      </c>
      <c r="R1173" t="b">
        <v>1</v>
      </c>
      <c r="S1173" t="s">
        <v>2160</v>
      </c>
      <c r="T1173" t="s">
        <v>446</v>
      </c>
      <c r="U1173" t="s">
        <v>1951</v>
      </c>
      <c r="V1173" t="s">
        <v>1980</v>
      </c>
      <c r="W1173" t="s">
        <v>2770</v>
      </c>
      <c r="X1173" t="s">
        <v>2790</v>
      </c>
      <c r="Y1173" t="s">
        <v>2521</v>
      </c>
      <c r="Z1173" t="s">
        <v>446</v>
      </c>
      <c r="AA1173" t="s">
        <v>351</v>
      </c>
      <c r="AB1173" t="s">
        <v>446</v>
      </c>
      <c r="AC1173" t="b">
        <v>0</v>
      </c>
      <c r="AD1173" t="b">
        <v>1</v>
      </c>
    </row>
    <row r="1174" spans="1:30" x14ac:dyDescent="0.25">
      <c r="A1174" t="s">
        <v>42</v>
      </c>
      <c r="B1174" t="s">
        <v>2793</v>
      </c>
      <c r="C1174" t="s">
        <v>352</v>
      </c>
      <c r="D1174" t="s">
        <v>446</v>
      </c>
      <c r="E1174" t="s">
        <v>982</v>
      </c>
      <c r="F1174">
        <v>73782</v>
      </c>
      <c r="G1174" t="s">
        <v>1945</v>
      </c>
      <c r="H1174" t="s">
        <v>2540</v>
      </c>
      <c r="I1174" t="s">
        <v>2535</v>
      </c>
      <c r="J1174" t="s">
        <v>1089</v>
      </c>
      <c r="K1174" t="s">
        <v>1003</v>
      </c>
      <c r="L1174" t="s">
        <v>2031</v>
      </c>
      <c r="M1174" t="s">
        <v>1000</v>
      </c>
      <c r="N1174" t="s">
        <v>1004</v>
      </c>
      <c r="O1174" t="s">
        <v>446</v>
      </c>
      <c r="P1174" t="s">
        <v>1001</v>
      </c>
      <c r="Q1174" t="b">
        <v>1</v>
      </c>
      <c r="R1174" t="b">
        <v>1</v>
      </c>
      <c r="S1174" t="s">
        <v>2160</v>
      </c>
      <c r="T1174" t="s">
        <v>446</v>
      </c>
      <c r="U1174" t="s">
        <v>1951</v>
      </c>
      <c r="V1174" t="s">
        <v>1980</v>
      </c>
      <c r="W1174" t="s">
        <v>2794</v>
      </c>
      <c r="X1174" t="s">
        <v>2795</v>
      </c>
      <c r="Y1174" t="s">
        <v>2537</v>
      </c>
      <c r="Z1174" t="s">
        <v>446</v>
      </c>
      <c r="AA1174" t="s">
        <v>352</v>
      </c>
      <c r="AB1174" t="s">
        <v>446</v>
      </c>
      <c r="AC1174" t="b">
        <v>0</v>
      </c>
      <c r="AD1174" t="b">
        <v>1</v>
      </c>
    </row>
    <row r="1175" spans="1:30" x14ac:dyDescent="0.25">
      <c r="A1175" t="s">
        <v>42</v>
      </c>
      <c r="B1175" t="s">
        <v>2796</v>
      </c>
      <c r="C1175" t="s">
        <v>352</v>
      </c>
      <c r="D1175" t="s">
        <v>446</v>
      </c>
      <c r="E1175" t="s">
        <v>1010</v>
      </c>
      <c r="F1175">
        <v>76054</v>
      </c>
      <c r="G1175" t="s">
        <v>1945</v>
      </c>
      <c r="H1175" t="s">
        <v>2544</v>
      </c>
      <c r="I1175" t="s">
        <v>2535</v>
      </c>
      <c r="J1175" t="s">
        <v>1089</v>
      </c>
      <c r="K1175" t="s">
        <v>1026</v>
      </c>
      <c r="L1175" t="s">
        <v>1979</v>
      </c>
      <c r="M1175" t="s">
        <v>1000</v>
      </c>
      <c r="N1175" t="s">
        <v>1027</v>
      </c>
      <c r="O1175" t="s">
        <v>446</v>
      </c>
      <c r="P1175" t="s">
        <v>1025</v>
      </c>
      <c r="Q1175" t="b">
        <v>1</v>
      </c>
      <c r="R1175" t="b">
        <v>1</v>
      </c>
      <c r="S1175" t="s">
        <v>2160</v>
      </c>
      <c r="T1175" t="s">
        <v>446</v>
      </c>
      <c r="U1175" t="s">
        <v>1951</v>
      </c>
      <c r="V1175" t="s">
        <v>1980</v>
      </c>
      <c r="W1175" t="s">
        <v>2797</v>
      </c>
      <c r="X1175" t="s">
        <v>2795</v>
      </c>
      <c r="Y1175" t="s">
        <v>2537</v>
      </c>
      <c r="Z1175" t="s">
        <v>446</v>
      </c>
      <c r="AA1175" t="s">
        <v>352</v>
      </c>
      <c r="AB1175" t="s">
        <v>446</v>
      </c>
      <c r="AC1175" t="b">
        <v>0</v>
      </c>
      <c r="AD1175" t="b">
        <v>1</v>
      </c>
    </row>
    <row r="1176" spans="1:30" x14ac:dyDescent="0.25">
      <c r="A1176" t="s">
        <v>42</v>
      </c>
      <c r="B1176" t="s">
        <v>2798</v>
      </c>
      <c r="C1176" t="s">
        <v>352</v>
      </c>
      <c r="D1176" t="s">
        <v>446</v>
      </c>
      <c r="E1176" t="s">
        <v>1032</v>
      </c>
      <c r="F1176">
        <v>80382</v>
      </c>
      <c r="G1176" t="s">
        <v>1945</v>
      </c>
      <c r="H1176" t="s">
        <v>2548</v>
      </c>
      <c r="I1176" t="s">
        <v>2535</v>
      </c>
      <c r="J1176" t="s">
        <v>1089</v>
      </c>
      <c r="K1176" t="s">
        <v>1048</v>
      </c>
      <c r="L1176" t="s">
        <v>1991</v>
      </c>
      <c r="M1176" t="s">
        <v>1000</v>
      </c>
      <c r="N1176" t="s">
        <v>1049</v>
      </c>
      <c r="O1176" t="s">
        <v>446</v>
      </c>
      <c r="P1176" t="s">
        <v>1047</v>
      </c>
      <c r="Q1176" t="b">
        <v>1</v>
      </c>
      <c r="R1176" t="b">
        <v>1</v>
      </c>
      <c r="S1176" t="s">
        <v>2160</v>
      </c>
      <c r="T1176" t="s">
        <v>446</v>
      </c>
      <c r="U1176" t="s">
        <v>1951</v>
      </c>
      <c r="V1176" t="s">
        <v>1980</v>
      </c>
      <c r="W1176" t="s">
        <v>2799</v>
      </c>
      <c r="X1176" t="s">
        <v>2795</v>
      </c>
      <c r="Y1176" t="s">
        <v>2537</v>
      </c>
      <c r="Z1176" t="s">
        <v>446</v>
      </c>
      <c r="AA1176" t="s">
        <v>352</v>
      </c>
      <c r="AB1176" t="s">
        <v>446</v>
      </c>
      <c r="AC1176" t="b">
        <v>0</v>
      </c>
      <c r="AD1176" t="b">
        <v>1</v>
      </c>
    </row>
    <row r="1177" spans="1:30" x14ac:dyDescent="0.25">
      <c r="A1177" t="s">
        <v>42</v>
      </c>
      <c r="B1177" t="s">
        <v>2800</v>
      </c>
      <c r="C1177" t="s">
        <v>353</v>
      </c>
      <c r="D1177" t="s">
        <v>446</v>
      </c>
      <c r="E1177" t="s">
        <v>982</v>
      </c>
      <c r="F1177">
        <v>-54535</v>
      </c>
      <c r="G1177" t="s">
        <v>2012</v>
      </c>
      <c r="H1177" t="s">
        <v>2556</v>
      </c>
      <c r="I1177" t="s">
        <v>2551</v>
      </c>
      <c r="J1177" t="s">
        <v>1089</v>
      </c>
      <c r="K1177" t="s">
        <v>1003</v>
      </c>
      <c r="L1177" t="s">
        <v>2031</v>
      </c>
      <c r="M1177" t="s">
        <v>1000</v>
      </c>
      <c r="N1177" t="s">
        <v>1004</v>
      </c>
      <c r="O1177" t="s">
        <v>446</v>
      </c>
      <c r="P1177" t="s">
        <v>1001</v>
      </c>
      <c r="Q1177" t="b">
        <v>1</v>
      </c>
      <c r="R1177" t="b">
        <v>1</v>
      </c>
      <c r="S1177" t="s">
        <v>2160</v>
      </c>
      <c r="T1177" t="s">
        <v>446</v>
      </c>
      <c r="U1177" t="s">
        <v>1951</v>
      </c>
      <c r="V1177" t="s">
        <v>1980</v>
      </c>
      <c r="W1177" t="s">
        <v>2801</v>
      </c>
      <c r="X1177" t="s">
        <v>2802</v>
      </c>
      <c r="Y1177" t="s">
        <v>2553</v>
      </c>
      <c r="Z1177" t="s">
        <v>446</v>
      </c>
      <c r="AA1177" t="s">
        <v>353</v>
      </c>
      <c r="AB1177" t="s">
        <v>446</v>
      </c>
      <c r="AC1177" t="b">
        <v>0</v>
      </c>
      <c r="AD1177" t="b">
        <v>1</v>
      </c>
    </row>
    <row r="1178" spans="1:30" x14ac:dyDescent="0.25">
      <c r="A1178" t="s">
        <v>42</v>
      </c>
      <c r="B1178" t="s">
        <v>2803</v>
      </c>
      <c r="C1178" t="s">
        <v>353</v>
      </c>
      <c r="D1178" t="s">
        <v>446</v>
      </c>
      <c r="E1178" t="s">
        <v>1010</v>
      </c>
      <c r="F1178">
        <v>-55916</v>
      </c>
      <c r="G1178" t="s">
        <v>2012</v>
      </c>
      <c r="H1178" t="s">
        <v>2560</v>
      </c>
      <c r="I1178" t="s">
        <v>2551</v>
      </c>
      <c r="J1178" t="s">
        <v>1089</v>
      </c>
      <c r="K1178" t="s">
        <v>1026</v>
      </c>
      <c r="L1178" t="s">
        <v>1979</v>
      </c>
      <c r="M1178" t="s">
        <v>1000</v>
      </c>
      <c r="N1178" t="s">
        <v>1027</v>
      </c>
      <c r="O1178" t="s">
        <v>446</v>
      </c>
      <c r="P1178" t="s">
        <v>1025</v>
      </c>
      <c r="Q1178" t="b">
        <v>1</v>
      </c>
      <c r="R1178" t="b">
        <v>1</v>
      </c>
      <c r="S1178" t="s">
        <v>2160</v>
      </c>
      <c r="T1178" t="s">
        <v>446</v>
      </c>
      <c r="U1178" t="s">
        <v>1951</v>
      </c>
      <c r="V1178" t="s">
        <v>1980</v>
      </c>
      <c r="W1178" t="s">
        <v>2804</v>
      </c>
      <c r="X1178" t="s">
        <v>2802</v>
      </c>
      <c r="Y1178" t="s">
        <v>2553</v>
      </c>
      <c r="Z1178" t="s">
        <v>446</v>
      </c>
      <c r="AA1178" t="s">
        <v>353</v>
      </c>
      <c r="AB1178" t="s">
        <v>446</v>
      </c>
      <c r="AC1178" t="b">
        <v>0</v>
      </c>
      <c r="AD1178" t="b">
        <v>1</v>
      </c>
    </row>
    <row r="1179" spans="1:30" x14ac:dyDescent="0.25">
      <c r="A1179" t="s">
        <v>42</v>
      </c>
      <c r="B1179" t="s">
        <v>2805</v>
      </c>
      <c r="C1179" t="s">
        <v>353</v>
      </c>
      <c r="D1179" t="s">
        <v>446</v>
      </c>
      <c r="E1179" t="s">
        <v>1032</v>
      </c>
      <c r="F1179">
        <v>-56423</v>
      </c>
      <c r="G1179" t="s">
        <v>2012</v>
      </c>
      <c r="H1179" t="s">
        <v>2564</v>
      </c>
      <c r="I1179" t="s">
        <v>2551</v>
      </c>
      <c r="J1179" t="s">
        <v>1089</v>
      </c>
      <c r="K1179" t="s">
        <v>1048</v>
      </c>
      <c r="L1179" t="s">
        <v>1991</v>
      </c>
      <c r="M1179" t="s">
        <v>1000</v>
      </c>
      <c r="N1179" t="s">
        <v>1049</v>
      </c>
      <c r="O1179" t="s">
        <v>446</v>
      </c>
      <c r="P1179" t="s">
        <v>1047</v>
      </c>
      <c r="Q1179" t="b">
        <v>1</v>
      </c>
      <c r="R1179" t="b">
        <v>1</v>
      </c>
      <c r="S1179" t="s">
        <v>2160</v>
      </c>
      <c r="T1179" t="s">
        <v>446</v>
      </c>
      <c r="U1179" t="s">
        <v>1951</v>
      </c>
      <c r="V1179" t="s">
        <v>1980</v>
      </c>
      <c r="W1179" t="s">
        <v>2806</v>
      </c>
      <c r="X1179" t="s">
        <v>2802</v>
      </c>
      <c r="Y1179" t="s">
        <v>2553</v>
      </c>
      <c r="Z1179" t="s">
        <v>446</v>
      </c>
      <c r="AA1179" t="s">
        <v>353</v>
      </c>
      <c r="AB1179" t="s">
        <v>446</v>
      </c>
      <c r="AC1179" t="b">
        <v>0</v>
      </c>
      <c r="AD1179" t="b">
        <v>1</v>
      </c>
    </row>
    <row r="1180" spans="1:30" x14ac:dyDescent="0.25">
      <c r="A1180" t="s">
        <v>42</v>
      </c>
      <c r="B1180" t="s">
        <v>2807</v>
      </c>
      <c r="C1180" t="s">
        <v>354</v>
      </c>
      <c r="D1180" t="s">
        <v>446</v>
      </c>
      <c r="E1180" t="s">
        <v>982</v>
      </c>
      <c r="F1180">
        <v>-14275</v>
      </c>
      <c r="G1180" t="s">
        <v>1945</v>
      </c>
      <c r="H1180" t="s">
        <v>2572</v>
      </c>
      <c r="I1180" t="s">
        <v>2567</v>
      </c>
      <c r="J1180" t="s">
        <v>1089</v>
      </c>
      <c r="K1180" t="s">
        <v>1003</v>
      </c>
      <c r="L1180" t="s">
        <v>2031</v>
      </c>
      <c r="M1180" t="s">
        <v>1000</v>
      </c>
      <c r="N1180" t="s">
        <v>1004</v>
      </c>
      <c r="O1180" t="s">
        <v>446</v>
      </c>
      <c r="P1180" t="s">
        <v>1001</v>
      </c>
      <c r="Q1180" t="b">
        <v>1</v>
      </c>
      <c r="R1180" t="b">
        <v>1</v>
      </c>
      <c r="S1180" t="s">
        <v>2160</v>
      </c>
      <c r="T1180" t="s">
        <v>446</v>
      </c>
      <c r="U1180" t="s">
        <v>1951</v>
      </c>
      <c r="V1180" t="s">
        <v>1980</v>
      </c>
      <c r="W1180" t="s">
        <v>2808</v>
      </c>
      <c r="X1180" t="s">
        <v>2809</v>
      </c>
      <c r="Y1180" t="s">
        <v>2569</v>
      </c>
      <c r="Z1180" t="s">
        <v>446</v>
      </c>
      <c r="AA1180" t="s">
        <v>354</v>
      </c>
      <c r="AB1180" t="s">
        <v>446</v>
      </c>
      <c r="AC1180" t="b">
        <v>0</v>
      </c>
      <c r="AD1180" t="b">
        <v>1</v>
      </c>
    </row>
    <row r="1181" spans="1:30" x14ac:dyDescent="0.25">
      <c r="A1181" t="s">
        <v>42</v>
      </c>
      <c r="B1181" t="s">
        <v>2810</v>
      </c>
      <c r="C1181" t="s">
        <v>354</v>
      </c>
      <c r="D1181" t="s">
        <v>446</v>
      </c>
      <c r="E1181" t="s">
        <v>1010</v>
      </c>
      <c r="F1181">
        <v>-16843</v>
      </c>
      <c r="G1181" t="s">
        <v>1945</v>
      </c>
      <c r="H1181" t="s">
        <v>2576</v>
      </c>
      <c r="I1181" t="s">
        <v>2567</v>
      </c>
      <c r="J1181" t="s">
        <v>1089</v>
      </c>
      <c r="K1181" t="s">
        <v>1026</v>
      </c>
      <c r="L1181" t="s">
        <v>1979</v>
      </c>
      <c r="M1181" t="s">
        <v>1000</v>
      </c>
      <c r="N1181" t="s">
        <v>1027</v>
      </c>
      <c r="O1181" t="s">
        <v>446</v>
      </c>
      <c r="P1181" t="s">
        <v>1025</v>
      </c>
      <c r="Q1181" t="b">
        <v>1</v>
      </c>
      <c r="R1181" t="b">
        <v>1</v>
      </c>
      <c r="S1181" t="s">
        <v>2160</v>
      </c>
      <c r="T1181" t="s">
        <v>446</v>
      </c>
      <c r="U1181" t="s">
        <v>1951</v>
      </c>
      <c r="V1181" t="s">
        <v>1980</v>
      </c>
      <c r="W1181" t="s">
        <v>2811</v>
      </c>
      <c r="X1181" t="s">
        <v>2809</v>
      </c>
      <c r="Y1181" t="s">
        <v>2569</v>
      </c>
      <c r="Z1181" t="s">
        <v>446</v>
      </c>
      <c r="AA1181" t="s">
        <v>354</v>
      </c>
      <c r="AB1181" t="s">
        <v>446</v>
      </c>
      <c r="AC1181" t="b">
        <v>0</v>
      </c>
      <c r="AD1181" t="b">
        <v>1</v>
      </c>
    </row>
    <row r="1182" spans="1:30" x14ac:dyDescent="0.25">
      <c r="A1182" t="s">
        <v>42</v>
      </c>
      <c r="B1182" t="s">
        <v>2812</v>
      </c>
      <c r="C1182" t="s">
        <v>354</v>
      </c>
      <c r="D1182" t="s">
        <v>446</v>
      </c>
      <c r="E1182" t="s">
        <v>1032</v>
      </c>
      <c r="F1182">
        <v>-14131</v>
      </c>
      <c r="G1182" t="s">
        <v>1945</v>
      </c>
      <c r="H1182" t="s">
        <v>2580</v>
      </c>
      <c r="I1182" t="s">
        <v>2567</v>
      </c>
      <c r="J1182" t="s">
        <v>1089</v>
      </c>
      <c r="K1182" t="s">
        <v>1048</v>
      </c>
      <c r="L1182" t="s">
        <v>1991</v>
      </c>
      <c r="M1182" t="s">
        <v>1000</v>
      </c>
      <c r="N1182" t="s">
        <v>1049</v>
      </c>
      <c r="O1182" t="s">
        <v>446</v>
      </c>
      <c r="P1182" t="s">
        <v>1047</v>
      </c>
      <c r="Q1182" t="b">
        <v>1</v>
      </c>
      <c r="R1182" t="b">
        <v>1</v>
      </c>
      <c r="S1182" t="s">
        <v>2160</v>
      </c>
      <c r="T1182" t="s">
        <v>446</v>
      </c>
      <c r="U1182" t="s">
        <v>1951</v>
      </c>
      <c r="V1182" t="s">
        <v>1980</v>
      </c>
      <c r="W1182" t="s">
        <v>2813</v>
      </c>
      <c r="X1182" t="s">
        <v>2809</v>
      </c>
      <c r="Y1182" t="s">
        <v>2569</v>
      </c>
      <c r="Z1182" t="s">
        <v>446</v>
      </c>
      <c r="AA1182" t="s">
        <v>354</v>
      </c>
      <c r="AB1182" t="s">
        <v>446</v>
      </c>
      <c r="AC1182" t="b">
        <v>0</v>
      </c>
      <c r="AD1182" t="b">
        <v>1</v>
      </c>
    </row>
    <row r="1183" spans="1:30" x14ac:dyDescent="0.25">
      <c r="A1183" t="s">
        <v>42</v>
      </c>
      <c r="B1183" t="s">
        <v>2814</v>
      </c>
      <c r="C1183" t="s">
        <v>356</v>
      </c>
      <c r="D1183" t="s">
        <v>446</v>
      </c>
      <c r="E1183" t="s">
        <v>982</v>
      </c>
      <c r="F1183">
        <v>1539</v>
      </c>
      <c r="G1183" t="s">
        <v>1945</v>
      </c>
      <c r="H1183" t="s">
        <v>2585</v>
      </c>
      <c r="I1183" t="s">
        <v>2583</v>
      </c>
      <c r="J1183" t="s">
        <v>1089</v>
      </c>
      <c r="K1183" t="s">
        <v>1003</v>
      </c>
      <c r="L1183" t="s">
        <v>2031</v>
      </c>
      <c r="M1183" t="s">
        <v>1000</v>
      </c>
      <c r="N1183" t="s">
        <v>1004</v>
      </c>
      <c r="O1183" t="s">
        <v>446</v>
      </c>
      <c r="P1183" t="s">
        <v>1001</v>
      </c>
      <c r="Q1183" t="b">
        <v>1</v>
      </c>
      <c r="R1183" t="b">
        <v>1</v>
      </c>
      <c r="S1183" t="s">
        <v>2160</v>
      </c>
      <c r="T1183" t="s">
        <v>446</v>
      </c>
      <c r="U1183" t="s">
        <v>1951</v>
      </c>
      <c r="V1183" t="s">
        <v>1980</v>
      </c>
      <c r="W1183" t="s">
        <v>2815</v>
      </c>
      <c r="X1183" t="s">
        <v>2816</v>
      </c>
      <c r="Y1183" t="s">
        <v>2583</v>
      </c>
      <c r="Z1183" t="s">
        <v>446</v>
      </c>
      <c r="AA1183" t="s">
        <v>356</v>
      </c>
      <c r="AB1183" t="s">
        <v>446</v>
      </c>
      <c r="AC1183" t="b">
        <v>0</v>
      </c>
      <c r="AD1183" t="b">
        <v>1</v>
      </c>
    </row>
    <row r="1184" spans="1:30" x14ac:dyDescent="0.25">
      <c r="A1184" t="s">
        <v>42</v>
      </c>
      <c r="B1184" t="s">
        <v>2817</v>
      </c>
      <c r="C1184" t="s">
        <v>356</v>
      </c>
      <c r="D1184" t="s">
        <v>446</v>
      </c>
      <c r="E1184" t="s">
        <v>1010</v>
      </c>
      <c r="F1184">
        <v>1516</v>
      </c>
      <c r="G1184" t="s">
        <v>1945</v>
      </c>
      <c r="H1184" t="s">
        <v>2590</v>
      </c>
      <c r="I1184" t="s">
        <v>2583</v>
      </c>
      <c r="J1184" t="s">
        <v>1089</v>
      </c>
      <c r="K1184" t="s">
        <v>1026</v>
      </c>
      <c r="L1184" t="s">
        <v>1979</v>
      </c>
      <c r="M1184" t="s">
        <v>1000</v>
      </c>
      <c r="N1184" t="s">
        <v>1027</v>
      </c>
      <c r="O1184" t="s">
        <v>446</v>
      </c>
      <c r="P1184" t="s">
        <v>1025</v>
      </c>
      <c r="Q1184" t="b">
        <v>1</v>
      </c>
      <c r="R1184" t="b">
        <v>1</v>
      </c>
      <c r="S1184" t="s">
        <v>2160</v>
      </c>
      <c r="T1184" t="s">
        <v>446</v>
      </c>
      <c r="U1184" t="s">
        <v>1951</v>
      </c>
      <c r="V1184" t="s">
        <v>1980</v>
      </c>
      <c r="W1184" t="s">
        <v>2818</v>
      </c>
      <c r="X1184" t="s">
        <v>2816</v>
      </c>
      <c r="Y1184" t="s">
        <v>2583</v>
      </c>
      <c r="Z1184" t="s">
        <v>446</v>
      </c>
      <c r="AA1184" t="s">
        <v>356</v>
      </c>
      <c r="AB1184" t="s">
        <v>446</v>
      </c>
      <c r="AC1184" t="b">
        <v>0</v>
      </c>
      <c r="AD1184" t="b">
        <v>1</v>
      </c>
    </row>
    <row r="1185" spans="1:30" x14ac:dyDescent="0.25">
      <c r="A1185" t="s">
        <v>42</v>
      </c>
      <c r="B1185" t="s">
        <v>2819</v>
      </c>
      <c r="C1185" t="s">
        <v>356</v>
      </c>
      <c r="D1185" t="s">
        <v>446</v>
      </c>
      <c r="E1185" t="s">
        <v>1032</v>
      </c>
      <c r="F1185">
        <v>2106</v>
      </c>
      <c r="G1185" t="s">
        <v>1945</v>
      </c>
      <c r="H1185" t="s">
        <v>2594</v>
      </c>
      <c r="I1185" t="s">
        <v>2583</v>
      </c>
      <c r="J1185" t="s">
        <v>1089</v>
      </c>
      <c r="K1185" t="s">
        <v>1048</v>
      </c>
      <c r="L1185" t="s">
        <v>1991</v>
      </c>
      <c r="M1185" t="s">
        <v>1000</v>
      </c>
      <c r="N1185" t="s">
        <v>1049</v>
      </c>
      <c r="O1185" t="s">
        <v>446</v>
      </c>
      <c r="P1185" t="s">
        <v>1047</v>
      </c>
      <c r="Q1185" t="b">
        <v>1</v>
      </c>
      <c r="R1185" t="b">
        <v>1</v>
      </c>
      <c r="S1185" t="s">
        <v>2160</v>
      </c>
      <c r="T1185" t="s">
        <v>446</v>
      </c>
      <c r="U1185" t="s">
        <v>1951</v>
      </c>
      <c r="V1185" t="s">
        <v>1980</v>
      </c>
      <c r="W1185" t="s">
        <v>2820</v>
      </c>
      <c r="X1185" t="s">
        <v>2816</v>
      </c>
      <c r="Y1185" t="s">
        <v>2583</v>
      </c>
      <c r="Z1185" t="s">
        <v>446</v>
      </c>
      <c r="AA1185" t="s">
        <v>356</v>
      </c>
      <c r="AB1185" t="s">
        <v>446</v>
      </c>
      <c r="AC1185" t="b">
        <v>0</v>
      </c>
      <c r="AD1185" t="b">
        <v>1</v>
      </c>
    </row>
    <row r="1186" spans="1:24" x14ac:dyDescent="0.25">
      <c r="A1186" t="s">
        <v>44</v>
      </c>
      <c r="B1186" t="s">
        <v>2821</v>
      </c>
      <c r="C1186" t="s">
        <v>448</v>
      </c>
      <c r="D1186" t="s">
        <v>44</v>
      </c>
      <c r="E1186" t="s">
        <v>978</v>
      </c>
      <c r="F1186">
        <v>10980</v>
      </c>
      <c r="G1186" t="s">
        <v>2822</v>
      </c>
      <c r="H1186" t="s">
        <v>2823</v>
      </c>
      <c r="I1186" t="s">
        <v>445</v>
      </c>
      <c r="J1186" t="s">
        <v>2822</v>
      </c>
      <c r="K1186" t="s">
        <v>446</v>
      </c>
      <c r="L1186" t="s">
        <v>446</v>
      </c>
      <c r="M1186" t="s">
        <v>446</v>
      </c>
      <c r="N1186" t="s">
        <v>446</v>
      </c>
      <c r="O1186" t="s">
        <v>446</v>
      </c>
      <c r="P1186" t="s">
        <v>446</v>
      </c>
      <c r="Q1186" t="b">
        <v>1</v>
      </c>
      <c r="R1186" t="b">
        <v>0</v>
      </c>
      <c r="S1186" t="s">
        <v>1950</v>
      </c>
      <c r="T1186" t="s">
        <v>446</v>
      </c>
      <c r="U1186" t="s">
        <v>1951</v>
      </c>
      <c r="V1186" t="s">
        <v>1093</v>
      </c>
      <c r="W1186" t="s">
        <v>2824</v>
      </c>
      <c r="X1186" t="s">
        <v>2825</v>
      </c>
    </row>
    <row r="1187" spans="1:24" x14ac:dyDescent="0.25">
      <c r="A1187" t="s">
        <v>44</v>
      </c>
      <c r="B1187" t="s">
        <v>2826</v>
      </c>
      <c r="C1187" t="s">
        <v>448</v>
      </c>
      <c r="D1187" t="s">
        <v>44</v>
      </c>
      <c r="E1187" t="s">
        <v>986</v>
      </c>
      <c r="F1187">
        <v>11972</v>
      </c>
      <c r="G1187" t="s">
        <v>2822</v>
      </c>
      <c r="H1187" t="s">
        <v>2827</v>
      </c>
      <c r="I1187" t="s">
        <v>445</v>
      </c>
      <c r="J1187" t="s">
        <v>2822</v>
      </c>
      <c r="K1187" t="s">
        <v>446</v>
      </c>
      <c r="L1187" t="s">
        <v>446</v>
      </c>
      <c r="M1187" t="s">
        <v>446</v>
      </c>
      <c r="N1187" t="s">
        <v>446</v>
      </c>
      <c r="O1187" t="s">
        <v>446</v>
      </c>
      <c r="P1187" t="s">
        <v>446</v>
      </c>
      <c r="Q1187" t="b">
        <v>1</v>
      </c>
      <c r="R1187" t="b">
        <v>0</v>
      </c>
      <c r="S1187" t="s">
        <v>1950</v>
      </c>
      <c r="T1187" t="s">
        <v>446</v>
      </c>
      <c r="U1187" t="s">
        <v>1951</v>
      </c>
      <c r="V1187" t="s">
        <v>1093</v>
      </c>
      <c r="W1187" t="s">
        <v>2824</v>
      </c>
      <c r="X1187" t="s">
        <v>2825</v>
      </c>
    </row>
    <row r="1188" spans="1:24" x14ac:dyDescent="0.25">
      <c r="A1188" t="s">
        <v>44</v>
      </c>
      <c r="B1188" t="s">
        <v>2828</v>
      </c>
      <c r="C1188" t="s">
        <v>448</v>
      </c>
      <c r="D1188" t="s">
        <v>44</v>
      </c>
      <c r="E1188" t="s">
        <v>992</v>
      </c>
      <c r="F1188">
        <v>11953</v>
      </c>
      <c r="G1188" t="s">
        <v>2822</v>
      </c>
      <c r="H1188" t="s">
        <v>2829</v>
      </c>
      <c r="I1188" t="s">
        <v>445</v>
      </c>
      <c r="J1188" t="s">
        <v>2822</v>
      </c>
      <c r="K1188" t="s">
        <v>446</v>
      </c>
      <c r="L1188" t="s">
        <v>446</v>
      </c>
      <c r="M1188" t="s">
        <v>446</v>
      </c>
      <c r="N1188" t="s">
        <v>446</v>
      </c>
      <c r="O1188" t="s">
        <v>446</v>
      </c>
      <c r="P1188" t="s">
        <v>446</v>
      </c>
      <c r="Q1188" t="b">
        <v>1</v>
      </c>
      <c r="R1188" t="b">
        <v>0</v>
      </c>
      <c r="S1188" t="s">
        <v>1950</v>
      </c>
      <c r="T1188" t="s">
        <v>446</v>
      </c>
      <c r="U1188" t="s">
        <v>1951</v>
      </c>
      <c r="V1188" t="s">
        <v>1093</v>
      </c>
      <c r="W1188" t="s">
        <v>2824</v>
      </c>
      <c r="X1188" t="s">
        <v>2825</v>
      </c>
    </row>
    <row r="1189" spans="1:24" x14ac:dyDescent="0.25">
      <c r="A1189" t="s">
        <v>44</v>
      </c>
      <c r="B1189" t="s">
        <v>2830</v>
      </c>
      <c r="C1189" t="s">
        <v>448</v>
      </c>
      <c r="D1189" t="s">
        <v>44</v>
      </c>
      <c r="E1189" t="s">
        <v>1006</v>
      </c>
      <c r="F1189">
        <v>11300</v>
      </c>
      <c r="G1189" t="s">
        <v>2822</v>
      </c>
      <c r="H1189" t="s">
        <v>2831</v>
      </c>
      <c r="I1189" t="s">
        <v>445</v>
      </c>
      <c r="J1189" t="s">
        <v>2822</v>
      </c>
      <c r="K1189" t="s">
        <v>446</v>
      </c>
      <c r="L1189" t="s">
        <v>446</v>
      </c>
      <c r="M1189" t="s">
        <v>446</v>
      </c>
      <c r="N1189" t="s">
        <v>446</v>
      </c>
      <c r="O1189" t="s">
        <v>446</v>
      </c>
      <c r="P1189" t="s">
        <v>446</v>
      </c>
      <c r="Q1189" t="b">
        <v>1</v>
      </c>
      <c r="R1189" t="b">
        <v>0</v>
      </c>
      <c r="S1189" t="s">
        <v>1950</v>
      </c>
      <c r="T1189" t="s">
        <v>446</v>
      </c>
      <c r="U1189" t="s">
        <v>1951</v>
      </c>
      <c r="V1189" t="s">
        <v>1093</v>
      </c>
      <c r="W1189" t="s">
        <v>2824</v>
      </c>
      <c r="X1189" t="s">
        <v>2825</v>
      </c>
    </row>
    <row r="1190" spans="1:24" x14ac:dyDescent="0.25">
      <c r="A1190" t="s">
        <v>44</v>
      </c>
      <c r="B1190" t="s">
        <v>2832</v>
      </c>
      <c r="C1190" t="s">
        <v>448</v>
      </c>
      <c r="D1190" t="s">
        <v>44</v>
      </c>
      <c r="E1190" t="s">
        <v>1013</v>
      </c>
      <c r="F1190">
        <v>12363</v>
      </c>
      <c r="G1190" t="s">
        <v>2822</v>
      </c>
      <c r="H1190" t="s">
        <v>2833</v>
      </c>
      <c r="I1190" t="s">
        <v>445</v>
      </c>
      <c r="J1190" t="s">
        <v>2822</v>
      </c>
      <c r="K1190" t="s">
        <v>446</v>
      </c>
      <c r="L1190" t="s">
        <v>446</v>
      </c>
      <c r="M1190" t="s">
        <v>446</v>
      </c>
      <c r="N1190" t="s">
        <v>446</v>
      </c>
      <c r="O1190" t="s">
        <v>446</v>
      </c>
      <c r="P1190" t="s">
        <v>446</v>
      </c>
      <c r="Q1190" t="b">
        <v>1</v>
      </c>
      <c r="R1190" t="b">
        <v>0</v>
      </c>
      <c r="S1190" t="s">
        <v>1950</v>
      </c>
      <c r="T1190" t="s">
        <v>446</v>
      </c>
      <c r="U1190" t="s">
        <v>1951</v>
      </c>
      <c r="V1190" t="s">
        <v>1093</v>
      </c>
      <c r="W1190" t="s">
        <v>2824</v>
      </c>
      <c r="X1190" t="s">
        <v>2825</v>
      </c>
    </row>
    <row r="1191" spans="1:24" x14ac:dyDescent="0.25">
      <c r="A1191" t="s">
        <v>44</v>
      </c>
      <c r="B1191" t="s">
        <v>2834</v>
      </c>
      <c r="C1191" t="s">
        <v>448</v>
      </c>
      <c r="D1191" t="s">
        <v>44</v>
      </c>
      <c r="E1191" t="s">
        <v>1018</v>
      </c>
      <c r="F1191">
        <v>11854</v>
      </c>
      <c r="G1191" t="s">
        <v>2822</v>
      </c>
      <c r="H1191" t="s">
        <v>2835</v>
      </c>
      <c r="I1191" t="s">
        <v>445</v>
      </c>
      <c r="J1191" t="s">
        <v>2822</v>
      </c>
      <c r="K1191" t="s">
        <v>446</v>
      </c>
      <c r="L1191" t="s">
        <v>446</v>
      </c>
      <c r="M1191" t="s">
        <v>446</v>
      </c>
      <c r="N1191" t="s">
        <v>446</v>
      </c>
      <c r="O1191" t="s">
        <v>446</v>
      </c>
      <c r="P1191" t="s">
        <v>446</v>
      </c>
      <c r="Q1191" t="b">
        <v>1</v>
      </c>
      <c r="R1191" t="b">
        <v>0</v>
      </c>
      <c r="S1191" t="s">
        <v>1950</v>
      </c>
      <c r="T1191" t="s">
        <v>446</v>
      </c>
      <c r="U1191" t="s">
        <v>1951</v>
      </c>
      <c r="V1191" t="s">
        <v>1093</v>
      </c>
      <c r="W1191" t="s">
        <v>2824</v>
      </c>
      <c r="X1191" t="s">
        <v>2825</v>
      </c>
    </row>
    <row r="1192" spans="1:24" x14ac:dyDescent="0.25">
      <c r="A1192" t="s">
        <v>44</v>
      </c>
      <c r="B1192" t="s">
        <v>2836</v>
      </c>
      <c r="C1192" t="s">
        <v>448</v>
      </c>
      <c r="D1192" t="s">
        <v>44</v>
      </c>
      <c r="E1192" t="s">
        <v>1023</v>
      </c>
      <c r="F1192">
        <v>11544</v>
      </c>
      <c r="G1192" t="s">
        <v>2822</v>
      </c>
      <c r="H1192" t="s">
        <v>2837</v>
      </c>
      <c r="I1192" t="s">
        <v>445</v>
      </c>
      <c r="J1192" t="s">
        <v>2822</v>
      </c>
      <c r="K1192" t="s">
        <v>446</v>
      </c>
      <c r="L1192" t="s">
        <v>446</v>
      </c>
      <c r="M1192" t="s">
        <v>446</v>
      </c>
      <c r="N1192" t="s">
        <v>446</v>
      </c>
      <c r="O1192" t="s">
        <v>446</v>
      </c>
      <c r="P1192" t="s">
        <v>446</v>
      </c>
      <c r="Q1192" t="b">
        <v>1</v>
      </c>
      <c r="R1192" t="b">
        <v>0</v>
      </c>
      <c r="S1192" t="s">
        <v>1950</v>
      </c>
      <c r="T1192" t="s">
        <v>446</v>
      </c>
      <c r="U1192" t="s">
        <v>1951</v>
      </c>
      <c r="V1192" t="s">
        <v>1093</v>
      </c>
      <c r="W1192" t="s">
        <v>2824</v>
      </c>
      <c r="X1192" t="s">
        <v>2825</v>
      </c>
    </row>
    <row r="1193" spans="1:24" x14ac:dyDescent="0.25">
      <c r="A1193" t="s">
        <v>44</v>
      </c>
      <c r="B1193" t="s">
        <v>2838</v>
      </c>
      <c r="C1193" t="s">
        <v>448</v>
      </c>
      <c r="D1193" t="s">
        <v>44</v>
      </c>
      <c r="E1193" t="s">
        <v>1029</v>
      </c>
      <c r="F1193">
        <v>11129</v>
      </c>
      <c r="G1193" t="s">
        <v>2822</v>
      </c>
      <c r="H1193" t="s">
        <v>2839</v>
      </c>
      <c r="I1193" t="s">
        <v>445</v>
      </c>
      <c r="J1193" t="s">
        <v>2822</v>
      </c>
      <c r="K1193" t="s">
        <v>446</v>
      </c>
      <c r="L1193" t="s">
        <v>446</v>
      </c>
      <c r="M1193" t="s">
        <v>446</v>
      </c>
      <c r="N1193" t="s">
        <v>446</v>
      </c>
      <c r="O1193" t="s">
        <v>446</v>
      </c>
      <c r="P1193" t="s">
        <v>446</v>
      </c>
      <c r="Q1193" t="b">
        <v>1</v>
      </c>
      <c r="R1193" t="b">
        <v>0</v>
      </c>
      <c r="S1193" t="s">
        <v>1950</v>
      </c>
      <c r="T1193" t="s">
        <v>446</v>
      </c>
      <c r="U1193" t="s">
        <v>1951</v>
      </c>
      <c r="V1193" t="s">
        <v>1093</v>
      </c>
      <c r="W1193" t="s">
        <v>2824</v>
      </c>
      <c r="X1193" t="s">
        <v>2825</v>
      </c>
    </row>
    <row r="1194" spans="1:24" x14ac:dyDescent="0.25">
      <c r="A1194" t="s">
        <v>44</v>
      </c>
      <c r="B1194" t="s">
        <v>2840</v>
      </c>
      <c r="C1194" t="s">
        <v>448</v>
      </c>
      <c r="D1194" t="s">
        <v>44</v>
      </c>
      <c r="E1194" t="s">
        <v>1035</v>
      </c>
      <c r="F1194">
        <v>12535</v>
      </c>
      <c r="G1194" t="s">
        <v>2822</v>
      </c>
      <c r="H1194" t="s">
        <v>2841</v>
      </c>
      <c r="I1194" t="s">
        <v>445</v>
      </c>
      <c r="J1194" t="s">
        <v>2822</v>
      </c>
      <c r="K1194" t="s">
        <v>446</v>
      </c>
      <c r="L1194" t="s">
        <v>446</v>
      </c>
      <c r="M1194" t="s">
        <v>446</v>
      </c>
      <c r="N1194" t="s">
        <v>446</v>
      </c>
      <c r="O1194" t="s">
        <v>446</v>
      </c>
      <c r="P1194" t="s">
        <v>446</v>
      </c>
      <c r="Q1194" t="b">
        <v>1</v>
      </c>
      <c r="R1194" t="b">
        <v>0</v>
      </c>
      <c r="S1194" t="s">
        <v>1950</v>
      </c>
      <c r="T1194" t="s">
        <v>446</v>
      </c>
      <c r="U1194" t="s">
        <v>1951</v>
      </c>
      <c r="V1194" t="s">
        <v>1093</v>
      </c>
      <c r="W1194" t="s">
        <v>2824</v>
      </c>
      <c r="X1194" t="s">
        <v>2825</v>
      </c>
    </row>
    <row r="1195" spans="1:24" x14ac:dyDescent="0.25">
      <c r="A1195" t="s">
        <v>44</v>
      </c>
      <c r="B1195" t="s">
        <v>2842</v>
      </c>
      <c r="C1195" t="s">
        <v>448</v>
      </c>
      <c r="D1195" t="s">
        <v>44</v>
      </c>
      <c r="E1195" t="s">
        <v>1040</v>
      </c>
      <c r="F1195">
        <v>12455</v>
      </c>
      <c r="G1195" t="s">
        <v>2822</v>
      </c>
      <c r="H1195" t="s">
        <v>2843</v>
      </c>
      <c r="I1195" t="s">
        <v>445</v>
      </c>
      <c r="J1195" t="s">
        <v>2822</v>
      </c>
      <c r="K1195" t="s">
        <v>446</v>
      </c>
      <c r="L1195" t="s">
        <v>446</v>
      </c>
      <c r="M1195" t="s">
        <v>446</v>
      </c>
      <c r="N1195" t="s">
        <v>446</v>
      </c>
      <c r="O1195" t="s">
        <v>446</v>
      </c>
      <c r="P1195" t="s">
        <v>446</v>
      </c>
      <c r="Q1195" t="b">
        <v>1</v>
      </c>
      <c r="R1195" t="b">
        <v>0</v>
      </c>
      <c r="S1195" t="s">
        <v>1950</v>
      </c>
      <c r="T1195" t="s">
        <v>446</v>
      </c>
      <c r="U1195" t="s">
        <v>1951</v>
      </c>
      <c r="V1195" t="s">
        <v>1093</v>
      </c>
      <c r="W1195" t="s">
        <v>2824</v>
      </c>
      <c r="X1195" t="s">
        <v>2825</v>
      </c>
    </row>
    <row r="1196" spans="1:24" x14ac:dyDescent="0.25">
      <c r="A1196" t="s">
        <v>44</v>
      </c>
      <c r="B1196" t="s">
        <v>2844</v>
      </c>
      <c r="C1196" t="s">
        <v>448</v>
      </c>
      <c r="D1196" t="s">
        <v>44</v>
      </c>
      <c r="E1196" t="s">
        <v>1045</v>
      </c>
      <c r="F1196">
        <v>11822</v>
      </c>
      <c r="G1196" t="s">
        <v>2822</v>
      </c>
      <c r="H1196" t="s">
        <v>2845</v>
      </c>
      <c r="I1196" t="s">
        <v>445</v>
      </c>
      <c r="J1196" t="s">
        <v>2822</v>
      </c>
      <c r="K1196" t="s">
        <v>446</v>
      </c>
      <c r="L1196" t="s">
        <v>446</v>
      </c>
      <c r="M1196" t="s">
        <v>446</v>
      </c>
      <c r="N1196" t="s">
        <v>446</v>
      </c>
      <c r="O1196" t="s">
        <v>446</v>
      </c>
      <c r="P1196" t="s">
        <v>446</v>
      </c>
      <c r="Q1196" t="b">
        <v>1</v>
      </c>
      <c r="R1196" t="b">
        <v>0</v>
      </c>
      <c r="S1196" t="s">
        <v>1950</v>
      </c>
      <c r="T1196" t="s">
        <v>446</v>
      </c>
      <c r="U1196" t="s">
        <v>1951</v>
      </c>
      <c r="V1196" t="s">
        <v>1093</v>
      </c>
      <c r="W1196" t="s">
        <v>2824</v>
      </c>
      <c r="X1196" t="s">
        <v>2825</v>
      </c>
    </row>
    <row r="1197" spans="1:24" x14ac:dyDescent="0.25">
      <c r="A1197" t="s">
        <v>44</v>
      </c>
      <c r="B1197" t="s">
        <v>2846</v>
      </c>
      <c r="C1197" t="s">
        <v>448</v>
      </c>
      <c r="D1197" t="s">
        <v>44</v>
      </c>
      <c r="E1197" t="s">
        <v>1051</v>
      </c>
      <c r="F1197">
        <v>12472</v>
      </c>
      <c r="G1197" t="s">
        <v>2822</v>
      </c>
      <c r="H1197" t="s">
        <v>2847</v>
      </c>
      <c r="I1197" t="s">
        <v>445</v>
      </c>
      <c r="J1197" t="s">
        <v>2822</v>
      </c>
      <c r="K1197" t="s">
        <v>446</v>
      </c>
      <c r="L1197" t="s">
        <v>446</v>
      </c>
      <c r="M1197" t="s">
        <v>446</v>
      </c>
      <c r="N1197" t="s">
        <v>446</v>
      </c>
      <c r="O1197" t="s">
        <v>446</v>
      </c>
      <c r="P1197" t="s">
        <v>446</v>
      </c>
      <c r="Q1197" t="b">
        <v>1</v>
      </c>
      <c r="R1197" t="b">
        <v>0</v>
      </c>
      <c r="S1197" t="s">
        <v>1950</v>
      </c>
      <c r="T1197" t="s">
        <v>446</v>
      </c>
      <c r="U1197" t="s">
        <v>1951</v>
      </c>
      <c r="V1197" t="s">
        <v>1093</v>
      </c>
      <c r="W1197" t="s">
        <v>2824</v>
      </c>
      <c r="X1197" t="s">
        <v>2825</v>
      </c>
    </row>
    <row r="1198" spans="1:24" x14ac:dyDescent="0.25">
      <c r="A1198" t="s">
        <v>44</v>
      </c>
      <c r="B1198" t="s">
        <v>1172</v>
      </c>
      <c r="C1198" t="s">
        <v>2848</v>
      </c>
      <c r="D1198" t="s">
        <v>44</v>
      </c>
      <c r="E1198" t="s">
        <v>978</v>
      </c>
      <c r="F1198">
        <v>0</v>
      </c>
      <c r="G1198" t="s">
        <v>2822</v>
      </c>
      <c r="H1198" t="s">
        <v>2849</v>
      </c>
      <c r="I1198" t="s">
        <v>2848</v>
      </c>
      <c r="J1198" t="s">
        <v>2822</v>
      </c>
      <c r="K1198" t="s">
        <v>446</v>
      </c>
      <c r="L1198" t="s">
        <v>446</v>
      </c>
      <c r="M1198" t="s">
        <v>446</v>
      </c>
      <c r="N1198" t="s">
        <v>446</v>
      </c>
      <c r="O1198" t="s">
        <v>446</v>
      </c>
      <c r="P1198" t="s">
        <v>446</v>
      </c>
      <c r="Q1198" t="b">
        <v>1</v>
      </c>
      <c r="R1198" t="b">
        <v>0</v>
      </c>
      <c r="S1198" t="s">
        <v>1950</v>
      </c>
      <c r="T1198" t="s">
        <v>446</v>
      </c>
      <c r="U1198" t="s">
        <v>1951</v>
      </c>
      <c r="V1198" t="s">
        <v>1093</v>
      </c>
      <c r="W1198" t="s">
        <v>2824</v>
      </c>
      <c r="X1198" t="s">
        <v>2850</v>
      </c>
    </row>
    <row r="1199" spans="1:24" x14ac:dyDescent="0.25">
      <c r="A1199" t="s">
        <v>44</v>
      </c>
      <c r="B1199" t="s">
        <v>1174</v>
      </c>
      <c r="C1199" t="s">
        <v>2848</v>
      </c>
      <c r="D1199" t="s">
        <v>44</v>
      </c>
      <c r="E1199" t="s">
        <v>986</v>
      </c>
      <c r="F1199">
        <v>0</v>
      </c>
      <c r="G1199" t="s">
        <v>2822</v>
      </c>
      <c r="H1199" t="s">
        <v>2849</v>
      </c>
      <c r="I1199" t="s">
        <v>2848</v>
      </c>
      <c r="J1199" t="s">
        <v>2822</v>
      </c>
      <c r="K1199" t="s">
        <v>446</v>
      </c>
      <c r="L1199" t="s">
        <v>446</v>
      </c>
      <c r="M1199" t="s">
        <v>446</v>
      </c>
      <c r="N1199" t="s">
        <v>446</v>
      </c>
      <c r="O1199" t="s">
        <v>446</v>
      </c>
      <c r="P1199" t="s">
        <v>446</v>
      </c>
      <c r="Q1199" t="b">
        <v>1</v>
      </c>
      <c r="R1199" t="b">
        <v>0</v>
      </c>
      <c r="S1199" t="s">
        <v>1950</v>
      </c>
      <c r="T1199" t="s">
        <v>446</v>
      </c>
      <c r="U1199" t="s">
        <v>1951</v>
      </c>
      <c r="V1199" t="s">
        <v>1093</v>
      </c>
      <c r="W1199" t="s">
        <v>2824</v>
      </c>
      <c r="X1199" t="s">
        <v>2850</v>
      </c>
    </row>
    <row r="1200" spans="1:24" x14ac:dyDescent="0.25">
      <c r="A1200" t="s">
        <v>44</v>
      </c>
      <c r="B1200" t="s">
        <v>1176</v>
      </c>
      <c r="C1200" t="s">
        <v>2848</v>
      </c>
      <c r="D1200" t="s">
        <v>44</v>
      </c>
      <c r="E1200" t="s">
        <v>992</v>
      </c>
      <c r="F1200">
        <v>0</v>
      </c>
      <c r="G1200" t="s">
        <v>2822</v>
      </c>
      <c r="H1200" t="s">
        <v>2849</v>
      </c>
      <c r="I1200" t="s">
        <v>2848</v>
      </c>
      <c r="J1200" t="s">
        <v>2822</v>
      </c>
      <c r="K1200" t="s">
        <v>446</v>
      </c>
      <c r="L1200" t="s">
        <v>446</v>
      </c>
      <c r="M1200" t="s">
        <v>446</v>
      </c>
      <c r="N1200" t="s">
        <v>446</v>
      </c>
      <c r="O1200" t="s">
        <v>446</v>
      </c>
      <c r="P1200" t="s">
        <v>446</v>
      </c>
      <c r="Q1200" t="b">
        <v>1</v>
      </c>
      <c r="R1200" t="b">
        <v>0</v>
      </c>
      <c r="S1200" t="s">
        <v>1950</v>
      </c>
      <c r="T1200" t="s">
        <v>446</v>
      </c>
      <c r="U1200" t="s">
        <v>1951</v>
      </c>
      <c r="V1200" t="s">
        <v>1093</v>
      </c>
      <c r="W1200" t="s">
        <v>2824</v>
      </c>
      <c r="X1200" t="s">
        <v>2850</v>
      </c>
    </row>
    <row r="1201" spans="1:24" x14ac:dyDescent="0.25">
      <c r="A1201" t="s">
        <v>44</v>
      </c>
      <c r="B1201" t="s">
        <v>1178</v>
      </c>
      <c r="C1201" t="s">
        <v>2848</v>
      </c>
      <c r="D1201" t="s">
        <v>44</v>
      </c>
      <c r="E1201" t="s">
        <v>1006</v>
      </c>
      <c r="F1201">
        <v>0</v>
      </c>
      <c r="G1201" t="s">
        <v>2822</v>
      </c>
      <c r="H1201" t="s">
        <v>2849</v>
      </c>
      <c r="I1201" t="s">
        <v>2848</v>
      </c>
      <c r="J1201" t="s">
        <v>2822</v>
      </c>
      <c r="K1201" t="s">
        <v>446</v>
      </c>
      <c r="L1201" t="s">
        <v>446</v>
      </c>
      <c r="M1201" t="s">
        <v>446</v>
      </c>
      <c r="N1201" t="s">
        <v>446</v>
      </c>
      <c r="O1201" t="s">
        <v>446</v>
      </c>
      <c r="P1201" t="s">
        <v>446</v>
      </c>
      <c r="Q1201" t="b">
        <v>1</v>
      </c>
      <c r="R1201" t="b">
        <v>0</v>
      </c>
      <c r="S1201" t="s">
        <v>1950</v>
      </c>
      <c r="T1201" t="s">
        <v>446</v>
      </c>
      <c r="U1201" t="s">
        <v>1951</v>
      </c>
      <c r="V1201" t="s">
        <v>1093</v>
      </c>
      <c r="W1201" t="s">
        <v>2824</v>
      </c>
      <c r="X1201" t="s">
        <v>2850</v>
      </c>
    </row>
    <row r="1202" spans="1:24" x14ac:dyDescent="0.25">
      <c r="A1202" t="s">
        <v>44</v>
      </c>
      <c r="B1202" t="s">
        <v>1180</v>
      </c>
      <c r="C1202" t="s">
        <v>2848</v>
      </c>
      <c r="D1202" t="s">
        <v>44</v>
      </c>
      <c r="E1202" t="s">
        <v>1013</v>
      </c>
      <c r="F1202">
        <v>0</v>
      </c>
      <c r="G1202" t="s">
        <v>2822</v>
      </c>
      <c r="H1202" t="s">
        <v>2849</v>
      </c>
      <c r="I1202" t="s">
        <v>2848</v>
      </c>
      <c r="J1202" t="s">
        <v>2822</v>
      </c>
      <c r="K1202" t="s">
        <v>446</v>
      </c>
      <c r="L1202" t="s">
        <v>446</v>
      </c>
      <c r="M1202" t="s">
        <v>446</v>
      </c>
      <c r="N1202" t="s">
        <v>446</v>
      </c>
      <c r="O1202" t="s">
        <v>446</v>
      </c>
      <c r="P1202" t="s">
        <v>446</v>
      </c>
      <c r="Q1202" t="b">
        <v>1</v>
      </c>
      <c r="R1202" t="b">
        <v>0</v>
      </c>
      <c r="S1202" t="s">
        <v>1950</v>
      </c>
      <c r="T1202" t="s">
        <v>446</v>
      </c>
      <c r="U1202" t="s">
        <v>1951</v>
      </c>
      <c r="V1202" t="s">
        <v>1093</v>
      </c>
      <c r="W1202" t="s">
        <v>2824</v>
      </c>
      <c r="X1202" t="s">
        <v>2850</v>
      </c>
    </row>
    <row r="1203" spans="1:24" x14ac:dyDescent="0.25">
      <c r="A1203" t="s">
        <v>44</v>
      </c>
      <c r="B1203" t="s">
        <v>1182</v>
      </c>
      <c r="C1203" t="s">
        <v>2848</v>
      </c>
      <c r="D1203" t="s">
        <v>44</v>
      </c>
      <c r="E1203" t="s">
        <v>1018</v>
      </c>
      <c r="F1203">
        <v>0</v>
      </c>
      <c r="G1203" t="s">
        <v>2822</v>
      </c>
      <c r="H1203" t="s">
        <v>2849</v>
      </c>
      <c r="I1203" t="s">
        <v>2848</v>
      </c>
      <c r="J1203" t="s">
        <v>2822</v>
      </c>
      <c r="K1203" t="s">
        <v>446</v>
      </c>
      <c r="L1203" t="s">
        <v>446</v>
      </c>
      <c r="M1203" t="s">
        <v>446</v>
      </c>
      <c r="N1203" t="s">
        <v>446</v>
      </c>
      <c r="O1203" t="s">
        <v>446</v>
      </c>
      <c r="P1203" t="s">
        <v>446</v>
      </c>
      <c r="Q1203" t="b">
        <v>1</v>
      </c>
      <c r="R1203" t="b">
        <v>0</v>
      </c>
      <c r="S1203" t="s">
        <v>1950</v>
      </c>
      <c r="T1203" t="s">
        <v>446</v>
      </c>
      <c r="U1203" t="s">
        <v>1951</v>
      </c>
      <c r="V1203" t="s">
        <v>1093</v>
      </c>
      <c r="W1203" t="s">
        <v>2824</v>
      </c>
      <c r="X1203" t="s">
        <v>2850</v>
      </c>
    </row>
    <row r="1204" spans="1:24" x14ac:dyDescent="0.25">
      <c r="A1204" t="s">
        <v>44</v>
      </c>
      <c r="B1204" t="s">
        <v>1184</v>
      </c>
      <c r="C1204" t="s">
        <v>2848</v>
      </c>
      <c r="D1204" t="s">
        <v>44</v>
      </c>
      <c r="E1204" t="s">
        <v>1023</v>
      </c>
      <c r="F1204">
        <v>0</v>
      </c>
      <c r="G1204" t="s">
        <v>2822</v>
      </c>
      <c r="H1204" t="s">
        <v>2849</v>
      </c>
      <c r="I1204" t="s">
        <v>2848</v>
      </c>
      <c r="J1204" t="s">
        <v>2822</v>
      </c>
      <c r="K1204" t="s">
        <v>446</v>
      </c>
      <c r="L1204" t="s">
        <v>446</v>
      </c>
      <c r="M1204" t="s">
        <v>446</v>
      </c>
      <c r="N1204" t="s">
        <v>446</v>
      </c>
      <c r="O1204" t="s">
        <v>446</v>
      </c>
      <c r="P1204" t="s">
        <v>446</v>
      </c>
      <c r="Q1204" t="b">
        <v>1</v>
      </c>
      <c r="R1204" t="b">
        <v>0</v>
      </c>
      <c r="S1204" t="s">
        <v>1950</v>
      </c>
      <c r="T1204" t="s">
        <v>446</v>
      </c>
      <c r="U1204" t="s">
        <v>1951</v>
      </c>
      <c r="V1204" t="s">
        <v>1093</v>
      </c>
      <c r="W1204" t="s">
        <v>2824</v>
      </c>
      <c r="X1204" t="s">
        <v>2850</v>
      </c>
    </row>
    <row r="1205" spans="1:24" x14ac:dyDescent="0.25">
      <c r="A1205" t="s">
        <v>44</v>
      </c>
      <c r="B1205" t="s">
        <v>1186</v>
      </c>
      <c r="C1205" t="s">
        <v>2848</v>
      </c>
      <c r="D1205" t="s">
        <v>44</v>
      </c>
      <c r="E1205" t="s">
        <v>1029</v>
      </c>
      <c r="F1205">
        <v>4053</v>
      </c>
      <c r="G1205" t="s">
        <v>2822</v>
      </c>
      <c r="H1205" t="s">
        <v>2851</v>
      </c>
      <c r="I1205" t="s">
        <v>2848</v>
      </c>
      <c r="J1205" t="s">
        <v>2822</v>
      </c>
      <c r="K1205" t="s">
        <v>446</v>
      </c>
      <c r="L1205" t="s">
        <v>446</v>
      </c>
      <c r="M1205" t="s">
        <v>446</v>
      </c>
      <c r="N1205" t="s">
        <v>446</v>
      </c>
      <c r="O1205" t="s">
        <v>446</v>
      </c>
      <c r="P1205" t="s">
        <v>446</v>
      </c>
      <c r="Q1205" t="b">
        <v>1</v>
      </c>
      <c r="R1205" t="b">
        <v>0</v>
      </c>
      <c r="S1205" t="s">
        <v>1950</v>
      </c>
      <c r="T1205" t="s">
        <v>446</v>
      </c>
      <c r="U1205" t="s">
        <v>1951</v>
      </c>
      <c r="V1205" t="s">
        <v>1093</v>
      </c>
      <c r="W1205" t="s">
        <v>2824</v>
      </c>
      <c r="X1205" t="s">
        <v>2850</v>
      </c>
    </row>
    <row r="1206" spans="1:24" x14ac:dyDescent="0.25">
      <c r="A1206" t="s">
        <v>44</v>
      </c>
      <c r="B1206" t="s">
        <v>1188</v>
      </c>
      <c r="C1206" t="s">
        <v>2848</v>
      </c>
      <c r="D1206" t="s">
        <v>44</v>
      </c>
      <c r="E1206" t="s">
        <v>1035</v>
      </c>
      <c r="F1206">
        <v>0</v>
      </c>
      <c r="G1206" t="s">
        <v>2822</v>
      </c>
      <c r="H1206" t="s">
        <v>2849</v>
      </c>
      <c r="I1206" t="s">
        <v>2848</v>
      </c>
      <c r="J1206" t="s">
        <v>2822</v>
      </c>
      <c r="K1206" t="s">
        <v>446</v>
      </c>
      <c r="L1206" t="s">
        <v>446</v>
      </c>
      <c r="M1206" t="s">
        <v>446</v>
      </c>
      <c r="N1206" t="s">
        <v>446</v>
      </c>
      <c r="O1206" t="s">
        <v>446</v>
      </c>
      <c r="P1206" t="s">
        <v>446</v>
      </c>
      <c r="Q1206" t="b">
        <v>1</v>
      </c>
      <c r="R1206" t="b">
        <v>0</v>
      </c>
      <c r="S1206" t="s">
        <v>1950</v>
      </c>
      <c r="T1206" t="s">
        <v>446</v>
      </c>
      <c r="U1206" t="s">
        <v>1951</v>
      </c>
      <c r="V1206" t="s">
        <v>1093</v>
      </c>
      <c r="W1206" t="s">
        <v>2824</v>
      </c>
      <c r="X1206" t="s">
        <v>2850</v>
      </c>
    </row>
    <row r="1207" spans="1:24" x14ac:dyDescent="0.25">
      <c r="A1207" t="s">
        <v>44</v>
      </c>
      <c r="B1207" t="s">
        <v>1190</v>
      </c>
      <c r="C1207" t="s">
        <v>2848</v>
      </c>
      <c r="D1207" t="s">
        <v>44</v>
      </c>
      <c r="E1207" t="s">
        <v>1040</v>
      </c>
      <c r="F1207">
        <v>0</v>
      </c>
      <c r="G1207" t="s">
        <v>2822</v>
      </c>
      <c r="H1207" t="s">
        <v>2849</v>
      </c>
      <c r="I1207" t="s">
        <v>2848</v>
      </c>
      <c r="J1207" t="s">
        <v>2822</v>
      </c>
      <c r="K1207" t="s">
        <v>446</v>
      </c>
      <c r="L1207" t="s">
        <v>446</v>
      </c>
      <c r="M1207" t="s">
        <v>446</v>
      </c>
      <c r="N1207" t="s">
        <v>446</v>
      </c>
      <c r="O1207" t="s">
        <v>446</v>
      </c>
      <c r="P1207" t="s">
        <v>446</v>
      </c>
      <c r="Q1207" t="b">
        <v>1</v>
      </c>
      <c r="R1207" t="b">
        <v>0</v>
      </c>
      <c r="S1207" t="s">
        <v>1950</v>
      </c>
      <c r="T1207" t="s">
        <v>446</v>
      </c>
      <c r="U1207" t="s">
        <v>1951</v>
      </c>
      <c r="V1207" t="s">
        <v>1093</v>
      </c>
      <c r="W1207" t="s">
        <v>2824</v>
      </c>
      <c r="X1207" t="s">
        <v>2850</v>
      </c>
    </row>
    <row r="1208" spans="1:24" x14ac:dyDescent="0.25">
      <c r="A1208" t="s">
        <v>44</v>
      </c>
      <c r="B1208" t="s">
        <v>1192</v>
      </c>
      <c r="C1208" t="s">
        <v>2848</v>
      </c>
      <c r="D1208" t="s">
        <v>44</v>
      </c>
      <c r="E1208" t="s">
        <v>1045</v>
      </c>
      <c r="F1208">
        <v>0</v>
      </c>
      <c r="G1208" t="s">
        <v>2822</v>
      </c>
      <c r="H1208" t="s">
        <v>2849</v>
      </c>
      <c r="I1208" t="s">
        <v>2848</v>
      </c>
      <c r="J1208" t="s">
        <v>2822</v>
      </c>
      <c r="K1208" t="s">
        <v>446</v>
      </c>
      <c r="L1208" t="s">
        <v>446</v>
      </c>
      <c r="M1208" t="s">
        <v>446</v>
      </c>
      <c r="N1208" t="s">
        <v>446</v>
      </c>
      <c r="O1208" t="s">
        <v>446</v>
      </c>
      <c r="P1208" t="s">
        <v>446</v>
      </c>
      <c r="Q1208" t="b">
        <v>1</v>
      </c>
      <c r="R1208" t="b">
        <v>0</v>
      </c>
      <c r="S1208" t="s">
        <v>1950</v>
      </c>
      <c r="T1208" t="s">
        <v>446</v>
      </c>
      <c r="U1208" t="s">
        <v>1951</v>
      </c>
      <c r="V1208" t="s">
        <v>1093</v>
      </c>
      <c r="W1208" t="s">
        <v>2824</v>
      </c>
      <c r="X1208" t="s">
        <v>2850</v>
      </c>
    </row>
    <row r="1209" spans="1:24" x14ac:dyDescent="0.25">
      <c r="A1209" t="s">
        <v>44</v>
      </c>
      <c r="B1209" t="s">
        <v>1194</v>
      </c>
      <c r="C1209" t="s">
        <v>2848</v>
      </c>
      <c r="D1209" t="s">
        <v>44</v>
      </c>
      <c r="E1209" t="s">
        <v>1051</v>
      </c>
      <c r="F1209">
        <v>4630</v>
      </c>
      <c r="G1209" t="s">
        <v>2822</v>
      </c>
      <c r="H1209" t="s">
        <v>2852</v>
      </c>
      <c r="I1209" t="s">
        <v>2848</v>
      </c>
      <c r="J1209" t="s">
        <v>2822</v>
      </c>
      <c r="K1209" t="s">
        <v>446</v>
      </c>
      <c r="L1209" t="s">
        <v>446</v>
      </c>
      <c r="M1209" t="s">
        <v>446</v>
      </c>
      <c r="N1209" t="s">
        <v>446</v>
      </c>
      <c r="O1209" t="s">
        <v>446</v>
      </c>
      <c r="P1209" t="s">
        <v>446</v>
      </c>
      <c r="Q1209" t="b">
        <v>1</v>
      </c>
      <c r="R1209" t="b">
        <v>0</v>
      </c>
      <c r="S1209" t="s">
        <v>1950</v>
      </c>
      <c r="T1209" t="s">
        <v>446</v>
      </c>
      <c r="U1209" t="s">
        <v>1951</v>
      </c>
      <c r="V1209" t="s">
        <v>1093</v>
      </c>
      <c r="W1209" t="s">
        <v>2824</v>
      </c>
      <c r="X1209" t="s">
        <v>2850</v>
      </c>
    </row>
    <row r="1210" spans="1:24" x14ac:dyDescent="0.25">
      <c r="A1210" t="s">
        <v>44</v>
      </c>
      <c r="B1210" t="s">
        <v>2853</v>
      </c>
      <c r="C1210" t="s">
        <v>2854</v>
      </c>
      <c r="E1210" t="s">
        <v>978</v>
      </c>
      <c r="F1210">
        <v>0</v>
      </c>
      <c r="G1210" t="s">
        <v>2855</v>
      </c>
      <c r="H1210" t="s">
        <v>446</v>
      </c>
      <c r="J1210" t="s">
        <v>2822</v>
      </c>
      <c r="K1210" t="s">
        <v>446</v>
      </c>
      <c r="L1210" t="s">
        <v>446</v>
      </c>
      <c r="Q1210" t="b">
        <v>1</v>
      </c>
      <c r="R1210" t="b">
        <v>0</v>
      </c>
      <c r="T1210" t="s">
        <v>446</v>
      </c>
      <c r="U1210" t="s">
        <v>1963</v>
      </c>
      <c r="V1210" t="s">
        <v>1964</v>
      </c>
      <c r="W1210" t="s">
        <v>2856</v>
      </c>
      <c r="X1210" t="s">
        <v>2857</v>
      </c>
    </row>
    <row r="1211" spans="1:24" x14ac:dyDescent="0.25">
      <c r="A1211" t="s">
        <v>44</v>
      </c>
      <c r="B1211" t="s">
        <v>2858</v>
      </c>
      <c r="C1211" t="s">
        <v>2854</v>
      </c>
      <c r="E1211" t="s">
        <v>986</v>
      </c>
      <c r="F1211">
        <v>0</v>
      </c>
      <c r="G1211" t="s">
        <v>2855</v>
      </c>
      <c r="H1211" t="s">
        <v>446</v>
      </c>
      <c r="J1211" t="s">
        <v>2822</v>
      </c>
      <c r="K1211" t="s">
        <v>446</v>
      </c>
      <c r="L1211" t="s">
        <v>446</v>
      </c>
      <c r="Q1211" t="b">
        <v>1</v>
      </c>
      <c r="R1211" t="b">
        <v>0</v>
      </c>
      <c r="T1211" t="s">
        <v>446</v>
      </c>
      <c r="U1211" t="s">
        <v>1963</v>
      </c>
      <c r="V1211" t="s">
        <v>1964</v>
      </c>
      <c r="W1211" t="s">
        <v>2856</v>
      </c>
      <c r="X1211" t="s">
        <v>2857</v>
      </c>
    </row>
    <row r="1212" spans="1:24" x14ac:dyDescent="0.25">
      <c r="A1212" t="s">
        <v>44</v>
      </c>
      <c r="B1212" t="s">
        <v>2859</v>
      </c>
      <c r="C1212" t="s">
        <v>2854</v>
      </c>
      <c r="E1212" t="s">
        <v>992</v>
      </c>
      <c r="F1212">
        <v>0</v>
      </c>
      <c r="G1212" t="s">
        <v>2855</v>
      </c>
      <c r="H1212" t="s">
        <v>446</v>
      </c>
      <c r="J1212" t="s">
        <v>2822</v>
      </c>
      <c r="K1212" t="s">
        <v>446</v>
      </c>
      <c r="L1212" t="s">
        <v>446</v>
      </c>
      <c r="Q1212" t="b">
        <v>1</v>
      </c>
      <c r="R1212" t="b">
        <v>0</v>
      </c>
      <c r="T1212" t="s">
        <v>446</v>
      </c>
      <c r="U1212" t="s">
        <v>1963</v>
      </c>
      <c r="V1212" t="s">
        <v>1964</v>
      </c>
      <c r="W1212" t="s">
        <v>2856</v>
      </c>
      <c r="X1212" t="s">
        <v>2857</v>
      </c>
    </row>
    <row r="1213" spans="1:24" x14ac:dyDescent="0.25">
      <c r="A1213" t="s">
        <v>44</v>
      </c>
      <c r="B1213" t="s">
        <v>2860</v>
      </c>
      <c r="C1213" t="s">
        <v>2854</v>
      </c>
      <c r="E1213" t="s">
        <v>998</v>
      </c>
      <c r="F1213">
        <v>0</v>
      </c>
      <c r="G1213" t="s">
        <v>2855</v>
      </c>
      <c r="H1213" t="s">
        <v>446</v>
      </c>
      <c r="J1213" t="s">
        <v>2822</v>
      </c>
      <c r="K1213" t="s">
        <v>446</v>
      </c>
      <c r="L1213" t="s">
        <v>446</v>
      </c>
      <c r="Q1213" t="b">
        <v>1</v>
      </c>
      <c r="R1213" t="b">
        <v>0</v>
      </c>
      <c r="T1213" t="s">
        <v>446</v>
      </c>
      <c r="U1213" t="s">
        <v>1963</v>
      </c>
      <c r="V1213" t="s">
        <v>1964</v>
      </c>
      <c r="W1213" t="s">
        <v>2856</v>
      </c>
      <c r="X1213" t="s">
        <v>2857</v>
      </c>
    </row>
    <row r="1214" spans="1:24" x14ac:dyDescent="0.25">
      <c r="A1214" t="s">
        <v>44</v>
      </c>
      <c r="B1214" t="s">
        <v>2861</v>
      </c>
      <c r="C1214" t="s">
        <v>2854</v>
      </c>
      <c r="E1214" t="s">
        <v>1006</v>
      </c>
      <c r="F1214">
        <v>0</v>
      </c>
      <c r="G1214" t="s">
        <v>2855</v>
      </c>
      <c r="H1214" t="s">
        <v>446</v>
      </c>
      <c r="J1214" t="s">
        <v>2822</v>
      </c>
      <c r="K1214" t="s">
        <v>446</v>
      </c>
      <c r="L1214" t="s">
        <v>446</v>
      </c>
      <c r="Q1214" t="b">
        <v>1</v>
      </c>
      <c r="R1214" t="b">
        <v>0</v>
      </c>
      <c r="T1214" t="s">
        <v>446</v>
      </c>
      <c r="U1214" t="s">
        <v>1963</v>
      </c>
      <c r="V1214" t="s">
        <v>1964</v>
      </c>
      <c r="W1214" t="s">
        <v>2856</v>
      </c>
      <c r="X1214" t="s">
        <v>2857</v>
      </c>
    </row>
    <row r="1215" spans="1:24" x14ac:dyDescent="0.25">
      <c r="A1215" t="s">
        <v>44</v>
      </c>
      <c r="B1215" t="s">
        <v>2862</v>
      </c>
      <c r="C1215" t="s">
        <v>2854</v>
      </c>
      <c r="E1215" t="s">
        <v>1013</v>
      </c>
      <c r="F1215">
        <v>0</v>
      </c>
      <c r="G1215" t="s">
        <v>2855</v>
      </c>
      <c r="H1215" t="s">
        <v>446</v>
      </c>
      <c r="J1215" t="s">
        <v>2822</v>
      </c>
      <c r="K1215" t="s">
        <v>446</v>
      </c>
      <c r="L1215" t="s">
        <v>446</v>
      </c>
      <c r="Q1215" t="b">
        <v>1</v>
      </c>
      <c r="R1215" t="b">
        <v>0</v>
      </c>
      <c r="T1215" t="s">
        <v>446</v>
      </c>
      <c r="U1215" t="s">
        <v>1963</v>
      </c>
      <c r="V1215" t="s">
        <v>1964</v>
      </c>
      <c r="W1215" t="s">
        <v>2856</v>
      </c>
      <c r="X1215" t="s">
        <v>2857</v>
      </c>
    </row>
    <row r="1216" spans="1:24" x14ac:dyDescent="0.25">
      <c r="A1216" t="s">
        <v>44</v>
      </c>
      <c r="B1216" t="s">
        <v>2863</v>
      </c>
      <c r="C1216" t="s">
        <v>2854</v>
      </c>
      <c r="E1216" t="s">
        <v>1018</v>
      </c>
      <c r="F1216">
        <v>0</v>
      </c>
      <c r="G1216" t="s">
        <v>2855</v>
      </c>
      <c r="H1216" t="s">
        <v>446</v>
      </c>
      <c r="J1216" t="s">
        <v>2822</v>
      </c>
      <c r="K1216" t="s">
        <v>446</v>
      </c>
      <c r="L1216" t="s">
        <v>446</v>
      </c>
      <c r="Q1216" t="b">
        <v>1</v>
      </c>
      <c r="R1216" t="b">
        <v>0</v>
      </c>
      <c r="T1216" t="s">
        <v>446</v>
      </c>
      <c r="U1216" t="s">
        <v>1963</v>
      </c>
      <c r="V1216" t="s">
        <v>1964</v>
      </c>
      <c r="W1216" t="s">
        <v>2856</v>
      </c>
      <c r="X1216" t="s">
        <v>2857</v>
      </c>
    </row>
    <row r="1217" spans="1:24" x14ac:dyDescent="0.25">
      <c r="A1217" t="s">
        <v>44</v>
      </c>
      <c r="B1217" t="s">
        <v>2864</v>
      </c>
      <c r="C1217" t="s">
        <v>2854</v>
      </c>
      <c r="E1217" t="s">
        <v>1023</v>
      </c>
      <c r="F1217">
        <v>0</v>
      </c>
      <c r="G1217" t="s">
        <v>2855</v>
      </c>
      <c r="H1217" t="s">
        <v>446</v>
      </c>
      <c r="J1217" t="s">
        <v>2822</v>
      </c>
      <c r="K1217" t="s">
        <v>446</v>
      </c>
      <c r="L1217" t="s">
        <v>446</v>
      </c>
      <c r="Q1217" t="b">
        <v>1</v>
      </c>
      <c r="R1217" t="b">
        <v>0</v>
      </c>
      <c r="T1217" t="s">
        <v>446</v>
      </c>
      <c r="U1217" t="s">
        <v>1963</v>
      </c>
      <c r="V1217" t="s">
        <v>1964</v>
      </c>
      <c r="W1217" t="s">
        <v>2856</v>
      </c>
      <c r="X1217" t="s">
        <v>2857</v>
      </c>
    </row>
    <row r="1218" spans="1:24" x14ac:dyDescent="0.25">
      <c r="A1218" t="s">
        <v>44</v>
      </c>
      <c r="B1218" t="s">
        <v>2865</v>
      </c>
      <c r="C1218" t="s">
        <v>2854</v>
      </c>
      <c r="E1218" t="s">
        <v>1029</v>
      </c>
      <c r="F1218">
        <v>0</v>
      </c>
      <c r="G1218" t="s">
        <v>2855</v>
      </c>
      <c r="H1218" t="s">
        <v>446</v>
      </c>
      <c r="J1218" t="s">
        <v>2822</v>
      </c>
      <c r="K1218" t="s">
        <v>446</v>
      </c>
      <c r="L1218" t="s">
        <v>446</v>
      </c>
      <c r="Q1218" t="b">
        <v>1</v>
      </c>
      <c r="R1218" t="b">
        <v>0</v>
      </c>
      <c r="T1218" t="s">
        <v>446</v>
      </c>
      <c r="U1218" t="s">
        <v>1963</v>
      </c>
      <c r="V1218" t="s">
        <v>1964</v>
      </c>
      <c r="W1218" t="s">
        <v>2856</v>
      </c>
      <c r="X1218" t="s">
        <v>2857</v>
      </c>
    </row>
    <row r="1219" spans="1:24" x14ac:dyDescent="0.25">
      <c r="A1219" t="s">
        <v>44</v>
      </c>
      <c r="B1219" t="s">
        <v>2866</v>
      </c>
      <c r="C1219" t="s">
        <v>2854</v>
      </c>
      <c r="E1219" t="s">
        <v>1035</v>
      </c>
      <c r="F1219">
        <v>0</v>
      </c>
      <c r="G1219" t="s">
        <v>2855</v>
      </c>
      <c r="H1219" t="s">
        <v>446</v>
      </c>
      <c r="J1219" t="s">
        <v>2822</v>
      </c>
      <c r="K1219" t="s">
        <v>446</v>
      </c>
      <c r="L1219" t="s">
        <v>446</v>
      </c>
      <c r="Q1219" t="b">
        <v>1</v>
      </c>
      <c r="R1219" t="b">
        <v>0</v>
      </c>
      <c r="T1219" t="s">
        <v>446</v>
      </c>
      <c r="U1219" t="s">
        <v>1963</v>
      </c>
      <c r="V1219" t="s">
        <v>1964</v>
      </c>
      <c r="W1219" t="s">
        <v>2856</v>
      </c>
      <c r="X1219" t="s">
        <v>2857</v>
      </c>
    </row>
    <row r="1220" spans="1:24" x14ac:dyDescent="0.25">
      <c r="A1220" t="s">
        <v>44</v>
      </c>
      <c r="B1220" t="s">
        <v>2867</v>
      </c>
      <c r="C1220" t="s">
        <v>2854</v>
      </c>
      <c r="E1220" t="s">
        <v>1040</v>
      </c>
      <c r="F1220">
        <v>0</v>
      </c>
      <c r="G1220" t="s">
        <v>2855</v>
      </c>
      <c r="H1220" t="s">
        <v>446</v>
      </c>
      <c r="J1220" t="s">
        <v>2822</v>
      </c>
      <c r="K1220" t="s">
        <v>446</v>
      </c>
      <c r="L1220" t="s">
        <v>446</v>
      </c>
      <c r="Q1220" t="b">
        <v>1</v>
      </c>
      <c r="R1220" t="b">
        <v>0</v>
      </c>
      <c r="T1220" t="s">
        <v>446</v>
      </c>
      <c r="U1220" t="s">
        <v>1963</v>
      </c>
      <c r="V1220" t="s">
        <v>1964</v>
      </c>
      <c r="W1220" t="s">
        <v>2856</v>
      </c>
      <c r="X1220" t="s">
        <v>2857</v>
      </c>
    </row>
    <row r="1221" spans="1:24" x14ac:dyDescent="0.25">
      <c r="A1221" t="s">
        <v>44</v>
      </c>
      <c r="B1221" t="s">
        <v>2868</v>
      </c>
      <c r="C1221" t="s">
        <v>2854</v>
      </c>
      <c r="E1221" t="s">
        <v>1045</v>
      </c>
      <c r="F1221">
        <v>0</v>
      </c>
      <c r="G1221" t="s">
        <v>2855</v>
      </c>
      <c r="H1221" t="s">
        <v>446</v>
      </c>
      <c r="J1221" t="s">
        <v>2822</v>
      </c>
      <c r="K1221" t="s">
        <v>446</v>
      </c>
      <c r="L1221" t="s">
        <v>446</v>
      </c>
      <c r="Q1221" t="b">
        <v>1</v>
      </c>
      <c r="R1221" t="b">
        <v>0</v>
      </c>
      <c r="T1221" t="s">
        <v>446</v>
      </c>
      <c r="U1221" t="s">
        <v>1963</v>
      </c>
      <c r="V1221" t="s">
        <v>1964</v>
      </c>
      <c r="W1221" t="s">
        <v>2856</v>
      </c>
      <c r="X1221" t="s">
        <v>2857</v>
      </c>
    </row>
    <row r="1222" spans="1:24" x14ac:dyDescent="0.25">
      <c r="A1222" t="s">
        <v>44</v>
      </c>
      <c r="B1222" t="s">
        <v>2869</v>
      </c>
      <c r="C1222" t="s">
        <v>2854</v>
      </c>
      <c r="E1222" t="s">
        <v>1051</v>
      </c>
      <c r="F1222">
        <v>0</v>
      </c>
      <c r="G1222" t="s">
        <v>2855</v>
      </c>
      <c r="H1222" t="s">
        <v>446</v>
      </c>
      <c r="J1222" t="s">
        <v>2822</v>
      </c>
      <c r="K1222" t="s">
        <v>446</v>
      </c>
      <c r="L1222" t="s">
        <v>446</v>
      </c>
      <c r="Q1222" t="b">
        <v>1</v>
      </c>
      <c r="R1222" t="b">
        <v>0</v>
      </c>
      <c r="T1222" t="s">
        <v>446</v>
      </c>
      <c r="U1222" t="s">
        <v>1963</v>
      </c>
      <c r="V1222" t="s">
        <v>1964</v>
      </c>
      <c r="W1222" t="s">
        <v>2856</v>
      </c>
      <c r="X1222" t="s">
        <v>2857</v>
      </c>
    </row>
    <row r="1223" spans="1:24" x14ac:dyDescent="0.25">
      <c r="A1223" t="s">
        <v>44</v>
      </c>
      <c r="B1223" t="s">
        <v>2870</v>
      </c>
      <c r="C1223" t="s">
        <v>2871</v>
      </c>
      <c r="E1223" t="s">
        <v>998</v>
      </c>
      <c r="F1223">
        <v>-25555</v>
      </c>
      <c r="G1223" t="s">
        <v>2019</v>
      </c>
      <c r="H1223" t="s">
        <v>2872</v>
      </c>
      <c r="J1223" t="s">
        <v>2822</v>
      </c>
      <c r="K1223" t="s">
        <v>1003</v>
      </c>
      <c r="L1223" t="s">
        <v>446</v>
      </c>
      <c r="Q1223" t="b">
        <v>0</v>
      </c>
      <c r="R1223" t="b">
        <v>0</v>
      </c>
      <c r="T1223" t="s">
        <v>2873</v>
      </c>
      <c r="U1223" t="s">
        <v>1963</v>
      </c>
      <c r="V1223" t="s">
        <v>1964</v>
      </c>
      <c r="W1223" t="s">
        <v>2856</v>
      </c>
      <c r="X1223" t="s">
        <v>446</v>
      </c>
    </row>
    <row r="1224" spans="1:24" x14ac:dyDescent="0.25">
      <c r="A1224" t="s">
        <v>44</v>
      </c>
      <c r="B1224" t="s">
        <v>1172</v>
      </c>
      <c r="C1224" t="s">
        <v>2874</v>
      </c>
      <c r="E1224" t="s">
        <v>978</v>
      </c>
      <c r="F1224">
        <v>3367</v>
      </c>
      <c r="G1224" t="s">
        <v>2019</v>
      </c>
      <c r="H1224" t="s">
        <v>2875</v>
      </c>
      <c r="J1224" t="s">
        <v>2822</v>
      </c>
      <c r="K1224" t="s">
        <v>984</v>
      </c>
      <c r="L1224" t="s">
        <v>446</v>
      </c>
      <c r="Q1224" t="b">
        <v>0</v>
      </c>
      <c r="R1224" t="b">
        <v>0</v>
      </c>
      <c r="T1224" t="s">
        <v>2873</v>
      </c>
      <c r="U1224" t="s">
        <v>1963</v>
      </c>
      <c r="V1224" t="s">
        <v>1964</v>
      </c>
      <c r="W1224" t="s">
        <v>2856</v>
      </c>
      <c r="X1224" t="s">
        <v>2876</v>
      </c>
    </row>
    <row r="1225" spans="1:24" x14ac:dyDescent="0.25">
      <c r="A1225" t="s">
        <v>44</v>
      </c>
      <c r="B1225" t="s">
        <v>1174</v>
      </c>
      <c r="C1225" t="s">
        <v>2874</v>
      </c>
      <c r="E1225" t="s">
        <v>986</v>
      </c>
      <c r="F1225">
        <v>2401</v>
      </c>
      <c r="G1225" t="s">
        <v>2019</v>
      </c>
      <c r="H1225" t="s">
        <v>2875</v>
      </c>
      <c r="J1225" t="s">
        <v>2822</v>
      </c>
      <c r="K1225" t="s">
        <v>990</v>
      </c>
      <c r="L1225" t="s">
        <v>446</v>
      </c>
      <c r="Q1225" t="b">
        <v>0</v>
      </c>
      <c r="R1225" t="b">
        <v>0</v>
      </c>
      <c r="T1225" t="s">
        <v>2873</v>
      </c>
      <c r="U1225" t="s">
        <v>1963</v>
      </c>
      <c r="V1225" t="s">
        <v>1964</v>
      </c>
      <c r="W1225" t="s">
        <v>2856</v>
      </c>
      <c r="X1225" t="s">
        <v>2876</v>
      </c>
    </row>
    <row r="1226" spans="1:24" x14ac:dyDescent="0.25">
      <c r="A1226" t="s">
        <v>44</v>
      </c>
      <c r="B1226" t="s">
        <v>1176</v>
      </c>
      <c r="C1226" t="s">
        <v>2874</v>
      </c>
      <c r="E1226" t="s">
        <v>992</v>
      </c>
      <c r="F1226">
        <v>3270</v>
      </c>
      <c r="G1226" t="s">
        <v>2019</v>
      </c>
      <c r="H1226" t="s">
        <v>2875</v>
      </c>
      <c r="J1226" t="s">
        <v>2822</v>
      </c>
      <c r="K1226" t="s">
        <v>996</v>
      </c>
      <c r="L1226" t="s">
        <v>446</v>
      </c>
      <c r="Q1226" t="b">
        <v>0</v>
      </c>
      <c r="R1226" t="b">
        <v>0</v>
      </c>
      <c r="T1226" t="s">
        <v>2873</v>
      </c>
      <c r="U1226" t="s">
        <v>1963</v>
      </c>
      <c r="V1226" t="s">
        <v>1964</v>
      </c>
      <c r="W1226" t="s">
        <v>2856</v>
      </c>
      <c r="X1226" t="s">
        <v>2876</v>
      </c>
    </row>
    <row r="1227" spans="1:24" x14ac:dyDescent="0.25">
      <c r="A1227" t="s">
        <v>44</v>
      </c>
      <c r="B1227" t="s">
        <v>2018</v>
      </c>
      <c r="C1227" t="s">
        <v>2874</v>
      </c>
      <c r="E1227" t="s">
        <v>998</v>
      </c>
      <c r="F1227">
        <v>-1745</v>
      </c>
      <c r="G1227" t="s">
        <v>2019</v>
      </c>
      <c r="H1227" t="s">
        <v>2875</v>
      </c>
      <c r="J1227" t="s">
        <v>2822</v>
      </c>
      <c r="K1227" t="s">
        <v>1003</v>
      </c>
      <c r="L1227" t="s">
        <v>446</v>
      </c>
      <c r="Q1227" t="b">
        <v>0</v>
      </c>
      <c r="R1227" t="b">
        <v>0</v>
      </c>
      <c r="T1227" t="s">
        <v>2873</v>
      </c>
      <c r="U1227" t="s">
        <v>1963</v>
      </c>
      <c r="V1227" t="s">
        <v>1964</v>
      </c>
      <c r="W1227" t="s">
        <v>2856</v>
      </c>
      <c r="X1227" t="s">
        <v>446</v>
      </c>
    </row>
    <row r="1228" spans="1:24" x14ac:dyDescent="0.25">
      <c r="A1228" t="s">
        <v>44</v>
      </c>
      <c r="B1228" t="s">
        <v>1178</v>
      </c>
      <c r="C1228" t="s">
        <v>2874</v>
      </c>
      <c r="E1228" t="s">
        <v>1006</v>
      </c>
      <c r="F1228">
        <v>2141</v>
      </c>
      <c r="G1228" t="s">
        <v>2019</v>
      </c>
      <c r="H1228" t="s">
        <v>2875</v>
      </c>
      <c r="J1228" t="s">
        <v>2822</v>
      </c>
      <c r="K1228" t="s">
        <v>1967</v>
      </c>
      <c r="L1228" t="s">
        <v>446</v>
      </c>
      <c r="Q1228" t="b">
        <v>0</v>
      </c>
      <c r="R1228" t="b">
        <v>0</v>
      </c>
      <c r="T1228" t="s">
        <v>2873</v>
      </c>
      <c r="U1228" t="s">
        <v>1963</v>
      </c>
      <c r="V1228" t="s">
        <v>1964</v>
      </c>
      <c r="W1228" t="s">
        <v>2856</v>
      </c>
      <c r="X1228" t="s">
        <v>2876</v>
      </c>
    </row>
    <row r="1229" spans="1:24" x14ac:dyDescent="0.25">
      <c r="A1229" t="s">
        <v>44</v>
      </c>
      <c r="B1229" t="s">
        <v>1180</v>
      </c>
      <c r="C1229" t="s">
        <v>2874</v>
      </c>
      <c r="E1229" t="s">
        <v>1013</v>
      </c>
      <c r="F1229">
        <v>2632</v>
      </c>
      <c r="G1229" t="s">
        <v>2019</v>
      </c>
      <c r="H1229" t="s">
        <v>2875</v>
      </c>
      <c r="J1229" t="s">
        <v>2822</v>
      </c>
      <c r="K1229" t="s">
        <v>1016</v>
      </c>
      <c r="L1229" t="s">
        <v>446</v>
      </c>
      <c r="Q1229" t="b">
        <v>0</v>
      </c>
      <c r="R1229" t="b">
        <v>0</v>
      </c>
      <c r="T1229" t="s">
        <v>2873</v>
      </c>
      <c r="U1229" t="s">
        <v>1963</v>
      </c>
      <c r="V1229" t="s">
        <v>1964</v>
      </c>
      <c r="W1229" t="s">
        <v>2856</v>
      </c>
      <c r="X1229" t="s">
        <v>2876</v>
      </c>
    </row>
    <row r="1230" spans="1:24" x14ac:dyDescent="0.25">
      <c r="A1230" t="s">
        <v>44</v>
      </c>
      <c r="B1230" t="s">
        <v>1182</v>
      </c>
      <c r="C1230" t="s">
        <v>2874</v>
      </c>
      <c r="E1230" t="s">
        <v>1018</v>
      </c>
      <c r="F1230">
        <v>2510</v>
      </c>
      <c r="G1230" t="s">
        <v>2019</v>
      </c>
      <c r="H1230" t="s">
        <v>2875</v>
      </c>
      <c r="J1230" t="s">
        <v>2822</v>
      </c>
      <c r="K1230" t="s">
        <v>1021</v>
      </c>
      <c r="L1230" t="s">
        <v>446</v>
      </c>
      <c r="Q1230" t="b">
        <v>0</v>
      </c>
      <c r="R1230" t="b">
        <v>0</v>
      </c>
      <c r="T1230" t="s">
        <v>2873</v>
      </c>
      <c r="U1230" t="s">
        <v>1963</v>
      </c>
      <c r="V1230" t="s">
        <v>1964</v>
      </c>
      <c r="W1230" t="s">
        <v>2856</v>
      </c>
      <c r="X1230" t="s">
        <v>2876</v>
      </c>
    </row>
    <row r="1231" spans="1:24" x14ac:dyDescent="0.25">
      <c r="A1231" t="s">
        <v>44</v>
      </c>
      <c r="B1231" t="s">
        <v>1184</v>
      </c>
      <c r="C1231" t="s">
        <v>2874</v>
      </c>
      <c r="E1231" t="s">
        <v>1023</v>
      </c>
      <c r="F1231">
        <v>2709</v>
      </c>
      <c r="G1231" t="s">
        <v>2019</v>
      </c>
      <c r="H1231" t="s">
        <v>2875</v>
      </c>
      <c r="J1231" t="s">
        <v>2822</v>
      </c>
      <c r="K1231" t="s">
        <v>1026</v>
      </c>
      <c r="L1231" t="s">
        <v>446</v>
      </c>
      <c r="Q1231" t="b">
        <v>0</v>
      </c>
      <c r="R1231" t="b">
        <v>0</v>
      </c>
      <c r="T1231" t="s">
        <v>2873</v>
      </c>
      <c r="U1231" t="s">
        <v>1963</v>
      </c>
      <c r="V1231" t="s">
        <v>1964</v>
      </c>
      <c r="W1231" t="s">
        <v>2856</v>
      </c>
      <c r="X1231" t="s">
        <v>446</v>
      </c>
    </row>
    <row r="1232" spans="1:24" x14ac:dyDescent="0.25">
      <c r="A1232" t="s">
        <v>44</v>
      </c>
      <c r="B1232" t="s">
        <v>1186</v>
      </c>
      <c r="C1232" t="s">
        <v>2874</v>
      </c>
      <c r="E1232" t="s">
        <v>1029</v>
      </c>
      <c r="F1232">
        <v>-394</v>
      </c>
      <c r="G1232" t="s">
        <v>2019</v>
      </c>
      <c r="H1232" t="s">
        <v>2875</v>
      </c>
      <c r="J1232" t="s">
        <v>2822</v>
      </c>
      <c r="K1232" t="s">
        <v>1033</v>
      </c>
      <c r="L1232" t="s">
        <v>446</v>
      </c>
      <c r="Q1232" t="b">
        <v>0</v>
      </c>
      <c r="R1232" t="b">
        <v>0</v>
      </c>
      <c r="T1232" t="s">
        <v>2873</v>
      </c>
      <c r="U1232" t="s">
        <v>1963</v>
      </c>
      <c r="V1232" t="s">
        <v>1964</v>
      </c>
      <c r="W1232" t="s">
        <v>2856</v>
      </c>
      <c r="X1232" t="s">
        <v>2876</v>
      </c>
    </row>
    <row r="1233" spans="1:24" x14ac:dyDescent="0.25">
      <c r="A1233" t="s">
        <v>44</v>
      </c>
      <c r="B1233" t="s">
        <v>1188</v>
      </c>
      <c r="C1233" t="s">
        <v>2874</v>
      </c>
      <c r="E1233" t="s">
        <v>1035</v>
      </c>
      <c r="F1233">
        <v>4280</v>
      </c>
      <c r="G1233" t="s">
        <v>2019</v>
      </c>
      <c r="H1233" t="s">
        <v>2875</v>
      </c>
      <c r="J1233" t="s">
        <v>2822</v>
      </c>
      <c r="K1233" t="s">
        <v>1038</v>
      </c>
      <c r="L1233" t="s">
        <v>446</v>
      </c>
      <c r="Q1233" t="b">
        <v>0</v>
      </c>
      <c r="R1233" t="b">
        <v>0</v>
      </c>
      <c r="T1233" t="s">
        <v>2873</v>
      </c>
      <c r="U1233" t="s">
        <v>1963</v>
      </c>
      <c r="V1233" t="s">
        <v>1964</v>
      </c>
      <c r="W1233" t="s">
        <v>2856</v>
      </c>
      <c r="X1233" t="s">
        <v>2876</v>
      </c>
    </row>
    <row r="1234" spans="1:24" x14ac:dyDescent="0.25">
      <c r="A1234" t="s">
        <v>44</v>
      </c>
      <c r="B1234" t="s">
        <v>1190</v>
      </c>
      <c r="C1234" t="s">
        <v>2874</v>
      </c>
      <c r="E1234" t="s">
        <v>1040</v>
      </c>
      <c r="F1234">
        <v>3982</v>
      </c>
      <c r="G1234" t="s">
        <v>2019</v>
      </c>
      <c r="H1234" t="s">
        <v>2875</v>
      </c>
      <c r="J1234" t="s">
        <v>2822</v>
      </c>
      <c r="K1234" t="s">
        <v>1043</v>
      </c>
      <c r="L1234" t="s">
        <v>446</v>
      </c>
      <c r="Q1234" t="b">
        <v>0</v>
      </c>
      <c r="R1234" t="b">
        <v>0</v>
      </c>
      <c r="T1234" t="s">
        <v>2873</v>
      </c>
      <c r="U1234" t="s">
        <v>1963</v>
      </c>
      <c r="V1234" t="s">
        <v>1964</v>
      </c>
      <c r="W1234" t="s">
        <v>2856</v>
      </c>
      <c r="X1234" t="s">
        <v>2876</v>
      </c>
    </row>
    <row r="1235" spans="1:24" x14ac:dyDescent="0.25">
      <c r="A1235" t="s">
        <v>44</v>
      </c>
      <c r="B1235" t="s">
        <v>1192</v>
      </c>
      <c r="C1235" t="s">
        <v>2874</v>
      </c>
      <c r="E1235" t="s">
        <v>1045</v>
      </c>
      <c r="F1235">
        <v>1841</v>
      </c>
      <c r="G1235" t="s">
        <v>2019</v>
      </c>
      <c r="H1235" t="s">
        <v>2875</v>
      </c>
      <c r="J1235" t="s">
        <v>2822</v>
      </c>
      <c r="K1235" t="s">
        <v>1048</v>
      </c>
      <c r="L1235" t="s">
        <v>446</v>
      </c>
      <c r="Q1235" t="b">
        <v>0</v>
      </c>
      <c r="R1235" t="b">
        <v>0</v>
      </c>
      <c r="T1235" t="s">
        <v>2873</v>
      </c>
      <c r="U1235" t="s">
        <v>1963</v>
      </c>
      <c r="V1235" t="s">
        <v>1964</v>
      </c>
      <c r="W1235" t="s">
        <v>2856</v>
      </c>
      <c r="X1235" t="s">
        <v>446</v>
      </c>
    </row>
    <row r="1236" spans="1:24" x14ac:dyDescent="0.25">
      <c r="A1236" t="s">
        <v>44</v>
      </c>
      <c r="B1236" t="s">
        <v>1194</v>
      </c>
      <c r="C1236" t="s">
        <v>2874</v>
      </c>
      <c r="E1236" t="s">
        <v>1051</v>
      </c>
      <c r="F1236">
        <v>-271</v>
      </c>
      <c r="G1236" t="s">
        <v>2019</v>
      </c>
      <c r="H1236" t="s">
        <v>2875</v>
      </c>
      <c r="J1236" t="s">
        <v>2822</v>
      </c>
      <c r="K1236" t="s">
        <v>1055</v>
      </c>
      <c r="L1236" t="s">
        <v>446</v>
      </c>
      <c r="Q1236" t="b">
        <v>0</v>
      </c>
      <c r="R1236" t="b">
        <v>0</v>
      </c>
      <c r="T1236" t="s">
        <v>2873</v>
      </c>
      <c r="U1236" t="s">
        <v>1963</v>
      </c>
      <c r="V1236" t="s">
        <v>1964</v>
      </c>
      <c r="W1236" t="s">
        <v>2856</v>
      </c>
      <c r="X1236" t="s">
        <v>2876</v>
      </c>
    </row>
    <row r="1237" spans="1:30" x14ac:dyDescent="0.25">
      <c r="A1237" t="s">
        <v>42</v>
      </c>
      <c r="B1237" t="s">
        <v>1196</v>
      </c>
      <c r="C1237" t="s">
        <v>274</v>
      </c>
      <c r="D1237" t="s">
        <v>427</v>
      </c>
      <c r="E1237" t="s">
        <v>978</v>
      </c>
      <c r="F1237">
        <v>-111</v>
      </c>
      <c r="G1237" t="s">
        <v>1945</v>
      </c>
      <c r="H1237" t="s">
        <v>2020</v>
      </c>
      <c r="I1237" t="s">
        <v>2021</v>
      </c>
      <c r="J1237" t="s">
        <v>1110</v>
      </c>
      <c r="K1237" t="s">
        <v>984</v>
      </c>
      <c r="L1237" t="s">
        <v>1948</v>
      </c>
      <c r="M1237" t="s">
        <v>980</v>
      </c>
      <c r="N1237" t="s">
        <v>985</v>
      </c>
      <c r="O1237" t="s">
        <v>1949</v>
      </c>
      <c r="P1237" t="s">
        <v>981</v>
      </c>
      <c r="Q1237" t="b">
        <v>1</v>
      </c>
      <c r="R1237" t="b">
        <v>0</v>
      </c>
      <c r="S1237" t="s">
        <v>2877</v>
      </c>
      <c r="T1237" t="s">
        <v>446</v>
      </c>
      <c r="U1237" t="s">
        <v>1951</v>
      </c>
      <c r="V1237" t="s">
        <v>1093</v>
      </c>
      <c r="W1237" t="s">
        <v>1952</v>
      </c>
      <c r="X1237" t="s">
        <v>2025</v>
      </c>
      <c r="Y1237" t="s">
        <v>2026</v>
      </c>
      <c r="Z1237" t="s">
        <v>446</v>
      </c>
      <c r="AA1237" t="s">
        <v>274</v>
      </c>
      <c r="AB1237" t="s">
        <v>446</v>
      </c>
      <c r="AC1237" t="b">
        <v>0</v>
      </c>
      <c r="AD1237" t="b">
        <v>1</v>
      </c>
    </row>
    <row r="1238" spans="1:30" x14ac:dyDescent="0.25">
      <c r="A1238" t="s">
        <v>42</v>
      </c>
      <c r="B1238" t="s">
        <v>1197</v>
      </c>
      <c r="C1238" t="s">
        <v>274</v>
      </c>
      <c r="D1238" t="s">
        <v>427</v>
      </c>
      <c r="E1238" t="s">
        <v>986</v>
      </c>
      <c r="F1238">
        <v>-1338</v>
      </c>
      <c r="G1238" t="s">
        <v>1945</v>
      </c>
      <c r="H1238" t="s">
        <v>2027</v>
      </c>
      <c r="I1238" t="s">
        <v>2021</v>
      </c>
      <c r="J1238" t="s">
        <v>1110</v>
      </c>
      <c r="K1238" t="s">
        <v>990</v>
      </c>
      <c r="L1238" t="s">
        <v>1955</v>
      </c>
      <c r="M1238" t="s">
        <v>980</v>
      </c>
      <c r="N1238" t="s">
        <v>991</v>
      </c>
      <c r="O1238" t="s">
        <v>1956</v>
      </c>
      <c r="P1238" t="s">
        <v>988</v>
      </c>
      <c r="Q1238" t="b">
        <v>1</v>
      </c>
      <c r="R1238" t="b">
        <v>0</v>
      </c>
      <c r="S1238" t="s">
        <v>2877</v>
      </c>
      <c r="T1238" t="s">
        <v>446</v>
      </c>
      <c r="U1238" t="s">
        <v>1951</v>
      </c>
      <c r="V1238" t="s">
        <v>1093</v>
      </c>
      <c r="W1238" t="s">
        <v>1952</v>
      </c>
      <c r="X1238" t="s">
        <v>2025</v>
      </c>
      <c r="Y1238" t="s">
        <v>2026</v>
      </c>
      <c r="Z1238" t="s">
        <v>446</v>
      </c>
      <c r="AA1238" t="s">
        <v>274</v>
      </c>
      <c r="AB1238" t="s">
        <v>446</v>
      </c>
      <c r="AC1238" t="b">
        <v>0</v>
      </c>
      <c r="AD1238" t="b">
        <v>1</v>
      </c>
    </row>
    <row r="1239" spans="1:30" x14ac:dyDescent="0.25">
      <c r="A1239" t="s">
        <v>42</v>
      </c>
      <c r="B1239" t="s">
        <v>1198</v>
      </c>
      <c r="C1239" t="s">
        <v>274</v>
      </c>
      <c r="D1239" t="s">
        <v>427</v>
      </c>
      <c r="E1239" t="s">
        <v>992</v>
      </c>
      <c r="F1239">
        <v>-359</v>
      </c>
      <c r="G1239" t="s">
        <v>1945</v>
      </c>
      <c r="H1239" t="s">
        <v>2028</v>
      </c>
      <c r="I1239" t="s">
        <v>2021</v>
      </c>
      <c r="J1239" t="s">
        <v>1110</v>
      </c>
      <c r="K1239" t="s">
        <v>996</v>
      </c>
      <c r="L1239" t="s">
        <v>1958</v>
      </c>
      <c r="M1239" t="s">
        <v>980</v>
      </c>
      <c r="N1239" t="s">
        <v>997</v>
      </c>
      <c r="O1239" t="s">
        <v>1959</v>
      </c>
      <c r="P1239" t="s">
        <v>994</v>
      </c>
      <c r="Q1239" t="b">
        <v>1</v>
      </c>
      <c r="R1239" t="b">
        <v>0</v>
      </c>
      <c r="S1239" t="s">
        <v>2877</v>
      </c>
      <c r="T1239" t="s">
        <v>446</v>
      </c>
      <c r="U1239" t="s">
        <v>1951</v>
      </c>
      <c r="V1239" t="s">
        <v>1093</v>
      </c>
      <c r="W1239" t="s">
        <v>1952</v>
      </c>
      <c r="X1239" t="s">
        <v>2025</v>
      </c>
      <c r="Y1239" t="s">
        <v>2026</v>
      </c>
      <c r="Z1239" t="s">
        <v>446</v>
      </c>
      <c r="AA1239" t="s">
        <v>274</v>
      </c>
      <c r="AB1239" t="s">
        <v>446</v>
      </c>
      <c r="AC1239" t="b">
        <v>0</v>
      </c>
      <c r="AD1239" t="b">
        <v>1</v>
      </c>
    </row>
    <row r="1240" spans="1:30" x14ac:dyDescent="0.25">
      <c r="A1240" t="s">
        <v>42</v>
      </c>
      <c r="B1240" t="s">
        <v>1199</v>
      </c>
      <c r="C1240" t="s">
        <v>274</v>
      </c>
      <c r="D1240" t="s">
        <v>427</v>
      </c>
      <c r="E1240" t="s">
        <v>998</v>
      </c>
      <c r="F1240">
        <v>-143</v>
      </c>
      <c r="G1240" t="s">
        <v>1945</v>
      </c>
      <c r="H1240" t="s">
        <v>2029</v>
      </c>
      <c r="I1240" t="s">
        <v>2030</v>
      </c>
      <c r="J1240" t="s">
        <v>1110</v>
      </c>
      <c r="K1240" t="s">
        <v>1003</v>
      </c>
      <c r="L1240" t="s">
        <v>2031</v>
      </c>
      <c r="M1240" t="s">
        <v>1000</v>
      </c>
      <c r="N1240" t="s">
        <v>1004</v>
      </c>
      <c r="O1240" t="s">
        <v>1949</v>
      </c>
      <c r="P1240" t="s">
        <v>1001</v>
      </c>
      <c r="Q1240" t="b">
        <v>1</v>
      </c>
      <c r="R1240" t="b">
        <v>0</v>
      </c>
      <c r="S1240" t="s">
        <v>2877</v>
      </c>
      <c r="T1240" t="s">
        <v>446</v>
      </c>
      <c r="U1240" t="s">
        <v>1951</v>
      </c>
      <c r="V1240" t="s">
        <v>1093</v>
      </c>
      <c r="W1240" t="s">
        <v>1952</v>
      </c>
      <c r="X1240" t="s">
        <v>446</v>
      </c>
      <c r="Y1240" t="s">
        <v>446</v>
      </c>
      <c r="Z1240" t="s">
        <v>446</v>
      </c>
      <c r="AA1240" t="s">
        <v>274</v>
      </c>
      <c r="AB1240" t="s">
        <v>446</v>
      </c>
      <c r="AC1240" t="b">
        <v>0</v>
      </c>
      <c r="AD1240" t="b">
        <v>1</v>
      </c>
    </row>
    <row r="1241" spans="1:30" x14ac:dyDescent="0.25">
      <c r="A1241" t="s">
        <v>42</v>
      </c>
      <c r="B1241" t="s">
        <v>1200</v>
      </c>
      <c r="C1241" t="s">
        <v>274</v>
      </c>
      <c r="D1241" t="s">
        <v>427</v>
      </c>
      <c r="E1241" t="s">
        <v>1006</v>
      </c>
      <c r="F1241">
        <v>-1573</v>
      </c>
      <c r="G1241" t="s">
        <v>1945</v>
      </c>
      <c r="H1241" t="s">
        <v>2032</v>
      </c>
      <c r="I1241" t="s">
        <v>2021</v>
      </c>
      <c r="J1241" t="s">
        <v>1110</v>
      </c>
      <c r="K1241" t="s">
        <v>1967</v>
      </c>
      <c r="L1241" t="s">
        <v>1968</v>
      </c>
      <c r="M1241" t="s">
        <v>980</v>
      </c>
      <c r="N1241" t="s">
        <v>1969</v>
      </c>
      <c r="O1241" t="s">
        <v>1970</v>
      </c>
      <c r="P1241" t="s">
        <v>1009</v>
      </c>
      <c r="Q1241" t="b">
        <v>1</v>
      </c>
      <c r="R1241" t="b">
        <v>0</v>
      </c>
      <c r="S1241" t="s">
        <v>2877</v>
      </c>
      <c r="T1241" t="s">
        <v>446</v>
      </c>
      <c r="U1241" t="s">
        <v>1951</v>
      </c>
      <c r="V1241" t="s">
        <v>1093</v>
      </c>
      <c r="W1241" t="s">
        <v>1952</v>
      </c>
      <c r="X1241" t="s">
        <v>2025</v>
      </c>
      <c r="Y1241" t="s">
        <v>2026</v>
      </c>
      <c r="Z1241" t="s">
        <v>446</v>
      </c>
      <c r="AA1241" t="s">
        <v>274</v>
      </c>
      <c r="AB1241" t="s">
        <v>446</v>
      </c>
      <c r="AC1241" t="b">
        <v>0</v>
      </c>
      <c r="AD1241" t="b">
        <v>1</v>
      </c>
    </row>
    <row r="1242" spans="1:24" x14ac:dyDescent="0.25">
      <c r="A1242" t="s">
        <v>42</v>
      </c>
      <c r="B1242" t="s">
        <v>2878</v>
      </c>
      <c r="C1242" t="s">
        <v>268</v>
      </c>
      <c r="E1242" t="s">
        <v>978</v>
      </c>
      <c r="F1242">
        <v>10980</v>
      </c>
      <c r="G1242" t="s">
        <v>2879</v>
      </c>
      <c r="H1242" t="s">
        <v>2880</v>
      </c>
      <c r="J1242" t="s">
        <v>1110</v>
      </c>
      <c r="K1242" t="s">
        <v>984</v>
      </c>
      <c r="L1242" t="s">
        <v>446</v>
      </c>
      <c r="Q1242" t="b">
        <v>1</v>
      </c>
      <c r="R1242" t="b">
        <v>1</v>
      </c>
      <c r="S1242" t="s">
        <v>2160</v>
      </c>
      <c r="T1242" t="s">
        <v>446</v>
      </c>
      <c r="U1242" t="s">
        <v>1951</v>
      </c>
      <c r="V1242" t="s">
        <v>1093</v>
      </c>
      <c r="W1242" t="s">
        <v>1952</v>
      </c>
      <c r="X1242" t="s">
        <v>2881</v>
      </c>
    </row>
    <row r="1243" spans="1:24" x14ac:dyDescent="0.25">
      <c r="A1243" t="s">
        <v>42</v>
      </c>
      <c r="B1243" t="s">
        <v>2882</v>
      </c>
      <c r="C1243" t="s">
        <v>268</v>
      </c>
      <c r="E1243" t="s">
        <v>986</v>
      </c>
      <c r="F1243">
        <v>11972</v>
      </c>
      <c r="G1243" t="s">
        <v>2879</v>
      </c>
      <c r="H1243" t="s">
        <v>2880</v>
      </c>
      <c r="J1243" t="s">
        <v>1110</v>
      </c>
      <c r="K1243" t="s">
        <v>990</v>
      </c>
      <c r="L1243" t="s">
        <v>446</v>
      </c>
      <c r="Q1243" t="b">
        <v>1</v>
      </c>
      <c r="R1243" t="b">
        <v>1</v>
      </c>
      <c r="S1243" t="s">
        <v>2160</v>
      </c>
      <c r="T1243" t="s">
        <v>446</v>
      </c>
      <c r="U1243" t="s">
        <v>1951</v>
      </c>
      <c r="V1243" t="s">
        <v>1093</v>
      </c>
      <c r="W1243" t="s">
        <v>1952</v>
      </c>
      <c r="X1243" t="s">
        <v>2881</v>
      </c>
    </row>
    <row r="1244" spans="1:24" x14ac:dyDescent="0.25">
      <c r="A1244" t="s">
        <v>42</v>
      </c>
      <c r="B1244" t="s">
        <v>2883</v>
      </c>
      <c r="C1244" t="s">
        <v>268</v>
      </c>
      <c r="E1244" t="s">
        <v>992</v>
      </c>
      <c r="F1244">
        <v>11953</v>
      </c>
      <c r="G1244" t="s">
        <v>2879</v>
      </c>
      <c r="H1244" t="s">
        <v>2880</v>
      </c>
      <c r="J1244" t="s">
        <v>1110</v>
      </c>
      <c r="K1244" t="s">
        <v>996</v>
      </c>
      <c r="L1244" t="s">
        <v>446</v>
      </c>
      <c r="Q1244" t="b">
        <v>1</v>
      </c>
      <c r="R1244" t="b">
        <v>1</v>
      </c>
      <c r="S1244" t="s">
        <v>2160</v>
      </c>
      <c r="T1244" t="s">
        <v>446</v>
      </c>
      <c r="U1244" t="s">
        <v>1951</v>
      </c>
      <c r="V1244" t="s">
        <v>1093</v>
      </c>
      <c r="W1244" t="s">
        <v>1952</v>
      </c>
      <c r="X1244" t="s">
        <v>2881</v>
      </c>
    </row>
    <row r="1245" spans="1:24" x14ac:dyDescent="0.25">
      <c r="A1245" t="s">
        <v>42</v>
      </c>
      <c r="B1245" t="s">
        <v>2884</v>
      </c>
      <c r="C1245" t="s">
        <v>268</v>
      </c>
      <c r="E1245" t="s">
        <v>998</v>
      </c>
      <c r="F1245">
        <v>10849</v>
      </c>
      <c r="G1245" t="s">
        <v>2879</v>
      </c>
      <c r="H1245" t="s">
        <v>2880</v>
      </c>
      <c r="J1245" t="s">
        <v>1110</v>
      </c>
      <c r="K1245" t="s">
        <v>1003</v>
      </c>
      <c r="L1245" t="s">
        <v>446</v>
      </c>
      <c r="Q1245" t="b">
        <v>1</v>
      </c>
      <c r="R1245" t="b">
        <v>1</v>
      </c>
      <c r="S1245" t="s">
        <v>2160</v>
      </c>
      <c r="T1245" t="s">
        <v>446</v>
      </c>
      <c r="U1245" t="s">
        <v>1951</v>
      </c>
      <c r="V1245" t="s">
        <v>1093</v>
      </c>
      <c r="W1245" t="s">
        <v>1952</v>
      </c>
      <c r="X1245" t="s">
        <v>446</v>
      </c>
    </row>
    <row r="1246" spans="1:24" x14ac:dyDescent="0.25">
      <c r="A1246" t="s">
        <v>42</v>
      </c>
      <c r="B1246" t="s">
        <v>2885</v>
      </c>
      <c r="C1246" t="s">
        <v>268</v>
      </c>
      <c r="E1246" t="s">
        <v>982</v>
      </c>
      <c r="F1246">
        <v>45754</v>
      </c>
      <c r="G1246" t="s">
        <v>2879</v>
      </c>
      <c r="H1246" t="s">
        <v>2880</v>
      </c>
      <c r="J1246" t="s">
        <v>1110</v>
      </c>
      <c r="K1246" t="s">
        <v>1003</v>
      </c>
      <c r="L1246" t="s">
        <v>446</v>
      </c>
      <c r="Q1246" t="b">
        <v>1</v>
      </c>
      <c r="R1246" t="b">
        <v>1</v>
      </c>
      <c r="S1246" t="s">
        <v>2160</v>
      </c>
      <c r="T1246" t="s">
        <v>446</v>
      </c>
      <c r="U1246" t="s">
        <v>1951</v>
      </c>
      <c r="V1246" t="s">
        <v>1093</v>
      </c>
      <c r="W1246" t="s">
        <v>1952</v>
      </c>
      <c r="X1246" t="s">
        <v>2881</v>
      </c>
    </row>
    <row r="1247" spans="1:24" x14ac:dyDescent="0.25">
      <c r="A1247" t="s">
        <v>42</v>
      </c>
      <c r="B1247" t="s">
        <v>2886</v>
      </c>
      <c r="C1247" t="s">
        <v>268</v>
      </c>
      <c r="E1247" t="s">
        <v>1006</v>
      </c>
      <c r="F1247">
        <v>11300</v>
      </c>
      <c r="G1247" t="s">
        <v>2879</v>
      </c>
      <c r="H1247" t="s">
        <v>2880</v>
      </c>
      <c r="J1247" t="s">
        <v>1110</v>
      </c>
      <c r="K1247" t="s">
        <v>1967</v>
      </c>
      <c r="L1247" t="s">
        <v>446</v>
      </c>
      <c r="Q1247" t="b">
        <v>1</v>
      </c>
      <c r="R1247" t="b">
        <v>1</v>
      </c>
      <c r="S1247" t="s">
        <v>2160</v>
      </c>
      <c r="T1247" t="s">
        <v>446</v>
      </c>
      <c r="U1247" t="s">
        <v>1951</v>
      </c>
      <c r="V1247" t="s">
        <v>1093</v>
      </c>
      <c r="W1247" t="s">
        <v>1952</v>
      </c>
      <c r="X1247" t="s">
        <v>2881</v>
      </c>
    </row>
    <row r="1248" spans="1:24" x14ac:dyDescent="0.25">
      <c r="A1248" t="s">
        <v>42</v>
      </c>
      <c r="B1248" t="s">
        <v>2887</v>
      </c>
      <c r="C1248" t="s">
        <v>268</v>
      </c>
      <c r="E1248" t="s">
        <v>1013</v>
      </c>
      <c r="F1248">
        <v>12363</v>
      </c>
      <c r="G1248" t="s">
        <v>2879</v>
      </c>
      <c r="H1248" t="s">
        <v>2880</v>
      </c>
      <c r="J1248" t="s">
        <v>1110</v>
      </c>
      <c r="K1248" t="s">
        <v>1016</v>
      </c>
      <c r="L1248" t="s">
        <v>446</v>
      </c>
      <c r="Q1248" t="b">
        <v>1</v>
      </c>
      <c r="R1248" t="b">
        <v>1</v>
      </c>
      <c r="S1248" t="s">
        <v>2160</v>
      </c>
      <c r="T1248" t="s">
        <v>446</v>
      </c>
      <c r="U1248" t="s">
        <v>1951</v>
      </c>
      <c r="V1248" t="s">
        <v>1093</v>
      </c>
      <c r="W1248" t="s">
        <v>1952</v>
      </c>
      <c r="X1248" t="s">
        <v>2881</v>
      </c>
    </row>
    <row r="1249" spans="1:24" x14ac:dyDescent="0.25">
      <c r="A1249" t="s">
        <v>42</v>
      </c>
      <c r="B1249" t="s">
        <v>2888</v>
      </c>
      <c r="C1249" t="s">
        <v>268</v>
      </c>
      <c r="E1249" t="s">
        <v>1018</v>
      </c>
      <c r="F1249">
        <v>11854</v>
      </c>
      <c r="G1249" t="s">
        <v>2879</v>
      </c>
      <c r="H1249" t="s">
        <v>2880</v>
      </c>
      <c r="J1249" t="s">
        <v>1110</v>
      </c>
      <c r="K1249" t="s">
        <v>1021</v>
      </c>
      <c r="L1249" t="s">
        <v>446</v>
      </c>
      <c r="Q1249" t="b">
        <v>1</v>
      </c>
      <c r="R1249" t="b">
        <v>1</v>
      </c>
      <c r="S1249" t="s">
        <v>2160</v>
      </c>
      <c r="T1249" t="s">
        <v>446</v>
      </c>
      <c r="U1249" t="s">
        <v>1951</v>
      </c>
      <c r="V1249" t="s">
        <v>1093</v>
      </c>
      <c r="W1249" t="s">
        <v>1952</v>
      </c>
      <c r="X1249" t="s">
        <v>2881</v>
      </c>
    </row>
    <row r="1250" spans="1:24" x14ac:dyDescent="0.25">
      <c r="A1250" t="s">
        <v>42</v>
      </c>
      <c r="B1250" t="s">
        <v>2889</v>
      </c>
      <c r="C1250" t="s">
        <v>268</v>
      </c>
      <c r="E1250" t="s">
        <v>1023</v>
      </c>
      <c r="F1250">
        <v>11544</v>
      </c>
      <c r="G1250" t="s">
        <v>2879</v>
      </c>
      <c r="H1250" t="s">
        <v>2880</v>
      </c>
      <c r="J1250" t="s">
        <v>1110</v>
      </c>
      <c r="K1250" t="s">
        <v>1026</v>
      </c>
      <c r="L1250" t="s">
        <v>446</v>
      </c>
      <c r="Q1250" t="b">
        <v>1</v>
      </c>
      <c r="R1250" t="b">
        <v>1</v>
      </c>
      <c r="S1250" t="s">
        <v>2160</v>
      </c>
      <c r="T1250" t="s">
        <v>446</v>
      </c>
      <c r="U1250" t="s">
        <v>1951</v>
      </c>
      <c r="V1250" t="s">
        <v>1093</v>
      </c>
      <c r="W1250" t="s">
        <v>1952</v>
      </c>
      <c r="X1250" t="s">
        <v>446</v>
      </c>
    </row>
    <row r="1251" spans="1:24" x14ac:dyDescent="0.25">
      <c r="A1251" t="s">
        <v>42</v>
      </c>
      <c r="B1251" t="s">
        <v>2890</v>
      </c>
      <c r="C1251" t="s">
        <v>268</v>
      </c>
      <c r="E1251" t="s">
        <v>1010</v>
      </c>
      <c r="F1251">
        <v>47061</v>
      </c>
      <c r="G1251" t="s">
        <v>2879</v>
      </c>
      <c r="H1251" t="s">
        <v>2880</v>
      </c>
      <c r="J1251" t="s">
        <v>1110</v>
      </c>
      <c r="K1251" t="s">
        <v>1026</v>
      </c>
      <c r="L1251" t="s">
        <v>446</v>
      </c>
      <c r="Q1251" t="b">
        <v>1</v>
      </c>
      <c r="R1251" t="b">
        <v>1</v>
      </c>
      <c r="S1251" t="s">
        <v>2160</v>
      </c>
      <c r="T1251" t="s">
        <v>446</v>
      </c>
      <c r="U1251" t="s">
        <v>1951</v>
      </c>
      <c r="V1251" t="s">
        <v>1093</v>
      </c>
      <c r="W1251" t="s">
        <v>1952</v>
      </c>
      <c r="X1251" t="s">
        <v>2881</v>
      </c>
    </row>
    <row r="1252" spans="1:24" x14ac:dyDescent="0.25">
      <c r="A1252" t="s">
        <v>42</v>
      </c>
      <c r="B1252" t="s">
        <v>2891</v>
      </c>
      <c r="C1252" t="s">
        <v>268</v>
      </c>
      <c r="E1252" t="s">
        <v>1029</v>
      </c>
      <c r="F1252">
        <v>11129</v>
      </c>
      <c r="G1252" t="s">
        <v>2879</v>
      </c>
      <c r="H1252" t="s">
        <v>2880</v>
      </c>
      <c r="J1252" t="s">
        <v>1110</v>
      </c>
      <c r="K1252" t="s">
        <v>1033</v>
      </c>
      <c r="L1252" t="s">
        <v>446</v>
      </c>
      <c r="Q1252" t="b">
        <v>1</v>
      </c>
      <c r="R1252" t="b">
        <v>1</v>
      </c>
      <c r="S1252" t="s">
        <v>2160</v>
      </c>
      <c r="T1252" t="s">
        <v>446</v>
      </c>
      <c r="U1252" t="s">
        <v>1951</v>
      </c>
      <c r="V1252" t="s">
        <v>1093</v>
      </c>
      <c r="W1252" t="s">
        <v>1952</v>
      </c>
      <c r="X1252" t="s">
        <v>2881</v>
      </c>
    </row>
    <row r="1253" spans="1:24" x14ac:dyDescent="0.25">
      <c r="A1253" t="s">
        <v>42</v>
      </c>
      <c r="B1253" t="s">
        <v>2892</v>
      </c>
      <c r="C1253" t="s">
        <v>268</v>
      </c>
      <c r="E1253" t="s">
        <v>1035</v>
      </c>
      <c r="F1253">
        <v>12535</v>
      </c>
      <c r="G1253" t="s">
        <v>2879</v>
      </c>
      <c r="H1253" t="s">
        <v>2880</v>
      </c>
      <c r="J1253" t="s">
        <v>1110</v>
      </c>
      <c r="K1253" t="s">
        <v>1038</v>
      </c>
      <c r="L1253" t="s">
        <v>446</v>
      </c>
      <c r="Q1253" t="b">
        <v>1</v>
      </c>
      <c r="R1253" t="b">
        <v>1</v>
      </c>
      <c r="S1253" t="s">
        <v>2160</v>
      </c>
      <c r="T1253" t="s">
        <v>446</v>
      </c>
      <c r="U1253" t="s">
        <v>1951</v>
      </c>
      <c r="V1253" t="s">
        <v>1093</v>
      </c>
      <c r="W1253" t="s">
        <v>1952</v>
      </c>
      <c r="X1253" t="s">
        <v>2881</v>
      </c>
    </row>
    <row r="1254" spans="1:24" x14ac:dyDescent="0.25">
      <c r="A1254" t="s">
        <v>42</v>
      </c>
      <c r="B1254" t="s">
        <v>2893</v>
      </c>
      <c r="C1254" t="s">
        <v>268</v>
      </c>
      <c r="E1254" t="s">
        <v>1040</v>
      </c>
      <c r="F1254">
        <v>12455</v>
      </c>
      <c r="G1254" t="s">
        <v>2879</v>
      </c>
      <c r="H1254" t="s">
        <v>2880</v>
      </c>
      <c r="J1254" t="s">
        <v>1110</v>
      </c>
      <c r="K1254" t="s">
        <v>1043</v>
      </c>
      <c r="L1254" t="s">
        <v>446</v>
      </c>
      <c r="Q1254" t="b">
        <v>1</v>
      </c>
      <c r="R1254" t="b">
        <v>1</v>
      </c>
      <c r="S1254" t="s">
        <v>2160</v>
      </c>
      <c r="T1254" t="s">
        <v>446</v>
      </c>
      <c r="U1254" t="s">
        <v>1951</v>
      </c>
      <c r="V1254" t="s">
        <v>1093</v>
      </c>
      <c r="W1254" t="s">
        <v>1952</v>
      </c>
      <c r="X1254" t="s">
        <v>2881</v>
      </c>
    </row>
    <row r="1255" spans="1:24" x14ac:dyDescent="0.25">
      <c r="A1255" t="s">
        <v>42</v>
      </c>
      <c r="B1255" t="s">
        <v>2894</v>
      </c>
      <c r="C1255" t="s">
        <v>268</v>
      </c>
      <c r="E1255" t="s">
        <v>1045</v>
      </c>
      <c r="F1255">
        <v>11822</v>
      </c>
      <c r="G1255" t="s">
        <v>2879</v>
      </c>
      <c r="H1255" t="s">
        <v>2880</v>
      </c>
      <c r="J1255" t="s">
        <v>1110</v>
      </c>
      <c r="K1255" t="s">
        <v>1048</v>
      </c>
      <c r="L1255" t="s">
        <v>446</v>
      </c>
      <c r="Q1255" t="b">
        <v>1</v>
      </c>
      <c r="R1255" t="b">
        <v>1</v>
      </c>
      <c r="S1255" t="s">
        <v>2160</v>
      </c>
      <c r="T1255" t="s">
        <v>446</v>
      </c>
      <c r="U1255" t="s">
        <v>1951</v>
      </c>
      <c r="V1255" t="s">
        <v>1093</v>
      </c>
      <c r="W1255" t="s">
        <v>1952</v>
      </c>
      <c r="X1255" t="s">
        <v>446</v>
      </c>
    </row>
    <row r="1256" spans="1:24" x14ac:dyDescent="0.25">
      <c r="A1256" t="s">
        <v>42</v>
      </c>
      <c r="B1256" t="s">
        <v>2895</v>
      </c>
      <c r="C1256" t="s">
        <v>268</v>
      </c>
      <c r="E1256" t="s">
        <v>1032</v>
      </c>
      <c r="F1256">
        <v>47941</v>
      </c>
      <c r="G1256" t="s">
        <v>2879</v>
      </c>
      <c r="H1256" t="s">
        <v>2880</v>
      </c>
      <c r="J1256" t="s">
        <v>1110</v>
      </c>
      <c r="K1256" t="s">
        <v>1048</v>
      </c>
      <c r="L1256" t="s">
        <v>446</v>
      </c>
      <c r="Q1256" t="b">
        <v>1</v>
      </c>
      <c r="R1256" t="b">
        <v>1</v>
      </c>
      <c r="S1256" t="s">
        <v>2160</v>
      </c>
      <c r="T1256" t="s">
        <v>446</v>
      </c>
      <c r="U1256" t="s">
        <v>1951</v>
      </c>
      <c r="V1256" t="s">
        <v>1093</v>
      </c>
      <c r="W1256" t="s">
        <v>1952</v>
      </c>
      <c r="X1256" t="s">
        <v>2881</v>
      </c>
    </row>
    <row r="1257" spans="1:24" x14ac:dyDescent="0.25">
      <c r="A1257" t="s">
        <v>42</v>
      </c>
      <c r="B1257" t="s">
        <v>2896</v>
      </c>
      <c r="C1257" t="s">
        <v>268</v>
      </c>
      <c r="E1257" t="s">
        <v>1051</v>
      </c>
      <c r="F1257">
        <v>12472</v>
      </c>
      <c r="G1257" t="s">
        <v>2879</v>
      </c>
      <c r="H1257" t="s">
        <v>2880</v>
      </c>
      <c r="J1257" t="s">
        <v>1110</v>
      </c>
      <c r="K1257" t="s">
        <v>1055</v>
      </c>
      <c r="L1257" t="s">
        <v>446</v>
      </c>
      <c r="Q1257" t="b">
        <v>1</v>
      </c>
      <c r="R1257" t="b">
        <v>1</v>
      </c>
      <c r="S1257" t="s">
        <v>2160</v>
      </c>
      <c r="T1257" t="s">
        <v>446</v>
      </c>
      <c r="U1257" t="s">
        <v>1951</v>
      </c>
      <c r="V1257" t="s">
        <v>1093</v>
      </c>
      <c r="W1257" t="s">
        <v>1952</v>
      </c>
      <c r="X1257" t="s">
        <v>2881</v>
      </c>
    </row>
    <row r="1258" spans="1:24" x14ac:dyDescent="0.25">
      <c r="A1258" t="s">
        <v>42</v>
      </c>
      <c r="B1258" t="s">
        <v>2897</v>
      </c>
      <c r="C1258" t="s">
        <v>270</v>
      </c>
      <c r="E1258" t="s">
        <v>978</v>
      </c>
      <c r="F1258">
        <v>6663</v>
      </c>
      <c r="G1258" t="s">
        <v>2879</v>
      </c>
      <c r="H1258" t="s">
        <v>2898</v>
      </c>
      <c r="J1258" t="s">
        <v>1110</v>
      </c>
      <c r="K1258" t="s">
        <v>984</v>
      </c>
      <c r="L1258" t="s">
        <v>446</v>
      </c>
      <c r="Q1258" t="b">
        <v>1</v>
      </c>
      <c r="R1258" t="b">
        <v>1</v>
      </c>
      <c r="S1258" t="s">
        <v>2160</v>
      </c>
      <c r="T1258" t="s">
        <v>446</v>
      </c>
      <c r="U1258" t="s">
        <v>1951</v>
      </c>
      <c r="V1258" t="s">
        <v>1093</v>
      </c>
      <c r="W1258" t="s">
        <v>1952</v>
      </c>
      <c r="X1258" t="s">
        <v>2899</v>
      </c>
    </row>
    <row r="1259" spans="1:24" x14ac:dyDescent="0.25">
      <c r="A1259" t="s">
        <v>42</v>
      </c>
      <c r="B1259" t="s">
        <v>2900</v>
      </c>
      <c r="C1259" t="s">
        <v>270</v>
      </c>
      <c r="E1259" t="s">
        <v>986</v>
      </c>
      <c r="F1259">
        <v>7060</v>
      </c>
      <c r="G1259" t="s">
        <v>2879</v>
      </c>
      <c r="H1259" t="s">
        <v>2898</v>
      </c>
      <c r="J1259" t="s">
        <v>1110</v>
      </c>
      <c r="K1259" t="s">
        <v>990</v>
      </c>
      <c r="L1259" t="s">
        <v>446</v>
      </c>
      <c r="Q1259" t="b">
        <v>1</v>
      </c>
      <c r="R1259" t="b">
        <v>1</v>
      </c>
      <c r="S1259" t="s">
        <v>2160</v>
      </c>
      <c r="T1259" t="s">
        <v>446</v>
      </c>
      <c r="U1259" t="s">
        <v>1951</v>
      </c>
      <c r="V1259" t="s">
        <v>1093</v>
      </c>
      <c r="W1259" t="s">
        <v>1952</v>
      </c>
      <c r="X1259" t="s">
        <v>2899</v>
      </c>
    </row>
    <row r="1260" spans="1:24" x14ac:dyDescent="0.25">
      <c r="A1260" t="s">
        <v>42</v>
      </c>
      <c r="B1260" t="s">
        <v>2901</v>
      </c>
      <c r="C1260" t="s">
        <v>270</v>
      </c>
      <c r="E1260" t="s">
        <v>992</v>
      </c>
      <c r="F1260">
        <v>7296</v>
      </c>
      <c r="G1260" t="s">
        <v>2879</v>
      </c>
      <c r="H1260" t="s">
        <v>2898</v>
      </c>
      <c r="J1260" t="s">
        <v>1110</v>
      </c>
      <c r="K1260" t="s">
        <v>996</v>
      </c>
      <c r="L1260" t="s">
        <v>446</v>
      </c>
      <c r="Q1260" t="b">
        <v>1</v>
      </c>
      <c r="R1260" t="b">
        <v>1</v>
      </c>
      <c r="S1260" t="s">
        <v>2160</v>
      </c>
      <c r="T1260" t="s">
        <v>446</v>
      </c>
      <c r="U1260" t="s">
        <v>1951</v>
      </c>
      <c r="V1260" t="s">
        <v>1093</v>
      </c>
      <c r="W1260" t="s">
        <v>1952</v>
      </c>
      <c r="X1260" t="s">
        <v>2899</v>
      </c>
    </row>
    <row r="1261" spans="1:24" x14ac:dyDescent="0.25">
      <c r="A1261" t="s">
        <v>42</v>
      </c>
      <c r="B1261" t="s">
        <v>2902</v>
      </c>
      <c r="C1261" t="s">
        <v>270</v>
      </c>
      <c r="E1261" t="s">
        <v>998</v>
      </c>
      <c r="F1261">
        <v>6215</v>
      </c>
      <c r="G1261" t="s">
        <v>2879</v>
      </c>
      <c r="H1261" t="s">
        <v>2898</v>
      </c>
      <c r="J1261" t="s">
        <v>1110</v>
      </c>
      <c r="K1261" t="s">
        <v>1003</v>
      </c>
      <c r="L1261" t="s">
        <v>446</v>
      </c>
      <c r="Q1261" t="b">
        <v>1</v>
      </c>
      <c r="R1261" t="b">
        <v>1</v>
      </c>
      <c r="S1261" t="s">
        <v>2160</v>
      </c>
      <c r="T1261" t="s">
        <v>446</v>
      </c>
      <c r="U1261" t="s">
        <v>1951</v>
      </c>
      <c r="V1261" t="s">
        <v>1093</v>
      </c>
      <c r="W1261" t="s">
        <v>1952</v>
      </c>
      <c r="X1261" t="s">
        <v>446</v>
      </c>
    </row>
    <row r="1262" spans="1:24" x14ac:dyDescent="0.25">
      <c r="A1262" t="s">
        <v>42</v>
      </c>
      <c r="B1262" t="s">
        <v>2903</v>
      </c>
      <c r="C1262" t="s">
        <v>270</v>
      </c>
      <c r="E1262" t="s">
        <v>982</v>
      </c>
      <c r="F1262">
        <v>27234</v>
      </c>
      <c r="G1262" t="s">
        <v>2879</v>
      </c>
      <c r="H1262" t="s">
        <v>2898</v>
      </c>
      <c r="J1262" t="s">
        <v>1110</v>
      </c>
      <c r="K1262" t="s">
        <v>1003</v>
      </c>
      <c r="L1262" t="s">
        <v>446</v>
      </c>
      <c r="Q1262" t="b">
        <v>1</v>
      </c>
      <c r="R1262" t="b">
        <v>1</v>
      </c>
      <c r="S1262" t="s">
        <v>2160</v>
      </c>
      <c r="T1262" t="s">
        <v>446</v>
      </c>
      <c r="U1262" t="s">
        <v>1951</v>
      </c>
      <c r="V1262" t="s">
        <v>1093</v>
      </c>
      <c r="W1262" t="s">
        <v>1952</v>
      </c>
      <c r="X1262" t="s">
        <v>2899</v>
      </c>
    </row>
    <row r="1263" spans="1:24" x14ac:dyDescent="0.25">
      <c r="A1263" t="s">
        <v>42</v>
      </c>
      <c r="B1263" t="s">
        <v>2904</v>
      </c>
      <c r="C1263" t="s">
        <v>270</v>
      </c>
      <c r="E1263" t="s">
        <v>1006</v>
      </c>
      <c r="F1263">
        <v>7065</v>
      </c>
      <c r="G1263" t="s">
        <v>2879</v>
      </c>
      <c r="H1263" t="s">
        <v>2898</v>
      </c>
      <c r="J1263" t="s">
        <v>1110</v>
      </c>
      <c r="K1263" t="s">
        <v>1967</v>
      </c>
      <c r="L1263" t="s">
        <v>446</v>
      </c>
      <c r="Q1263" t="b">
        <v>1</v>
      </c>
      <c r="R1263" t="b">
        <v>1</v>
      </c>
      <c r="S1263" t="s">
        <v>2160</v>
      </c>
      <c r="T1263" t="s">
        <v>446</v>
      </c>
      <c r="U1263" t="s">
        <v>1951</v>
      </c>
      <c r="V1263" t="s">
        <v>1093</v>
      </c>
      <c r="W1263" t="s">
        <v>1952</v>
      </c>
      <c r="X1263" t="s">
        <v>2899</v>
      </c>
    </row>
    <row r="1264" spans="1:24" x14ac:dyDescent="0.25">
      <c r="A1264" t="s">
        <v>42</v>
      </c>
      <c r="B1264" t="s">
        <v>2905</v>
      </c>
      <c r="C1264" t="s">
        <v>270</v>
      </c>
      <c r="E1264" t="s">
        <v>1013</v>
      </c>
      <c r="F1264">
        <v>7551</v>
      </c>
      <c r="G1264" t="s">
        <v>2879</v>
      </c>
      <c r="H1264" t="s">
        <v>2898</v>
      </c>
      <c r="J1264" t="s">
        <v>1110</v>
      </c>
      <c r="K1264" t="s">
        <v>1016</v>
      </c>
      <c r="L1264" t="s">
        <v>446</v>
      </c>
      <c r="Q1264" t="b">
        <v>1</v>
      </c>
      <c r="R1264" t="b">
        <v>1</v>
      </c>
      <c r="S1264" t="s">
        <v>2160</v>
      </c>
      <c r="T1264" t="s">
        <v>446</v>
      </c>
      <c r="U1264" t="s">
        <v>1951</v>
      </c>
      <c r="V1264" t="s">
        <v>1093</v>
      </c>
      <c r="W1264" t="s">
        <v>1952</v>
      </c>
      <c r="X1264" t="s">
        <v>2899</v>
      </c>
    </row>
    <row r="1265" spans="1:24" x14ac:dyDescent="0.25">
      <c r="A1265" t="s">
        <v>42</v>
      </c>
      <c r="B1265" t="s">
        <v>2906</v>
      </c>
      <c r="C1265" t="s">
        <v>270</v>
      </c>
      <c r="E1265" t="s">
        <v>1018</v>
      </c>
      <c r="F1265">
        <v>7190</v>
      </c>
      <c r="G1265" t="s">
        <v>2879</v>
      </c>
      <c r="H1265" t="s">
        <v>2898</v>
      </c>
      <c r="J1265" t="s">
        <v>1110</v>
      </c>
      <c r="K1265" t="s">
        <v>1021</v>
      </c>
      <c r="L1265" t="s">
        <v>446</v>
      </c>
      <c r="Q1265" t="b">
        <v>1</v>
      </c>
      <c r="R1265" t="b">
        <v>1</v>
      </c>
      <c r="S1265" t="s">
        <v>2160</v>
      </c>
      <c r="T1265" t="s">
        <v>446</v>
      </c>
      <c r="U1265" t="s">
        <v>1951</v>
      </c>
      <c r="V1265" t="s">
        <v>1093</v>
      </c>
      <c r="W1265" t="s">
        <v>1952</v>
      </c>
      <c r="X1265" t="s">
        <v>2899</v>
      </c>
    </row>
    <row r="1266" spans="1:24" x14ac:dyDescent="0.25">
      <c r="A1266" t="s">
        <v>42</v>
      </c>
      <c r="B1266" t="s">
        <v>2907</v>
      </c>
      <c r="C1266" t="s">
        <v>270</v>
      </c>
      <c r="E1266" t="s">
        <v>1023</v>
      </c>
      <c r="F1266">
        <v>6931</v>
      </c>
      <c r="G1266" t="s">
        <v>2879</v>
      </c>
      <c r="H1266" t="s">
        <v>2898</v>
      </c>
      <c r="J1266" t="s">
        <v>1110</v>
      </c>
      <c r="K1266" t="s">
        <v>1026</v>
      </c>
      <c r="L1266" t="s">
        <v>446</v>
      </c>
      <c r="Q1266" t="b">
        <v>1</v>
      </c>
      <c r="R1266" t="b">
        <v>1</v>
      </c>
      <c r="S1266" t="s">
        <v>2160</v>
      </c>
      <c r="T1266" t="s">
        <v>446</v>
      </c>
      <c r="U1266" t="s">
        <v>1951</v>
      </c>
      <c r="V1266" t="s">
        <v>1093</v>
      </c>
      <c r="W1266" t="s">
        <v>1952</v>
      </c>
      <c r="X1266" t="s">
        <v>446</v>
      </c>
    </row>
    <row r="1267" spans="1:24" x14ac:dyDescent="0.25">
      <c r="A1267" t="s">
        <v>42</v>
      </c>
      <c r="B1267" t="s">
        <v>2908</v>
      </c>
      <c r="C1267" t="s">
        <v>270</v>
      </c>
      <c r="E1267" t="s">
        <v>1010</v>
      </c>
      <c r="F1267">
        <v>28737</v>
      </c>
      <c r="G1267" t="s">
        <v>2879</v>
      </c>
      <c r="H1267" t="s">
        <v>2898</v>
      </c>
      <c r="J1267" t="s">
        <v>1110</v>
      </c>
      <c r="K1267" t="s">
        <v>1026</v>
      </c>
      <c r="L1267" t="s">
        <v>446</v>
      </c>
      <c r="Q1267" t="b">
        <v>1</v>
      </c>
      <c r="R1267" t="b">
        <v>1</v>
      </c>
      <c r="S1267" t="s">
        <v>2160</v>
      </c>
      <c r="T1267" t="s">
        <v>446</v>
      </c>
      <c r="U1267" t="s">
        <v>1951</v>
      </c>
      <c r="V1267" t="s">
        <v>1093</v>
      </c>
      <c r="W1267" t="s">
        <v>1952</v>
      </c>
      <c r="X1267" t="s">
        <v>2899</v>
      </c>
    </row>
    <row r="1268" spans="1:24" x14ac:dyDescent="0.25">
      <c r="A1268" t="s">
        <v>42</v>
      </c>
      <c r="B1268" t="s">
        <v>2909</v>
      </c>
      <c r="C1268" t="s">
        <v>270</v>
      </c>
      <c r="E1268" t="s">
        <v>1029</v>
      </c>
      <c r="F1268">
        <v>6966</v>
      </c>
      <c r="G1268" t="s">
        <v>2879</v>
      </c>
      <c r="H1268" t="s">
        <v>2898</v>
      </c>
      <c r="J1268" t="s">
        <v>1110</v>
      </c>
      <c r="K1268" t="s">
        <v>1033</v>
      </c>
      <c r="L1268" t="s">
        <v>446</v>
      </c>
      <c r="Q1268" t="b">
        <v>1</v>
      </c>
      <c r="R1268" t="b">
        <v>1</v>
      </c>
      <c r="S1268" t="s">
        <v>2160</v>
      </c>
      <c r="T1268" t="s">
        <v>446</v>
      </c>
      <c r="U1268" t="s">
        <v>1951</v>
      </c>
      <c r="V1268" t="s">
        <v>1093</v>
      </c>
      <c r="W1268" t="s">
        <v>1952</v>
      </c>
      <c r="X1268" t="s">
        <v>2899</v>
      </c>
    </row>
    <row r="1269" spans="1:24" x14ac:dyDescent="0.25">
      <c r="A1269" t="s">
        <v>42</v>
      </c>
      <c r="B1269" t="s">
        <v>2910</v>
      </c>
      <c r="C1269" t="s">
        <v>270</v>
      </c>
      <c r="E1269" t="s">
        <v>1035</v>
      </c>
      <c r="F1269">
        <v>7821</v>
      </c>
      <c r="G1269" t="s">
        <v>2879</v>
      </c>
      <c r="H1269" t="s">
        <v>2898</v>
      </c>
      <c r="J1269" t="s">
        <v>1110</v>
      </c>
      <c r="K1269" t="s">
        <v>1038</v>
      </c>
      <c r="L1269" t="s">
        <v>446</v>
      </c>
      <c r="Q1269" t="b">
        <v>1</v>
      </c>
      <c r="R1269" t="b">
        <v>1</v>
      </c>
      <c r="S1269" t="s">
        <v>2160</v>
      </c>
      <c r="T1269" t="s">
        <v>446</v>
      </c>
      <c r="U1269" t="s">
        <v>1951</v>
      </c>
      <c r="V1269" t="s">
        <v>1093</v>
      </c>
      <c r="W1269" t="s">
        <v>1952</v>
      </c>
      <c r="X1269" t="s">
        <v>2899</v>
      </c>
    </row>
    <row r="1270" spans="1:24" x14ac:dyDescent="0.25">
      <c r="A1270" t="s">
        <v>42</v>
      </c>
      <c r="B1270" t="s">
        <v>2911</v>
      </c>
      <c r="C1270" t="s">
        <v>270</v>
      </c>
      <c r="E1270" t="s">
        <v>1040</v>
      </c>
      <c r="F1270">
        <v>7658</v>
      </c>
      <c r="G1270" t="s">
        <v>2879</v>
      </c>
      <c r="H1270" t="s">
        <v>2898</v>
      </c>
      <c r="J1270" t="s">
        <v>1110</v>
      </c>
      <c r="K1270" t="s">
        <v>1043</v>
      </c>
      <c r="L1270" t="s">
        <v>446</v>
      </c>
      <c r="Q1270" t="b">
        <v>1</v>
      </c>
      <c r="R1270" t="b">
        <v>1</v>
      </c>
      <c r="S1270" t="s">
        <v>2160</v>
      </c>
      <c r="T1270" t="s">
        <v>446</v>
      </c>
      <c r="U1270" t="s">
        <v>1951</v>
      </c>
      <c r="V1270" t="s">
        <v>1093</v>
      </c>
      <c r="W1270" t="s">
        <v>1952</v>
      </c>
      <c r="X1270" t="s">
        <v>2899</v>
      </c>
    </row>
    <row r="1271" spans="1:24" x14ac:dyDescent="0.25">
      <c r="A1271" t="s">
        <v>42</v>
      </c>
      <c r="B1271" t="s">
        <v>2912</v>
      </c>
      <c r="C1271" t="s">
        <v>270</v>
      </c>
      <c r="E1271" t="s">
        <v>1045</v>
      </c>
      <c r="F1271">
        <v>7099</v>
      </c>
      <c r="G1271" t="s">
        <v>2879</v>
      </c>
      <c r="H1271" t="s">
        <v>2898</v>
      </c>
      <c r="J1271" t="s">
        <v>1110</v>
      </c>
      <c r="K1271" t="s">
        <v>1048</v>
      </c>
      <c r="L1271" t="s">
        <v>446</v>
      </c>
      <c r="Q1271" t="b">
        <v>1</v>
      </c>
      <c r="R1271" t="b">
        <v>1</v>
      </c>
      <c r="S1271" t="s">
        <v>2160</v>
      </c>
      <c r="T1271" t="s">
        <v>446</v>
      </c>
      <c r="U1271" t="s">
        <v>1951</v>
      </c>
      <c r="V1271" t="s">
        <v>1093</v>
      </c>
      <c r="W1271" t="s">
        <v>1952</v>
      </c>
      <c r="X1271" t="s">
        <v>446</v>
      </c>
    </row>
    <row r="1272" spans="1:24" x14ac:dyDescent="0.25">
      <c r="A1272" t="s">
        <v>42</v>
      </c>
      <c r="B1272" t="s">
        <v>2913</v>
      </c>
      <c r="C1272" t="s">
        <v>270</v>
      </c>
      <c r="E1272" t="s">
        <v>1032</v>
      </c>
      <c r="F1272">
        <v>29544</v>
      </c>
      <c r="G1272" t="s">
        <v>2879</v>
      </c>
      <c r="H1272" t="s">
        <v>2898</v>
      </c>
      <c r="J1272" t="s">
        <v>1110</v>
      </c>
      <c r="K1272" t="s">
        <v>1048</v>
      </c>
      <c r="L1272" t="s">
        <v>446</v>
      </c>
      <c r="Q1272" t="b">
        <v>1</v>
      </c>
      <c r="R1272" t="b">
        <v>1</v>
      </c>
      <c r="S1272" t="s">
        <v>2160</v>
      </c>
      <c r="T1272" t="s">
        <v>446</v>
      </c>
      <c r="U1272" t="s">
        <v>1951</v>
      </c>
      <c r="V1272" t="s">
        <v>1093</v>
      </c>
      <c r="W1272" t="s">
        <v>1952</v>
      </c>
      <c r="X1272" t="s">
        <v>2899</v>
      </c>
    </row>
    <row r="1273" spans="1:24" x14ac:dyDescent="0.25">
      <c r="A1273" t="s">
        <v>42</v>
      </c>
      <c r="B1273" t="s">
        <v>2914</v>
      </c>
      <c r="C1273" t="s">
        <v>270</v>
      </c>
      <c r="E1273" t="s">
        <v>1051</v>
      </c>
      <c r="F1273">
        <v>7852</v>
      </c>
      <c r="G1273" t="s">
        <v>2879</v>
      </c>
      <c r="H1273" t="s">
        <v>2898</v>
      </c>
      <c r="J1273" t="s">
        <v>1110</v>
      </c>
      <c r="K1273" t="s">
        <v>1055</v>
      </c>
      <c r="L1273" t="s">
        <v>446</v>
      </c>
      <c r="Q1273" t="b">
        <v>1</v>
      </c>
      <c r="R1273" t="b">
        <v>1</v>
      </c>
      <c r="S1273" t="s">
        <v>2160</v>
      </c>
      <c r="T1273" t="s">
        <v>446</v>
      </c>
      <c r="U1273" t="s">
        <v>1951</v>
      </c>
      <c r="V1273" t="s">
        <v>1093</v>
      </c>
      <c r="W1273" t="s">
        <v>1952</v>
      </c>
      <c r="X1273" t="s">
        <v>2899</v>
      </c>
    </row>
    <row r="1274" spans="1:24" x14ac:dyDescent="0.25">
      <c r="A1274" t="s">
        <v>42</v>
      </c>
      <c r="B1274" t="s">
        <v>2915</v>
      </c>
      <c r="C1274" t="s">
        <v>275</v>
      </c>
      <c r="E1274" t="s">
        <v>978</v>
      </c>
      <c r="F1274">
        <v>3367</v>
      </c>
      <c r="G1274" t="s">
        <v>2879</v>
      </c>
      <c r="H1274" t="s">
        <v>2916</v>
      </c>
      <c r="J1274" t="s">
        <v>1110</v>
      </c>
      <c r="K1274" t="s">
        <v>984</v>
      </c>
      <c r="L1274" t="s">
        <v>446</v>
      </c>
      <c r="Q1274" t="b">
        <v>1</v>
      </c>
      <c r="R1274" t="b">
        <v>1</v>
      </c>
      <c r="S1274" t="s">
        <v>2160</v>
      </c>
      <c r="T1274" t="s">
        <v>446</v>
      </c>
      <c r="U1274" t="s">
        <v>1951</v>
      </c>
      <c r="V1274" t="s">
        <v>1093</v>
      </c>
      <c r="W1274" t="s">
        <v>1952</v>
      </c>
      <c r="X1274" t="s">
        <v>2917</v>
      </c>
    </row>
    <row r="1275" spans="1:24" x14ac:dyDescent="0.25">
      <c r="A1275" t="s">
        <v>42</v>
      </c>
      <c r="B1275" t="s">
        <v>2918</v>
      </c>
      <c r="C1275" t="s">
        <v>275</v>
      </c>
      <c r="E1275" t="s">
        <v>986</v>
      </c>
      <c r="F1275">
        <v>2401</v>
      </c>
      <c r="G1275" t="s">
        <v>2879</v>
      </c>
      <c r="H1275" t="s">
        <v>2916</v>
      </c>
      <c r="J1275" t="s">
        <v>1110</v>
      </c>
      <c r="K1275" t="s">
        <v>990</v>
      </c>
      <c r="L1275" t="s">
        <v>446</v>
      </c>
      <c r="Q1275" t="b">
        <v>1</v>
      </c>
      <c r="R1275" t="b">
        <v>1</v>
      </c>
      <c r="S1275" t="s">
        <v>2160</v>
      </c>
      <c r="T1275" t="s">
        <v>446</v>
      </c>
      <c r="U1275" t="s">
        <v>1951</v>
      </c>
      <c r="V1275" t="s">
        <v>1093</v>
      </c>
      <c r="W1275" t="s">
        <v>1952</v>
      </c>
      <c r="X1275" t="s">
        <v>2917</v>
      </c>
    </row>
    <row r="1276" spans="1:24" x14ac:dyDescent="0.25">
      <c r="A1276" t="s">
        <v>42</v>
      </c>
      <c r="B1276" t="s">
        <v>2919</v>
      </c>
      <c r="C1276" t="s">
        <v>275</v>
      </c>
      <c r="E1276" t="s">
        <v>992</v>
      </c>
      <c r="F1276">
        <v>3270</v>
      </c>
      <c r="G1276" t="s">
        <v>2879</v>
      </c>
      <c r="H1276" t="s">
        <v>2916</v>
      </c>
      <c r="J1276" t="s">
        <v>1110</v>
      </c>
      <c r="K1276" t="s">
        <v>996</v>
      </c>
      <c r="L1276" t="s">
        <v>446</v>
      </c>
      <c r="Q1276" t="b">
        <v>1</v>
      </c>
      <c r="R1276" t="b">
        <v>1</v>
      </c>
      <c r="S1276" t="s">
        <v>2160</v>
      </c>
      <c r="T1276" t="s">
        <v>446</v>
      </c>
      <c r="U1276" t="s">
        <v>1951</v>
      </c>
      <c r="V1276" t="s">
        <v>1093</v>
      </c>
      <c r="W1276" t="s">
        <v>1952</v>
      </c>
      <c r="X1276" t="s">
        <v>2917</v>
      </c>
    </row>
    <row r="1277" spans="1:24" x14ac:dyDescent="0.25">
      <c r="A1277" t="s">
        <v>42</v>
      </c>
      <c r="B1277" t="s">
        <v>2920</v>
      </c>
      <c r="C1277" t="s">
        <v>275</v>
      </c>
      <c r="E1277" t="s">
        <v>998</v>
      </c>
      <c r="F1277">
        <v>2273</v>
      </c>
      <c r="G1277" t="s">
        <v>2879</v>
      </c>
      <c r="H1277" t="s">
        <v>2916</v>
      </c>
      <c r="J1277" t="s">
        <v>1110</v>
      </c>
      <c r="K1277" t="s">
        <v>1003</v>
      </c>
      <c r="L1277" t="s">
        <v>446</v>
      </c>
      <c r="Q1277" t="b">
        <v>1</v>
      </c>
      <c r="R1277" t="b">
        <v>1</v>
      </c>
      <c r="S1277" t="s">
        <v>2160</v>
      </c>
      <c r="T1277" t="s">
        <v>446</v>
      </c>
      <c r="U1277" t="s">
        <v>1951</v>
      </c>
      <c r="V1277" t="s">
        <v>1093</v>
      </c>
      <c r="W1277" t="s">
        <v>1952</v>
      </c>
      <c r="X1277" t="s">
        <v>446</v>
      </c>
    </row>
    <row r="1278" spans="1:24" x14ac:dyDescent="0.25">
      <c r="A1278" t="s">
        <v>42</v>
      </c>
      <c r="B1278" t="s">
        <v>2921</v>
      </c>
      <c r="C1278" t="s">
        <v>275</v>
      </c>
      <c r="E1278" t="s">
        <v>982</v>
      </c>
      <c r="F1278">
        <v>11311</v>
      </c>
      <c r="G1278" t="s">
        <v>2879</v>
      </c>
      <c r="H1278" t="s">
        <v>2916</v>
      </c>
      <c r="J1278" t="s">
        <v>1110</v>
      </c>
      <c r="K1278" t="s">
        <v>1003</v>
      </c>
      <c r="L1278" t="s">
        <v>446</v>
      </c>
      <c r="Q1278" t="b">
        <v>1</v>
      </c>
      <c r="R1278" t="b">
        <v>1</v>
      </c>
      <c r="S1278" t="s">
        <v>2160</v>
      </c>
      <c r="T1278" t="s">
        <v>446</v>
      </c>
      <c r="U1278" t="s">
        <v>1951</v>
      </c>
      <c r="V1278" t="s">
        <v>1093</v>
      </c>
      <c r="W1278" t="s">
        <v>1952</v>
      </c>
      <c r="X1278" t="s">
        <v>2917</v>
      </c>
    </row>
    <row r="1279" spans="1:24" x14ac:dyDescent="0.25">
      <c r="A1279" t="s">
        <v>42</v>
      </c>
      <c r="B1279" t="s">
        <v>2922</v>
      </c>
      <c r="C1279" t="s">
        <v>275</v>
      </c>
      <c r="E1279" t="s">
        <v>1006</v>
      </c>
      <c r="F1279">
        <v>2141</v>
      </c>
      <c r="G1279" t="s">
        <v>2879</v>
      </c>
      <c r="H1279" t="s">
        <v>2916</v>
      </c>
      <c r="J1279" t="s">
        <v>1110</v>
      </c>
      <c r="K1279" t="s">
        <v>1967</v>
      </c>
      <c r="L1279" t="s">
        <v>446</v>
      </c>
      <c r="Q1279" t="b">
        <v>1</v>
      </c>
      <c r="R1279" t="b">
        <v>1</v>
      </c>
      <c r="S1279" t="s">
        <v>2160</v>
      </c>
      <c r="T1279" t="s">
        <v>446</v>
      </c>
      <c r="U1279" t="s">
        <v>1951</v>
      </c>
      <c r="V1279" t="s">
        <v>1093</v>
      </c>
      <c r="W1279" t="s">
        <v>1952</v>
      </c>
      <c r="X1279" t="s">
        <v>2917</v>
      </c>
    </row>
    <row r="1280" spans="1:24" x14ac:dyDescent="0.25">
      <c r="A1280" t="s">
        <v>42</v>
      </c>
      <c r="B1280" t="s">
        <v>2923</v>
      </c>
      <c r="C1280" t="s">
        <v>275</v>
      </c>
      <c r="E1280" t="s">
        <v>1013</v>
      </c>
      <c r="F1280">
        <v>2632</v>
      </c>
      <c r="G1280" t="s">
        <v>2879</v>
      </c>
      <c r="H1280" t="s">
        <v>2916</v>
      </c>
      <c r="J1280" t="s">
        <v>1110</v>
      </c>
      <c r="K1280" t="s">
        <v>1016</v>
      </c>
      <c r="L1280" t="s">
        <v>446</v>
      </c>
      <c r="Q1280" t="b">
        <v>1</v>
      </c>
      <c r="R1280" t="b">
        <v>1</v>
      </c>
      <c r="S1280" t="s">
        <v>2160</v>
      </c>
      <c r="T1280" t="s">
        <v>446</v>
      </c>
      <c r="U1280" t="s">
        <v>1951</v>
      </c>
      <c r="V1280" t="s">
        <v>1093</v>
      </c>
      <c r="W1280" t="s">
        <v>1952</v>
      </c>
      <c r="X1280" t="s">
        <v>2917</v>
      </c>
    </row>
    <row r="1281" spans="1:24" x14ac:dyDescent="0.25">
      <c r="A1281" t="s">
        <v>42</v>
      </c>
      <c r="B1281" t="s">
        <v>2924</v>
      </c>
      <c r="C1281" t="s">
        <v>275</v>
      </c>
      <c r="E1281" t="s">
        <v>1018</v>
      </c>
      <c r="F1281">
        <v>2510</v>
      </c>
      <c r="G1281" t="s">
        <v>2879</v>
      </c>
      <c r="H1281" t="s">
        <v>2916</v>
      </c>
      <c r="J1281" t="s">
        <v>1110</v>
      </c>
      <c r="K1281" t="s">
        <v>1021</v>
      </c>
      <c r="L1281" t="s">
        <v>446</v>
      </c>
      <c r="Q1281" t="b">
        <v>1</v>
      </c>
      <c r="R1281" t="b">
        <v>1</v>
      </c>
      <c r="S1281" t="s">
        <v>2160</v>
      </c>
      <c r="T1281" t="s">
        <v>446</v>
      </c>
      <c r="U1281" t="s">
        <v>1951</v>
      </c>
      <c r="V1281" t="s">
        <v>1093</v>
      </c>
      <c r="W1281" t="s">
        <v>1952</v>
      </c>
      <c r="X1281" t="s">
        <v>2917</v>
      </c>
    </row>
    <row r="1282" spans="1:24" x14ac:dyDescent="0.25">
      <c r="A1282" t="s">
        <v>42</v>
      </c>
      <c r="B1282" t="s">
        <v>2925</v>
      </c>
      <c r="C1282" t="s">
        <v>275</v>
      </c>
      <c r="E1282" t="s">
        <v>1023</v>
      </c>
      <c r="F1282">
        <v>2709</v>
      </c>
      <c r="G1282" t="s">
        <v>2879</v>
      </c>
      <c r="H1282" t="s">
        <v>2916</v>
      </c>
      <c r="J1282" t="s">
        <v>1110</v>
      </c>
      <c r="K1282" t="s">
        <v>1026</v>
      </c>
      <c r="L1282" t="s">
        <v>446</v>
      </c>
      <c r="Q1282" t="b">
        <v>1</v>
      </c>
      <c r="R1282" t="b">
        <v>1</v>
      </c>
      <c r="S1282" t="s">
        <v>2160</v>
      </c>
      <c r="T1282" t="s">
        <v>446</v>
      </c>
      <c r="U1282" t="s">
        <v>1951</v>
      </c>
      <c r="V1282" t="s">
        <v>1093</v>
      </c>
      <c r="W1282" t="s">
        <v>1952</v>
      </c>
      <c r="X1282" t="s">
        <v>446</v>
      </c>
    </row>
    <row r="1283" spans="1:24" x14ac:dyDescent="0.25">
      <c r="A1283" t="s">
        <v>42</v>
      </c>
      <c r="B1283" t="s">
        <v>2926</v>
      </c>
      <c r="C1283" t="s">
        <v>275</v>
      </c>
      <c r="E1283" t="s">
        <v>1010</v>
      </c>
      <c r="F1283">
        <v>9992</v>
      </c>
      <c r="G1283" t="s">
        <v>2879</v>
      </c>
      <c r="H1283" t="s">
        <v>2916</v>
      </c>
      <c r="J1283" t="s">
        <v>1110</v>
      </c>
      <c r="K1283" t="s">
        <v>1026</v>
      </c>
      <c r="L1283" t="s">
        <v>446</v>
      </c>
      <c r="Q1283" t="b">
        <v>1</v>
      </c>
      <c r="R1283" t="b">
        <v>1</v>
      </c>
      <c r="S1283" t="s">
        <v>2160</v>
      </c>
      <c r="T1283" t="s">
        <v>446</v>
      </c>
      <c r="U1283" t="s">
        <v>1951</v>
      </c>
      <c r="V1283" t="s">
        <v>1093</v>
      </c>
      <c r="W1283" t="s">
        <v>1952</v>
      </c>
      <c r="X1283" t="s">
        <v>2917</v>
      </c>
    </row>
    <row r="1284" spans="1:24" x14ac:dyDescent="0.25">
      <c r="A1284" t="s">
        <v>42</v>
      </c>
      <c r="B1284" t="s">
        <v>2927</v>
      </c>
      <c r="C1284" t="s">
        <v>275</v>
      </c>
      <c r="E1284" t="s">
        <v>1029</v>
      </c>
      <c r="F1284">
        <v>3659</v>
      </c>
      <c r="G1284" t="s">
        <v>2879</v>
      </c>
      <c r="H1284" t="s">
        <v>2916</v>
      </c>
      <c r="J1284" t="s">
        <v>1110</v>
      </c>
      <c r="K1284" t="s">
        <v>1033</v>
      </c>
      <c r="L1284" t="s">
        <v>446</v>
      </c>
      <c r="Q1284" t="b">
        <v>1</v>
      </c>
      <c r="R1284" t="b">
        <v>1</v>
      </c>
      <c r="S1284" t="s">
        <v>2160</v>
      </c>
      <c r="T1284" t="s">
        <v>446</v>
      </c>
      <c r="U1284" t="s">
        <v>1951</v>
      </c>
      <c r="V1284" t="s">
        <v>1093</v>
      </c>
      <c r="W1284" t="s">
        <v>1952</v>
      </c>
      <c r="X1284" t="s">
        <v>2917</v>
      </c>
    </row>
    <row r="1285" spans="1:24" x14ac:dyDescent="0.25">
      <c r="A1285" t="s">
        <v>42</v>
      </c>
      <c r="B1285" t="s">
        <v>2928</v>
      </c>
      <c r="C1285" t="s">
        <v>275</v>
      </c>
      <c r="E1285" t="s">
        <v>1035</v>
      </c>
      <c r="F1285">
        <v>4280</v>
      </c>
      <c r="G1285" t="s">
        <v>2879</v>
      </c>
      <c r="H1285" t="s">
        <v>2916</v>
      </c>
      <c r="J1285" t="s">
        <v>1110</v>
      </c>
      <c r="K1285" t="s">
        <v>1038</v>
      </c>
      <c r="L1285" t="s">
        <v>446</v>
      </c>
      <c r="Q1285" t="b">
        <v>1</v>
      </c>
      <c r="R1285" t="b">
        <v>1</v>
      </c>
      <c r="S1285" t="s">
        <v>2160</v>
      </c>
      <c r="T1285" t="s">
        <v>446</v>
      </c>
      <c r="U1285" t="s">
        <v>1951</v>
      </c>
      <c r="V1285" t="s">
        <v>1093</v>
      </c>
      <c r="W1285" t="s">
        <v>1952</v>
      </c>
      <c r="X1285" t="s">
        <v>2917</v>
      </c>
    </row>
    <row r="1286" spans="1:24" x14ac:dyDescent="0.25">
      <c r="A1286" t="s">
        <v>42</v>
      </c>
      <c r="B1286" t="s">
        <v>2929</v>
      </c>
      <c r="C1286" t="s">
        <v>275</v>
      </c>
      <c r="E1286" t="s">
        <v>1040</v>
      </c>
      <c r="F1286">
        <v>3982</v>
      </c>
      <c r="G1286" t="s">
        <v>2879</v>
      </c>
      <c r="H1286" t="s">
        <v>2916</v>
      </c>
      <c r="J1286" t="s">
        <v>1110</v>
      </c>
      <c r="K1286" t="s">
        <v>1043</v>
      </c>
      <c r="L1286" t="s">
        <v>446</v>
      </c>
      <c r="Q1286" t="b">
        <v>1</v>
      </c>
      <c r="R1286" t="b">
        <v>1</v>
      </c>
      <c r="S1286" t="s">
        <v>2160</v>
      </c>
      <c r="T1286" t="s">
        <v>446</v>
      </c>
      <c r="U1286" t="s">
        <v>1951</v>
      </c>
      <c r="V1286" t="s">
        <v>1093</v>
      </c>
      <c r="W1286" t="s">
        <v>1952</v>
      </c>
      <c r="X1286" t="s">
        <v>2917</v>
      </c>
    </row>
    <row r="1287" spans="1:24" x14ac:dyDescent="0.25">
      <c r="A1287" t="s">
        <v>42</v>
      </c>
      <c r="B1287" t="s">
        <v>2930</v>
      </c>
      <c r="C1287" t="s">
        <v>275</v>
      </c>
      <c r="E1287" t="s">
        <v>1045</v>
      </c>
      <c r="F1287">
        <v>1841</v>
      </c>
      <c r="G1287" t="s">
        <v>2879</v>
      </c>
      <c r="H1287" t="s">
        <v>2916</v>
      </c>
      <c r="J1287" t="s">
        <v>1110</v>
      </c>
      <c r="K1287" t="s">
        <v>1048</v>
      </c>
      <c r="L1287" t="s">
        <v>446</v>
      </c>
      <c r="Q1287" t="b">
        <v>1</v>
      </c>
      <c r="R1287" t="b">
        <v>1</v>
      </c>
      <c r="S1287" t="s">
        <v>2160</v>
      </c>
      <c r="T1287" t="s">
        <v>446</v>
      </c>
      <c r="U1287" t="s">
        <v>1951</v>
      </c>
      <c r="V1287" t="s">
        <v>1093</v>
      </c>
      <c r="W1287" t="s">
        <v>1952</v>
      </c>
      <c r="X1287" t="s">
        <v>446</v>
      </c>
    </row>
    <row r="1288" spans="1:24" x14ac:dyDescent="0.25">
      <c r="A1288" t="s">
        <v>42</v>
      </c>
      <c r="B1288" t="s">
        <v>2931</v>
      </c>
      <c r="C1288" t="s">
        <v>275</v>
      </c>
      <c r="E1288" t="s">
        <v>1032</v>
      </c>
      <c r="F1288">
        <v>13762</v>
      </c>
      <c r="G1288" t="s">
        <v>2879</v>
      </c>
      <c r="H1288" t="s">
        <v>2916</v>
      </c>
      <c r="J1288" t="s">
        <v>1110</v>
      </c>
      <c r="K1288" t="s">
        <v>1048</v>
      </c>
      <c r="L1288" t="s">
        <v>446</v>
      </c>
      <c r="Q1288" t="b">
        <v>1</v>
      </c>
      <c r="R1288" t="b">
        <v>1</v>
      </c>
      <c r="S1288" t="s">
        <v>2160</v>
      </c>
      <c r="T1288" t="s">
        <v>446</v>
      </c>
      <c r="U1288" t="s">
        <v>1951</v>
      </c>
      <c r="V1288" t="s">
        <v>1093</v>
      </c>
      <c r="W1288" t="s">
        <v>1952</v>
      </c>
      <c r="X1288" t="s">
        <v>2917</v>
      </c>
    </row>
    <row r="1289" spans="1:24" x14ac:dyDescent="0.25">
      <c r="A1289" t="s">
        <v>42</v>
      </c>
      <c r="B1289" t="s">
        <v>2932</v>
      </c>
      <c r="C1289" t="s">
        <v>275</v>
      </c>
      <c r="E1289" t="s">
        <v>1051</v>
      </c>
      <c r="F1289">
        <v>4359</v>
      </c>
      <c r="G1289" t="s">
        <v>2879</v>
      </c>
      <c r="H1289" t="s">
        <v>2916</v>
      </c>
      <c r="J1289" t="s">
        <v>1110</v>
      </c>
      <c r="K1289" t="s">
        <v>1055</v>
      </c>
      <c r="L1289" t="s">
        <v>446</v>
      </c>
      <c r="Q1289" t="b">
        <v>1</v>
      </c>
      <c r="R1289" t="b">
        <v>1</v>
      </c>
      <c r="S1289" t="s">
        <v>2160</v>
      </c>
      <c r="T1289" t="s">
        <v>446</v>
      </c>
      <c r="U1289" t="s">
        <v>1951</v>
      </c>
      <c r="V1289" t="s">
        <v>1093</v>
      </c>
      <c r="W1289" t="s">
        <v>1952</v>
      </c>
      <c r="X1289" t="s">
        <v>2917</v>
      </c>
    </row>
    <row r="1290" spans="1:24" x14ac:dyDescent="0.25">
      <c r="A1290" t="s">
        <v>42</v>
      </c>
      <c r="B1290" t="s">
        <v>2933</v>
      </c>
      <c r="C1290" t="s">
        <v>280</v>
      </c>
      <c r="E1290" t="s">
        <v>978</v>
      </c>
      <c r="F1290">
        <v>4053</v>
      </c>
      <c r="G1290" t="s">
        <v>2879</v>
      </c>
      <c r="H1290" t="s">
        <v>2934</v>
      </c>
      <c r="J1290" t="s">
        <v>1110</v>
      </c>
      <c r="K1290" t="s">
        <v>984</v>
      </c>
      <c r="L1290" t="s">
        <v>446</v>
      </c>
      <c r="Q1290" t="b">
        <v>1</v>
      </c>
      <c r="R1290" t="b">
        <v>1</v>
      </c>
      <c r="S1290" t="s">
        <v>2160</v>
      </c>
      <c r="T1290" t="s">
        <v>446</v>
      </c>
      <c r="U1290" t="s">
        <v>1951</v>
      </c>
      <c r="V1290" t="s">
        <v>1093</v>
      </c>
      <c r="W1290" t="s">
        <v>1952</v>
      </c>
      <c r="X1290" t="s">
        <v>2935</v>
      </c>
    </row>
    <row r="1291" spans="1:24" x14ac:dyDescent="0.25">
      <c r="A1291" t="s">
        <v>42</v>
      </c>
      <c r="B1291" t="s">
        <v>2936</v>
      </c>
      <c r="C1291" t="s">
        <v>280</v>
      </c>
      <c r="E1291" t="s">
        <v>986</v>
      </c>
      <c r="F1291">
        <v>2880</v>
      </c>
      <c r="G1291" t="s">
        <v>2879</v>
      </c>
      <c r="H1291" t="s">
        <v>2934</v>
      </c>
      <c r="J1291" t="s">
        <v>1110</v>
      </c>
      <c r="K1291" t="s">
        <v>990</v>
      </c>
      <c r="L1291" t="s">
        <v>446</v>
      </c>
      <c r="Q1291" t="b">
        <v>1</v>
      </c>
      <c r="R1291" t="b">
        <v>1</v>
      </c>
      <c r="S1291" t="s">
        <v>2160</v>
      </c>
      <c r="T1291" t="s">
        <v>446</v>
      </c>
      <c r="U1291" t="s">
        <v>1951</v>
      </c>
      <c r="V1291" t="s">
        <v>1093</v>
      </c>
      <c r="W1291" t="s">
        <v>1952</v>
      </c>
      <c r="X1291" t="s">
        <v>2935</v>
      </c>
    </row>
    <row r="1292" spans="1:24" x14ac:dyDescent="0.25">
      <c r="A1292" t="s">
        <v>42</v>
      </c>
      <c r="B1292" t="s">
        <v>2937</v>
      </c>
      <c r="C1292" t="s">
        <v>280</v>
      </c>
      <c r="E1292" t="s">
        <v>992</v>
      </c>
      <c r="F1292">
        <v>3537</v>
      </c>
      <c r="G1292" t="s">
        <v>2879</v>
      </c>
      <c r="H1292" t="s">
        <v>2934</v>
      </c>
      <c r="J1292" t="s">
        <v>1110</v>
      </c>
      <c r="K1292" t="s">
        <v>996</v>
      </c>
      <c r="L1292" t="s">
        <v>446</v>
      </c>
      <c r="Q1292" t="b">
        <v>1</v>
      </c>
      <c r="R1292" t="b">
        <v>1</v>
      </c>
      <c r="S1292" t="s">
        <v>2160</v>
      </c>
      <c r="T1292" t="s">
        <v>446</v>
      </c>
      <c r="U1292" t="s">
        <v>1951</v>
      </c>
      <c r="V1292" t="s">
        <v>1093</v>
      </c>
      <c r="W1292" t="s">
        <v>1952</v>
      </c>
      <c r="X1292" t="s">
        <v>2935</v>
      </c>
    </row>
    <row r="1293" spans="1:24" x14ac:dyDescent="0.25">
      <c r="A1293" t="s">
        <v>42</v>
      </c>
      <c r="B1293" t="s">
        <v>2938</v>
      </c>
      <c r="C1293" t="s">
        <v>280</v>
      </c>
      <c r="E1293" t="s">
        <v>998</v>
      </c>
      <c r="F1293">
        <v>2482</v>
      </c>
      <c r="G1293" t="s">
        <v>2879</v>
      </c>
      <c r="H1293" t="s">
        <v>2934</v>
      </c>
      <c r="J1293" t="s">
        <v>1110</v>
      </c>
      <c r="K1293" t="s">
        <v>1003</v>
      </c>
      <c r="L1293" t="s">
        <v>446</v>
      </c>
      <c r="Q1293" t="b">
        <v>1</v>
      </c>
      <c r="R1293" t="b">
        <v>1</v>
      </c>
      <c r="S1293" t="s">
        <v>2160</v>
      </c>
      <c r="T1293" t="s">
        <v>446</v>
      </c>
      <c r="U1293" t="s">
        <v>1951</v>
      </c>
      <c r="V1293" t="s">
        <v>1093</v>
      </c>
      <c r="W1293" t="s">
        <v>1952</v>
      </c>
      <c r="X1293" t="s">
        <v>446</v>
      </c>
    </row>
    <row r="1294" spans="1:24" x14ac:dyDescent="0.25">
      <c r="A1294" t="s">
        <v>42</v>
      </c>
      <c r="B1294" t="s">
        <v>2939</v>
      </c>
      <c r="C1294" t="s">
        <v>280</v>
      </c>
      <c r="E1294" t="s">
        <v>982</v>
      </c>
      <c r="F1294">
        <v>12952</v>
      </c>
      <c r="G1294" t="s">
        <v>2879</v>
      </c>
      <c r="H1294" t="s">
        <v>2934</v>
      </c>
      <c r="J1294" t="s">
        <v>1110</v>
      </c>
      <c r="K1294" t="s">
        <v>1003</v>
      </c>
      <c r="L1294" t="s">
        <v>446</v>
      </c>
      <c r="Q1294" t="b">
        <v>1</v>
      </c>
      <c r="R1294" t="b">
        <v>1</v>
      </c>
      <c r="S1294" t="s">
        <v>2160</v>
      </c>
      <c r="T1294" t="s">
        <v>446</v>
      </c>
      <c r="U1294" t="s">
        <v>1951</v>
      </c>
      <c r="V1294" t="s">
        <v>1093</v>
      </c>
      <c r="W1294" t="s">
        <v>1952</v>
      </c>
      <c r="X1294" t="s">
        <v>2935</v>
      </c>
    </row>
    <row r="1295" spans="1:24" x14ac:dyDescent="0.25">
      <c r="A1295" t="s">
        <v>42</v>
      </c>
      <c r="B1295" t="s">
        <v>2940</v>
      </c>
      <c r="C1295" t="s">
        <v>280</v>
      </c>
      <c r="E1295" t="s">
        <v>1006</v>
      </c>
      <c r="F1295">
        <v>3872</v>
      </c>
      <c r="G1295" t="s">
        <v>2879</v>
      </c>
      <c r="H1295" t="s">
        <v>2934</v>
      </c>
      <c r="J1295" t="s">
        <v>1110</v>
      </c>
      <c r="K1295" t="s">
        <v>1967</v>
      </c>
      <c r="L1295" t="s">
        <v>446</v>
      </c>
      <c r="Q1295" t="b">
        <v>1</v>
      </c>
      <c r="R1295" t="b">
        <v>1</v>
      </c>
      <c r="S1295" t="s">
        <v>2160</v>
      </c>
      <c r="T1295" t="s">
        <v>446</v>
      </c>
      <c r="U1295" t="s">
        <v>1951</v>
      </c>
      <c r="V1295" t="s">
        <v>1093</v>
      </c>
      <c r="W1295" t="s">
        <v>1952</v>
      </c>
      <c r="X1295" t="s">
        <v>2935</v>
      </c>
    </row>
    <row r="1296" spans="1:24" x14ac:dyDescent="0.25">
      <c r="A1296" t="s">
        <v>42</v>
      </c>
      <c r="B1296" t="s">
        <v>2941</v>
      </c>
      <c r="C1296" t="s">
        <v>280</v>
      </c>
      <c r="E1296" t="s">
        <v>1013</v>
      </c>
      <c r="F1296">
        <v>3028</v>
      </c>
      <c r="G1296" t="s">
        <v>2879</v>
      </c>
      <c r="H1296" t="s">
        <v>2934</v>
      </c>
      <c r="J1296" t="s">
        <v>1110</v>
      </c>
      <c r="K1296" t="s">
        <v>1016</v>
      </c>
      <c r="L1296" t="s">
        <v>446</v>
      </c>
      <c r="Q1296" t="b">
        <v>1</v>
      </c>
      <c r="R1296" t="b">
        <v>1</v>
      </c>
      <c r="S1296" t="s">
        <v>2160</v>
      </c>
      <c r="T1296" t="s">
        <v>446</v>
      </c>
      <c r="U1296" t="s">
        <v>1951</v>
      </c>
      <c r="V1296" t="s">
        <v>1093</v>
      </c>
      <c r="W1296" t="s">
        <v>1952</v>
      </c>
      <c r="X1296" t="s">
        <v>2935</v>
      </c>
    </row>
    <row r="1297" spans="1:24" x14ac:dyDescent="0.25">
      <c r="A1297" t="s">
        <v>42</v>
      </c>
      <c r="B1297" t="s">
        <v>2942</v>
      </c>
      <c r="C1297" t="s">
        <v>280</v>
      </c>
      <c r="E1297" t="s">
        <v>1018</v>
      </c>
      <c r="F1297">
        <v>3380</v>
      </c>
      <c r="G1297" t="s">
        <v>2879</v>
      </c>
      <c r="H1297" t="s">
        <v>2934</v>
      </c>
      <c r="J1297" t="s">
        <v>1110</v>
      </c>
      <c r="K1297" t="s">
        <v>1021</v>
      </c>
      <c r="L1297" t="s">
        <v>446</v>
      </c>
      <c r="Q1297" t="b">
        <v>1</v>
      </c>
      <c r="R1297" t="b">
        <v>1</v>
      </c>
      <c r="S1297" t="s">
        <v>2160</v>
      </c>
      <c r="T1297" t="s">
        <v>446</v>
      </c>
      <c r="U1297" t="s">
        <v>1951</v>
      </c>
      <c r="V1297" t="s">
        <v>1093</v>
      </c>
      <c r="W1297" t="s">
        <v>1952</v>
      </c>
      <c r="X1297" t="s">
        <v>2935</v>
      </c>
    </row>
    <row r="1298" spans="1:24" x14ac:dyDescent="0.25">
      <c r="A1298" t="s">
        <v>42</v>
      </c>
      <c r="B1298" t="s">
        <v>2943</v>
      </c>
      <c r="C1298" t="s">
        <v>280</v>
      </c>
      <c r="E1298" t="s">
        <v>1023</v>
      </c>
      <c r="F1298">
        <v>2806</v>
      </c>
      <c r="G1298" t="s">
        <v>2879</v>
      </c>
      <c r="H1298" t="s">
        <v>2934</v>
      </c>
      <c r="J1298" t="s">
        <v>1110</v>
      </c>
      <c r="K1298" t="s">
        <v>1026</v>
      </c>
      <c r="L1298" t="s">
        <v>446</v>
      </c>
      <c r="Q1298" t="b">
        <v>1</v>
      </c>
      <c r="R1298" t="b">
        <v>1</v>
      </c>
      <c r="S1298" t="s">
        <v>2160</v>
      </c>
      <c r="T1298" t="s">
        <v>446</v>
      </c>
      <c r="U1298" t="s">
        <v>1951</v>
      </c>
      <c r="V1298" t="s">
        <v>1093</v>
      </c>
      <c r="W1298" t="s">
        <v>1952</v>
      </c>
      <c r="X1298" t="s">
        <v>446</v>
      </c>
    </row>
    <row r="1299" spans="1:24" x14ac:dyDescent="0.25">
      <c r="A1299" t="s">
        <v>42</v>
      </c>
      <c r="B1299" t="s">
        <v>2944</v>
      </c>
      <c r="C1299" t="s">
        <v>280</v>
      </c>
      <c r="E1299" t="s">
        <v>1010</v>
      </c>
      <c r="F1299">
        <v>13086</v>
      </c>
      <c r="G1299" t="s">
        <v>2879</v>
      </c>
      <c r="H1299" t="s">
        <v>2934</v>
      </c>
      <c r="J1299" t="s">
        <v>1110</v>
      </c>
      <c r="K1299" t="s">
        <v>1026</v>
      </c>
      <c r="L1299" t="s">
        <v>446</v>
      </c>
      <c r="Q1299" t="b">
        <v>1</v>
      </c>
      <c r="R1299" t="b">
        <v>1</v>
      </c>
      <c r="S1299" t="s">
        <v>2160</v>
      </c>
      <c r="T1299" t="s">
        <v>446</v>
      </c>
      <c r="U1299" t="s">
        <v>1951</v>
      </c>
      <c r="V1299" t="s">
        <v>1093</v>
      </c>
      <c r="W1299" t="s">
        <v>1952</v>
      </c>
      <c r="X1299" t="s">
        <v>2935</v>
      </c>
    </row>
    <row r="1300" spans="1:24" x14ac:dyDescent="0.25">
      <c r="A1300" t="s">
        <v>42</v>
      </c>
      <c r="B1300" t="s">
        <v>2945</v>
      </c>
      <c r="C1300" t="s">
        <v>280</v>
      </c>
      <c r="E1300" t="s">
        <v>1029</v>
      </c>
      <c r="F1300">
        <v>4057</v>
      </c>
      <c r="G1300" t="s">
        <v>2879</v>
      </c>
      <c r="H1300" t="s">
        <v>2934</v>
      </c>
      <c r="J1300" t="s">
        <v>1110</v>
      </c>
      <c r="K1300" t="s">
        <v>1033</v>
      </c>
      <c r="L1300" t="s">
        <v>446</v>
      </c>
      <c r="Q1300" t="b">
        <v>1</v>
      </c>
      <c r="R1300" t="b">
        <v>1</v>
      </c>
      <c r="S1300" t="s">
        <v>2160</v>
      </c>
      <c r="T1300" t="s">
        <v>446</v>
      </c>
      <c r="U1300" t="s">
        <v>1951</v>
      </c>
      <c r="V1300" t="s">
        <v>1093</v>
      </c>
      <c r="W1300" t="s">
        <v>1952</v>
      </c>
      <c r="X1300" t="s">
        <v>2935</v>
      </c>
    </row>
    <row r="1301" spans="1:24" x14ac:dyDescent="0.25">
      <c r="A1301" t="s">
        <v>42</v>
      </c>
      <c r="B1301" t="s">
        <v>2946</v>
      </c>
      <c r="C1301" t="s">
        <v>280</v>
      </c>
      <c r="E1301" t="s">
        <v>1035</v>
      </c>
      <c r="F1301">
        <v>4796</v>
      </c>
      <c r="G1301" t="s">
        <v>2879</v>
      </c>
      <c r="H1301" t="s">
        <v>2934</v>
      </c>
      <c r="J1301" t="s">
        <v>1110</v>
      </c>
      <c r="K1301" t="s">
        <v>1038</v>
      </c>
      <c r="L1301" t="s">
        <v>446</v>
      </c>
      <c r="Q1301" t="b">
        <v>1</v>
      </c>
      <c r="R1301" t="b">
        <v>1</v>
      </c>
      <c r="S1301" t="s">
        <v>2160</v>
      </c>
      <c r="T1301" t="s">
        <v>446</v>
      </c>
      <c r="U1301" t="s">
        <v>1951</v>
      </c>
      <c r="V1301" t="s">
        <v>1093</v>
      </c>
      <c r="W1301" t="s">
        <v>1952</v>
      </c>
      <c r="X1301" t="s">
        <v>2935</v>
      </c>
    </row>
    <row r="1302" spans="1:24" x14ac:dyDescent="0.25">
      <c r="A1302" t="s">
        <v>42</v>
      </c>
      <c r="B1302" t="s">
        <v>2947</v>
      </c>
      <c r="C1302" t="s">
        <v>280</v>
      </c>
      <c r="E1302" t="s">
        <v>1040</v>
      </c>
      <c r="F1302">
        <v>4183</v>
      </c>
      <c r="G1302" t="s">
        <v>2879</v>
      </c>
      <c r="H1302" t="s">
        <v>2934</v>
      </c>
      <c r="J1302" t="s">
        <v>1110</v>
      </c>
      <c r="K1302" t="s">
        <v>1043</v>
      </c>
      <c r="L1302" t="s">
        <v>446</v>
      </c>
      <c r="Q1302" t="b">
        <v>1</v>
      </c>
      <c r="R1302" t="b">
        <v>1</v>
      </c>
      <c r="S1302" t="s">
        <v>2160</v>
      </c>
      <c r="T1302" t="s">
        <v>446</v>
      </c>
      <c r="U1302" t="s">
        <v>1951</v>
      </c>
      <c r="V1302" t="s">
        <v>1093</v>
      </c>
      <c r="W1302" t="s">
        <v>1952</v>
      </c>
      <c r="X1302" t="s">
        <v>2935</v>
      </c>
    </row>
    <row r="1303" spans="1:24" x14ac:dyDescent="0.25">
      <c r="A1303" t="s">
        <v>42</v>
      </c>
      <c r="B1303" t="s">
        <v>2948</v>
      </c>
      <c r="C1303" t="s">
        <v>280</v>
      </c>
      <c r="E1303" t="s">
        <v>1045</v>
      </c>
      <c r="F1303">
        <v>2962</v>
      </c>
      <c r="G1303" t="s">
        <v>2879</v>
      </c>
      <c r="H1303" t="s">
        <v>2934</v>
      </c>
      <c r="J1303" t="s">
        <v>1110</v>
      </c>
      <c r="K1303" t="s">
        <v>1048</v>
      </c>
      <c r="L1303" t="s">
        <v>446</v>
      </c>
      <c r="Q1303" t="b">
        <v>1</v>
      </c>
      <c r="R1303" t="b">
        <v>1</v>
      </c>
      <c r="S1303" t="s">
        <v>2160</v>
      </c>
      <c r="T1303" t="s">
        <v>446</v>
      </c>
      <c r="U1303" t="s">
        <v>1951</v>
      </c>
      <c r="V1303" t="s">
        <v>1093</v>
      </c>
      <c r="W1303" t="s">
        <v>1952</v>
      </c>
      <c r="X1303" t="s">
        <v>446</v>
      </c>
    </row>
    <row r="1304" spans="1:24" x14ac:dyDescent="0.25">
      <c r="A1304" t="s">
        <v>42</v>
      </c>
      <c r="B1304" t="s">
        <v>2949</v>
      </c>
      <c r="C1304" t="s">
        <v>280</v>
      </c>
      <c r="E1304" t="s">
        <v>1032</v>
      </c>
      <c r="F1304">
        <v>15998</v>
      </c>
      <c r="G1304" t="s">
        <v>2879</v>
      </c>
      <c r="H1304" t="s">
        <v>2934</v>
      </c>
      <c r="J1304" t="s">
        <v>1110</v>
      </c>
      <c r="K1304" t="s">
        <v>1048</v>
      </c>
      <c r="L1304" t="s">
        <v>446</v>
      </c>
      <c r="Q1304" t="b">
        <v>1</v>
      </c>
      <c r="R1304" t="b">
        <v>1</v>
      </c>
      <c r="S1304" t="s">
        <v>2160</v>
      </c>
      <c r="T1304" t="s">
        <v>446</v>
      </c>
      <c r="U1304" t="s">
        <v>1951</v>
      </c>
      <c r="V1304" t="s">
        <v>1093</v>
      </c>
      <c r="W1304" t="s">
        <v>1952</v>
      </c>
      <c r="X1304" t="s">
        <v>2935</v>
      </c>
    </row>
    <row r="1305" spans="1:24" x14ac:dyDescent="0.25">
      <c r="A1305" t="s">
        <v>42</v>
      </c>
      <c r="B1305" t="s">
        <v>2950</v>
      </c>
      <c r="C1305" t="s">
        <v>280</v>
      </c>
      <c r="E1305" t="s">
        <v>1051</v>
      </c>
      <c r="F1305">
        <v>4611</v>
      </c>
      <c r="G1305" t="s">
        <v>2879</v>
      </c>
      <c r="H1305" t="s">
        <v>2934</v>
      </c>
      <c r="J1305" t="s">
        <v>1110</v>
      </c>
      <c r="K1305" t="s">
        <v>1055</v>
      </c>
      <c r="L1305" t="s">
        <v>446</v>
      </c>
      <c r="Q1305" t="b">
        <v>1</v>
      </c>
      <c r="R1305" t="b">
        <v>1</v>
      </c>
      <c r="S1305" t="s">
        <v>2160</v>
      </c>
      <c r="T1305" t="s">
        <v>446</v>
      </c>
      <c r="U1305" t="s">
        <v>1951</v>
      </c>
      <c r="V1305" t="s">
        <v>1093</v>
      </c>
      <c r="W1305" t="s">
        <v>1952</v>
      </c>
      <c r="X1305" t="s">
        <v>2935</v>
      </c>
    </row>
    <row r="1306" spans="1:24" x14ac:dyDescent="0.25">
      <c r="A1306" t="s">
        <v>42</v>
      </c>
      <c r="B1306" t="s">
        <v>2108</v>
      </c>
      <c r="C1306" t="s">
        <v>281</v>
      </c>
      <c r="E1306" t="s">
        <v>998</v>
      </c>
      <c r="F1306">
        <v>-496</v>
      </c>
      <c r="G1306" t="s">
        <v>2879</v>
      </c>
      <c r="H1306" t="s">
        <v>2951</v>
      </c>
      <c r="J1306" t="s">
        <v>1110</v>
      </c>
      <c r="K1306" t="s">
        <v>1003</v>
      </c>
      <c r="L1306" t="s">
        <v>446</v>
      </c>
      <c r="Q1306" t="b">
        <v>1</v>
      </c>
      <c r="R1306" t="b">
        <v>1</v>
      </c>
      <c r="S1306" t="s">
        <v>2160</v>
      </c>
      <c r="T1306" t="s">
        <v>446</v>
      </c>
      <c r="U1306" t="s">
        <v>1951</v>
      </c>
      <c r="V1306" t="s">
        <v>1093</v>
      </c>
      <c r="W1306" t="s">
        <v>1952</v>
      </c>
      <c r="X1306" t="s">
        <v>446</v>
      </c>
    </row>
    <row r="1307" spans="1:24" x14ac:dyDescent="0.25">
      <c r="A1307" t="s">
        <v>42</v>
      </c>
      <c r="B1307" t="s">
        <v>2952</v>
      </c>
      <c r="C1307" t="s">
        <v>281</v>
      </c>
      <c r="E1307" t="s">
        <v>982</v>
      </c>
      <c r="F1307">
        <v>-2249</v>
      </c>
      <c r="G1307" t="s">
        <v>2879</v>
      </c>
      <c r="H1307" t="s">
        <v>2951</v>
      </c>
      <c r="J1307" t="s">
        <v>1110</v>
      </c>
      <c r="K1307" t="s">
        <v>1003</v>
      </c>
      <c r="L1307" t="s">
        <v>446</v>
      </c>
      <c r="Q1307" t="b">
        <v>1</v>
      </c>
      <c r="R1307" t="b">
        <v>1</v>
      </c>
      <c r="S1307" t="s">
        <v>2160</v>
      </c>
      <c r="T1307" t="s">
        <v>446</v>
      </c>
      <c r="U1307" t="s">
        <v>1951</v>
      </c>
      <c r="V1307" t="s">
        <v>1093</v>
      </c>
      <c r="W1307" t="s">
        <v>1952</v>
      </c>
      <c r="X1307" t="s">
        <v>2104</v>
      </c>
    </row>
    <row r="1308" spans="1:24" x14ac:dyDescent="0.25">
      <c r="A1308" t="s">
        <v>42</v>
      </c>
      <c r="B1308" t="s">
        <v>2953</v>
      </c>
      <c r="C1308" t="s">
        <v>282</v>
      </c>
      <c r="E1308" t="s">
        <v>978</v>
      </c>
      <c r="F1308">
        <v>3113</v>
      </c>
      <c r="G1308" t="s">
        <v>2879</v>
      </c>
      <c r="H1308" t="s">
        <v>2954</v>
      </c>
      <c r="J1308" t="s">
        <v>1110</v>
      </c>
      <c r="K1308" t="s">
        <v>984</v>
      </c>
      <c r="L1308" t="s">
        <v>446</v>
      </c>
      <c r="Q1308" t="b">
        <v>1</v>
      </c>
      <c r="R1308" t="b">
        <v>1</v>
      </c>
      <c r="S1308" t="s">
        <v>2160</v>
      </c>
      <c r="T1308" t="s">
        <v>446</v>
      </c>
      <c r="U1308" t="s">
        <v>1951</v>
      </c>
      <c r="V1308" t="s">
        <v>1093</v>
      </c>
      <c r="W1308" t="s">
        <v>1952</v>
      </c>
      <c r="X1308" t="s">
        <v>2955</v>
      </c>
    </row>
    <row r="1309" spans="1:24" x14ac:dyDescent="0.25">
      <c r="A1309" t="s">
        <v>42</v>
      </c>
      <c r="B1309" t="s">
        <v>2956</v>
      </c>
      <c r="C1309" t="s">
        <v>282</v>
      </c>
      <c r="E1309" t="s">
        <v>986</v>
      </c>
      <c r="F1309">
        <v>2521</v>
      </c>
      <c r="G1309" t="s">
        <v>2879</v>
      </c>
      <c r="H1309" t="s">
        <v>2954</v>
      </c>
      <c r="J1309" t="s">
        <v>1110</v>
      </c>
      <c r="K1309" t="s">
        <v>990</v>
      </c>
      <c r="L1309" t="s">
        <v>446</v>
      </c>
      <c r="Q1309" t="b">
        <v>1</v>
      </c>
      <c r="R1309" t="b">
        <v>1</v>
      </c>
      <c r="S1309" t="s">
        <v>2160</v>
      </c>
      <c r="T1309" t="s">
        <v>446</v>
      </c>
      <c r="U1309" t="s">
        <v>1951</v>
      </c>
      <c r="V1309" t="s">
        <v>1093</v>
      </c>
      <c r="W1309" t="s">
        <v>1952</v>
      </c>
      <c r="X1309" t="s">
        <v>2955</v>
      </c>
    </row>
    <row r="1310" spans="1:24" x14ac:dyDescent="0.25">
      <c r="A1310" t="s">
        <v>42</v>
      </c>
      <c r="B1310" t="s">
        <v>2957</v>
      </c>
      <c r="C1310" t="s">
        <v>282</v>
      </c>
      <c r="E1310" t="s">
        <v>992</v>
      </c>
      <c r="F1310">
        <v>3083</v>
      </c>
      <c r="G1310" t="s">
        <v>2879</v>
      </c>
      <c r="H1310" t="s">
        <v>2954</v>
      </c>
      <c r="J1310" t="s">
        <v>1110</v>
      </c>
      <c r="K1310" t="s">
        <v>996</v>
      </c>
      <c r="L1310" t="s">
        <v>446</v>
      </c>
      <c r="Q1310" t="b">
        <v>1</v>
      </c>
      <c r="R1310" t="b">
        <v>1</v>
      </c>
      <c r="S1310" t="s">
        <v>2160</v>
      </c>
      <c r="T1310" t="s">
        <v>446</v>
      </c>
      <c r="U1310" t="s">
        <v>1951</v>
      </c>
      <c r="V1310" t="s">
        <v>1093</v>
      </c>
      <c r="W1310" t="s">
        <v>1952</v>
      </c>
      <c r="X1310" t="s">
        <v>2955</v>
      </c>
    </row>
    <row r="1311" spans="1:24" x14ac:dyDescent="0.25">
      <c r="A1311" t="s">
        <v>42</v>
      </c>
      <c r="B1311" t="s">
        <v>2958</v>
      </c>
      <c r="C1311" t="s">
        <v>282</v>
      </c>
      <c r="E1311" t="s">
        <v>998</v>
      </c>
      <c r="F1311">
        <v>1986</v>
      </c>
      <c r="G1311" t="s">
        <v>2879</v>
      </c>
      <c r="H1311" t="s">
        <v>2954</v>
      </c>
      <c r="J1311" t="s">
        <v>1110</v>
      </c>
      <c r="K1311" t="s">
        <v>1003</v>
      </c>
      <c r="L1311" t="s">
        <v>446</v>
      </c>
      <c r="Q1311" t="b">
        <v>1</v>
      </c>
      <c r="R1311" t="b">
        <v>1</v>
      </c>
      <c r="S1311" t="s">
        <v>2160</v>
      </c>
      <c r="T1311" t="s">
        <v>446</v>
      </c>
      <c r="U1311" t="s">
        <v>1951</v>
      </c>
      <c r="V1311" t="s">
        <v>1093</v>
      </c>
      <c r="W1311" t="s">
        <v>1952</v>
      </c>
      <c r="X1311" t="s">
        <v>446</v>
      </c>
    </row>
    <row r="1312" spans="1:24" x14ac:dyDescent="0.25">
      <c r="A1312" t="s">
        <v>42</v>
      </c>
      <c r="B1312" t="s">
        <v>2959</v>
      </c>
      <c r="C1312" t="s">
        <v>282</v>
      </c>
      <c r="E1312" t="s">
        <v>982</v>
      </c>
      <c r="F1312">
        <v>10703</v>
      </c>
      <c r="G1312" t="s">
        <v>2879</v>
      </c>
      <c r="H1312" t="s">
        <v>2954</v>
      </c>
      <c r="J1312" t="s">
        <v>1110</v>
      </c>
      <c r="K1312" t="s">
        <v>1003</v>
      </c>
      <c r="L1312" t="s">
        <v>446</v>
      </c>
      <c r="Q1312" t="b">
        <v>1</v>
      </c>
      <c r="R1312" t="b">
        <v>1</v>
      </c>
      <c r="S1312" t="s">
        <v>2160</v>
      </c>
      <c r="T1312" t="s">
        <v>446</v>
      </c>
      <c r="U1312" t="s">
        <v>1951</v>
      </c>
      <c r="V1312" t="s">
        <v>1093</v>
      </c>
      <c r="W1312" t="s">
        <v>1952</v>
      </c>
      <c r="X1312" t="s">
        <v>2955</v>
      </c>
    </row>
    <row r="1313" spans="1:24" x14ac:dyDescent="0.25">
      <c r="A1313" t="s">
        <v>42</v>
      </c>
      <c r="B1313" t="s">
        <v>2960</v>
      </c>
      <c r="C1313" t="s">
        <v>282</v>
      </c>
      <c r="E1313" t="s">
        <v>1006</v>
      </c>
      <c r="F1313">
        <v>3185</v>
      </c>
      <c r="G1313" t="s">
        <v>2879</v>
      </c>
      <c r="H1313" t="s">
        <v>2954</v>
      </c>
      <c r="J1313" t="s">
        <v>1110</v>
      </c>
      <c r="K1313" t="s">
        <v>1967</v>
      </c>
      <c r="L1313" t="s">
        <v>446</v>
      </c>
      <c r="Q1313" t="b">
        <v>1</v>
      </c>
      <c r="R1313" t="b">
        <v>1</v>
      </c>
      <c r="S1313" t="s">
        <v>2160</v>
      </c>
      <c r="T1313" t="s">
        <v>446</v>
      </c>
      <c r="U1313" t="s">
        <v>1951</v>
      </c>
      <c r="V1313" t="s">
        <v>1093</v>
      </c>
      <c r="W1313" t="s">
        <v>1952</v>
      </c>
      <c r="X1313" t="s">
        <v>2955</v>
      </c>
    </row>
    <row r="1314" spans="1:24" x14ac:dyDescent="0.25">
      <c r="A1314" t="s">
        <v>42</v>
      </c>
      <c r="B1314" t="s">
        <v>2961</v>
      </c>
      <c r="C1314" t="s">
        <v>282</v>
      </c>
      <c r="E1314" t="s">
        <v>1013</v>
      </c>
      <c r="F1314">
        <v>2401</v>
      </c>
      <c r="G1314" t="s">
        <v>2879</v>
      </c>
      <c r="H1314" t="s">
        <v>2954</v>
      </c>
      <c r="J1314" t="s">
        <v>1110</v>
      </c>
      <c r="K1314" t="s">
        <v>1016</v>
      </c>
      <c r="L1314" t="s">
        <v>446</v>
      </c>
      <c r="Q1314" t="b">
        <v>1</v>
      </c>
      <c r="R1314" t="b">
        <v>1</v>
      </c>
      <c r="S1314" t="s">
        <v>2160</v>
      </c>
      <c r="T1314" t="s">
        <v>446</v>
      </c>
      <c r="U1314" t="s">
        <v>1951</v>
      </c>
      <c r="V1314" t="s">
        <v>1093</v>
      </c>
      <c r="W1314" t="s">
        <v>1952</v>
      </c>
      <c r="X1314" t="s">
        <v>2955</v>
      </c>
    </row>
    <row r="1315" spans="1:24" x14ac:dyDescent="0.25">
      <c r="A1315" t="s">
        <v>42</v>
      </c>
      <c r="B1315" t="s">
        <v>2962</v>
      </c>
      <c r="C1315" t="s">
        <v>282</v>
      </c>
      <c r="E1315" t="s">
        <v>1018</v>
      </c>
      <c r="F1315">
        <v>2850</v>
      </c>
      <c r="G1315" t="s">
        <v>2879</v>
      </c>
      <c r="H1315" t="s">
        <v>2954</v>
      </c>
      <c r="J1315" t="s">
        <v>1110</v>
      </c>
      <c r="K1315" t="s">
        <v>1021</v>
      </c>
      <c r="L1315" t="s">
        <v>446</v>
      </c>
      <c r="Q1315" t="b">
        <v>1</v>
      </c>
      <c r="R1315" t="b">
        <v>1</v>
      </c>
      <c r="S1315" t="s">
        <v>2160</v>
      </c>
      <c r="T1315" t="s">
        <v>446</v>
      </c>
      <c r="U1315" t="s">
        <v>1951</v>
      </c>
      <c r="V1315" t="s">
        <v>1093</v>
      </c>
      <c r="W1315" t="s">
        <v>1952</v>
      </c>
      <c r="X1315" t="s">
        <v>2955</v>
      </c>
    </row>
    <row r="1316" spans="1:24" x14ac:dyDescent="0.25">
      <c r="A1316" t="s">
        <v>42</v>
      </c>
      <c r="B1316" t="s">
        <v>2963</v>
      </c>
      <c r="C1316" t="s">
        <v>282</v>
      </c>
      <c r="E1316" t="s">
        <v>1023</v>
      </c>
      <c r="F1316">
        <v>2213</v>
      </c>
      <c r="G1316" t="s">
        <v>2879</v>
      </c>
      <c r="H1316" t="s">
        <v>2954</v>
      </c>
      <c r="J1316" t="s">
        <v>1110</v>
      </c>
      <c r="K1316" t="s">
        <v>1026</v>
      </c>
      <c r="L1316" t="s">
        <v>446</v>
      </c>
      <c r="Q1316" t="b">
        <v>1</v>
      </c>
      <c r="R1316" t="b">
        <v>1</v>
      </c>
      <c r="S1316" t="s">
        <v>2160</v>
      </c>
      <c r="T1316" t="s">
        <v>446</v>
      </c>
      <c r="U1316" t="s">
        <v>1951</v>
      </c>
      <c r="V1316" t="s">
        <v>1093</v>
      </c>
      <c r="W1316" t="s">
        <v>1952</v>
      </c>
      <c r="X1316" t="s">
        <v>446</v>
      </c>
    </row>
    <row r="1317" spans="1:24" x14ac:dyDescent="0.25">
      <c r="A1317" t="s">
        <v>42</v>
      </c>
      <c r="B1317" t="s">
        <v>2964</v>
      </c>
      <c r="C1317" t="s">
        <v>282</v>
      </c>
      <c r="E1317" t="s">
        <v>1010</v>
      </c>
      <c r="F1317">
        <v>10649</v>
      </c>
      <c r="G1317" t="s">
        <v>2879</v>
      </c>
      <c r="H1317" t="s">
        <v>2954</v>
      </c>
      <c r="J1317" t="s">
        <v>1110</v>
      </c>
      <c r="K1317" t="s">
        <v>1026</v>
      </c>
      <c r="L1317" t="s">
        <v>446</v>
      </c>
      <c r="Q1317" t="b">
        <v>1</v>
      </c>
      <c r="R1317" t="b">
        <v>1</v>
      </c>
      <c r="S1317" t="s">
        <v>2160</v>
      </c>
      <c r="T1317" t="s">
        <v>446</v>
      </c>
      <c r="U1317" t="s">
        <v>1951</v>
      </c>
      <c r="V1317" t="s">
        <v>1093</v>
      </c>
      <c r="W1317" t="s">
        <v>1952</v>
      </c>
      <c r="X1317" t="s">
        <v>2955</v>
      </c>
    </row>
    <row r="1318" spans="1:24" x14ac:dyDescent="0.25">
      <c r="A1318" t="s">
        <v>42</v>
      </c>
      <c r="B1318" t="s">
        <v>2965</v>
      </c>
      <c r="C1318" t="s">
        <v>282</v>
      </c>
      <c r="E1318" t="s">
        <v>1029</v>
      </c>
      <c r="F1318">
        <v>3335</v>
      </c>
      <c r="G1318" t="s">
        <v>2879</v>
      </c>
      <c r="H1318" t="s">
        <v>2954</v>
      </c>
      <c r="J1318" t="s">
        <v>1110</v>
      </c>
      <c r="K1318" t="s">
        <v>1033</v>
      </c>
      <c r="L1318" t="s">
        <v>446</v>
      </c>
      <c r="Q1318" t="b">
        <v>1</v>
      </c>
      <c r="R1318" t="b">
        <v>1</v>
      </c>
      <c r="S1318" t="s">
        <v>2160</v>
      </c>
      <c r="T1318" t="s">
        <v>446</v>
      </c>
      <c r="U1318" t="s">
        <v>1951</v>
      </c>
      <c r="V1318" t="s">
        <v>1093</v>
      </c>
      <c r="W1318" t="s">
        <v>1952</v>
      </c>
      <c r="X1318" t="s">
        <v>2955</v>
      </c>
    </row>
    <row r="1319" spans="1:24" x14ac:dyDescent="0.25">
      <c r="A1319" t="s">
        <v>42</v>
      </c>
      <c r="B1319" t="s">
        <v>2966</v>
      </c>
      <c r="C1319" t="s">
        <v>282</v>
      </c>
      <c r="E1319" t="s">
        <v>1035</v>
      </c>
      <c r="F1319">
        <v>3803</v>
      </c>
      <c r="G1319" t="s">
        <v>2879</v>
      </c>
      <c r="H1319" t="s">
        <v>2954</v>
      </c>
      <c r="J1319" t="s">
        <v>1110</v>
      </c>
      <c r="K1319" t="s">
        <v>1038</v>
      </c>
      <c r="L1319" t="s">
        <v>446</v>
      </c>
      <c r="Q1319" t="b">
        <v>1</v>
      </c>
      <c r="R1319" t="b">
        <v>1</v>
      </c>
      <c r="S1319" t="s">
        <v>2160</v>
      </c>
      <c r="T1319" t="s">
        <v>446</v>
      </c>
      <c r="U1319" t="s">
        <v>1951</v>
      </c>
      <c r="V1319" t="s">
        <v>1093</v>
      </c>
      <c r="W1319" t="s">
        <v>1952</v>
      </c>
      <c r="X1319" t="s">
        <v>2955</v>
      </c>
    </row>
    <row r="1320" spans="1:24" x14ac:dyDescent="0.25">
      <c r="A1320" t="s">
        <v>42</v>
      </c>
      <c r="B1320" t="s">
        <v>2967</v>
      </c>
      <c r="C1320" t="s">
        <v>282</v>
      </c>
      <c r="E1320" t="s">
        <v>1040</v>
      </c>
      <c r="F1320">
        <v>3683</v>
      </c>
      <c r="G1320" t="s">
        <v>2879</v>
      </c>
      <c r="H1320" t="s">
        <v>2954</v>
      </c>
      <c r="J1320" t="s">
        <v>1110</v>
      </c>
      <c r="K1320" t="s">
        <v>1043</v>
      </c>
      <c r="L1320" t="s">
        <v>446</v>
      </c>
      <c r="Q1320" t="b">
        <v>1</v>
      </c>
      <c r="R1320" t="b">
        <v>1</v>
      </c>
      <c r="S1320" t="s">
        <v>2160</v>
      </c>
      <c r="T1320" t="s">
        <v>446</v>
      </c>
      <c r="U1320" t="s">
        <v>1951</v>
      </c>
      <c r="V1320" t="s">
        <v>1093</v>
      </c>
      <c r="W1320" t="s">
        <v>1952</v>
      </c>
      <c r="X1320" t="s">
        <v>2955</v>
      </c>
    </row>
    <row r="1321" spans="1:24" x14ac:dyDescent="0.25">
      <c r="A1321" t="s">
        <v>42</v>
      </c>
      <c r="B1321" t="s">
        <v>2968</v>
      </c>
      <c r="C1321" t="s">
        <v>282</v>
      </c>
      <c r="E1321" t="s">
        <v>1045</v>
      </c>
      <c r="F1321">
        <v>2316</v>
      </c>
      <c r="G1321" t="s">
        <v>2879</v>
      </c>
      <c r="H1321" t="s">
        <v>2954</v>
      </c>
      <c r="J1321" t="s">
        <v>1110</v>
      </c>
      <c r="K1321" t="s">
        <v>1048</v>
      </c>
      <c r="L1321" t="s">
        <v>446</v>
      </c>
      <c r="Q1321" t="b">
        <v>1</v>
      </c>
      <c r="R1321" t="b">
        <v>1</v>
      </c>
      <c r="S1321" t="s">
        <v>2160</v>
      </c>
      <c r="T1321" t="s">
        <v>446</v>
      </c>
      <c r="U1321" t="s">
        <v>1951</v>
      </c>
      <c r="V1321" t="s">
        <v>1093</v>
      </c>
      <c r="W1321" t="s">
        <v>1952</v>
      </c>
      <c r="X1321" t="s">
        <v>446</v>
      </c>
    </row>
    <row r="1322" spans="1:24" x14ac:dyDescent="0.25">
      <c r="A1322" t="s">
        <v>42</v>
      </c>
      <c r="B1322" t="s">
        <v>2969</v>
      </c>
      <c r="C1322" t="s">
        <v>282</v>
      </c>
      <c r="E1322" t="s">
        <v>1032</v>
      </c>
      <c r="F1322">
        <v>13137</v>
      </c>
      <c r="G1322" t="s">
        <v>2879</v>
      </c>
      <c r="H1322" t="s">
        <v>2954</v>
      </c>
      <c r="J1322" t="s">
        <v>1110</v>
      </c>
      <c r="K1322" t="s">
        <v>1048</v>
      </c>
      <c r="L1322" t="s">
        <v>446</v>
      </c>
      <c r="Q1322" t="b">
        <v>1</v>
      </c>
      <c r="R1322" t="b">
        <v>1</v>
      </c>
      <c r="S1322" t="s">
        <v>2160</v>
      </c>
      <c r="T1322" t="s">
        <v>446</v>
      </c>
      <c r="U1322" t="s">
        <v>1951</v>
      </c>
      <c r="V1322" t="s">
        <v>1093</v>
      </c>
      <c r="W1322" t="s">
        <v>1952</v>
      </c>
      <c r="X1322" t="s">
        <v>2955</v>
      </c>
    </row>
    <row r="1323" spans="1:24" x14ac:dyDescent="0.25">
      <c r="A1323" t="s">
        <v>42</v>
      </c>
      <c r="B1323" t="s">
        <v>2970</v>
      </c>
      <c r="C1323" t="s">
        <v>282</v>
      </c>
      <c r="E1323" t="s">
        <v>1051</v>
      </c>
      <c r="F1323">
        <v>3966</v>
      </c>
      <c r="G1323" t="s">
        <v>2879</v>
      </c>
      <c r="H1323" t="s">
        <v>2954</v>
      </c>
      <c r="J1323" t="s">
        <v>1110</v>
      </c>
      <c r="K1323" t="s">
        <v>1055</v>
      </c>
      <c r="L1323" t="s">
        <v>446</v>
      </c>
      <c r="Q1323" t="b">
        <v>1</v>
      </c>
      <c r="R1323" t="b">
        <v>1</v>
      </c>
      <c r="S1323" t="s">
        <v>2160</v>
      </c>
      <c r="T1323" t="s">
        <v>446</v>
      </c>
      <c r="U1323" t="s">
        <v>1951</v>
      </c>
      <c r="V1323" t="s">
        <v>1093</v>
      </c>
      <c r="W1323" t="s">
        <v>1952</v>
      </c>
      <c r="X1323" t="s">
        <v>2955</v>
      </c>
    </row>
    <row r="1324" spans="1:24" x14ac:dyDescent="0.25">
      <c r="A1324" t="s">
        <v>42</v>
      </c>
      <c r="B1324" t="s">
        <v>1364</v>
      </c>
      <c r="C1324" t="s">
        <v>331</v>
      </c>
      <c r="E1324" t="s">
        <v>978</v>
      </c>
      <c r="F1324">
        <v>4599</v>
      </c>
      <c r="G1324" t="s">
        <v>1945</v>
      </c>
      <c r="H1324" t="s">
        <v>2186</v>
      </c>
      <c r="I1324" t="s">
        <v>2187</v>
      </c>
      <c r="J1324" t="s">
        <v>1089</v>
      </c>
      <c r="K1324" t="s">
        <v>984</v>
      </c>
      <c r="L1324" t="s">
        <v>1948</v>
      </c>
      <c r="M1324" t="s">
        <v>980</v>
      </c>
      <c r="N1324" t="s">
        <v>985</v>
      </c>
      <c r="O1324" t="s">
        <v>446</v>
      </c>
      <c r="P1324" t="s">
        <v>981</v>
      </c>
      <c r="Q1324" t="b">
        <v>1</v>
      </c>
      <c r="R1324" t="b">
        <v>0</v>
      </c>
      <c r="S1324" t="s">
        <v>1950</v>
      </c>
      <c r="T1324" t="s">
        <v>446</v>
      </c>
      <c r="U1324" t="s">
        <v>1951</v>
      </c>
      <c r="V1324" t="s">
        <v>1093</v>
      </c>
      <c r="W1324" t="s">
        <v>1952</v>
      </c>
      <c r="X1324" t="s">
        <v>2190</v>
      </c>
    </row>
    <row r="1325" spans="1:24" x14ac:dyDescent="0.25">
      <c r="A1325" t="s">
        <v>42</v>
      </c>
      <c r="B1325" t="s">
        <v>1365</v>
      </c>
      <c r="C1325" t="s">
        <v>331</v>
      </c>
      <c r="E1325" t="s">
        <v>986</v>
      </c>
      <c r="F1325">
        <v>3970</v>
      </c>
      <c r="G1325" t="s">
        <v>1945</v>
      </c>
      <c r="H1325" t="s">
        <v>2191</v>
      </c>
      <c r="I1325" t="s">
        <v>2187</v>
      </c>
      <c r="J1325" t="s">
        <v>1089</v>
      </c>
      <c r="K1325" t="s">
        <v>990</v>
      </c>
      <c r="L1325" t="s">
        <v>1955</v>
      </c>
      <c r="M1325" t="s">
        <v>980</v>
      </c>
      <c r="N1325" t="s">
        <v>991</v>
      </c>
      <c r="O1325" t="s">
        <v>446</v>
      </c>
      <c r="P1325" t="s">
        <v>988</v>
      </c>
      <c r="Q1325" t="b">
        <v>1</v>
      </c>
      <c r="R1325" t="b">
        <v>0</v>
      </c>
      <c r="S1325" t="s">
        <v>1950</v>
      </c>
      <c r="T1325" t="s">
        <v>446</v>
      </c>
      <c r="U1325" t="s">
        <v>1951</v>
      </c>
      <c r="V1325" t="s">
        <v>1093</v>
      </c>
      <c r="W1325" t="s">
        <v>1952</v>
      </c>
      <c r="X1325" t="s">
        <v>2190</v>
      </c>
    </row>
    <row r="1326" spans="1:24" x14ac:dyDescent="0.25">
      <c r="A1326" t="s">
        <v>42</v>
      </c>
      <c r="B1326" t="s">
        <v>1366</v>
      </c>
      <c r="C1326" t="s">
        <v>331</v>
      </c>
      <c r="E1326" t="s">
        <v>992</v>
      </c>
      <c r="F1326">
        <v>3495</v>
      </c>
      <c r="G1326" t="s">
        <v>1945</v>
      </c>
      <c r="H1326" t="s">
        <v>2192</v>
      </c>
      <c r="I1326" t="s">
        <v>2187</v>
      </c>
      <c r="J1326" t="s">
        <v>1089</v>
      </c>
      <c r="K1326" t="s">
        <v>996</v>
      </c>
      <c r="L1326" t="s">
        <v>1958</v>
      </c>
      <c r="M1326" t="s">
        <v>980</v>
      </c>
      <c r="N1326" t="s">
        <v>997</v>
      </c>
      <c r="O1326" t="s">
        <v>446</v>
      </c>
      <c r="P1326" t="s">
        <v>994</v>
      </c>
      <c r="Q1326" t="b">
        <v>1</v>
      </c>
      <c r="R1326" t="b">
        <v>0</v>
      </c>
      <c r="S1326" t="s">
        <v>1950</v>
      </c>
      <c r="T1326" t="s">
        <v>446</v>
      </c>
      <c r="U1326" t="s">
        <v>1951</v>
      </c>
      <c r="V1326" t="s">
        <v>1093</v>
      </c>
      <c r="W1326" t="s">
        <v>1952</v>
      </c>
      <c r="X1326" t="s">
        <v>2190</v>
      </c>
    </row>
    <row r="1327" spans="1:24" x14ac:dyDescent="0.25">
      <c r="A1327" t="s">
        <v>42</v>
      </c>
      <c r="B1327" t="s">
        <v>1367</v>
      </c>
      <c r="C1327" t="s">
        <v>331</v>
      </c>
      <c r="E1327" t="s">
        <v>998</v>
      </c>
      <c r="F1327">
        <v>3410</v>
      </c>
      <c r="G1327" t="s">
        <v>1945</v>
      </c>
      <c r="H1327" t="s">
        <v>2193</v>
      </c>
      <c r="I1327" t="s">
        <v>2187</v>
      </c>
      <c r="J1327" t="s">
        <v>1089</v>
      </c>
      <c r="K1327" t="s">
        <v>1003</v>
      </c>
      <c r="L1327" t="s">
        <v>2031</v>
      </c>
      <c r="M1327" t="s">
        <v>1000</v>
      </c>
      <c r="N1327" t="s">
        <v>1004</v>
      </c>
      <c r="O1327" t="s">
        <v>446</v>
      </c>
      <c r="P1327" t="s">
        <v>1001</v>
      </c>
      <c r="Q1327" t="b">
        <v>1</v>
      </c>
      <c r="R1327" t="b">
        <v>0</v>
      </c>
      <c r="S1327" t="s">
        <v>1950</v>
      </c>
      <c r="T1327" t="s">
        <v>446</v>
      </c>
      <c r="U1327" t="s">
        <v>1951</v>
      </c>
      <c r="V1327" t="s">
        <v>1093</v>
      </c>
      <c r="W1327" t="s">
        <v>1952</v>
      </c>
      <c r="X1327" t="s">
        <v>2190</v>
      </c>
    </row>
    <row r="1328" spans="1:24" x14ac:dyDescent="0.25">
      <c r="A1328" t="s">
        <v>42</v>
      </c>
      <c r="B1328" t="s">
        <v>1368</v>
      </c>
      <c r="C1328" t="s">
        <v>331</v>
      </c>
      <c r="E1328" t="s">
        <v>1006</v>
      </c>
      <c r="F1328">
        <v>4244</v>
      </c>
      <c r="G1328" t="s">
        <v>1945</v>
      </c>
      <c r="H1328" t="s">
        <v>2194</v>
      </c>
      <c r="I1328" t="s">
        <v>2187</v>
      </c>
      <c r="J1328" t="s">
        <v>1089</v>
      </c>
      <c r="K1328" t="s">
        <v>1967</v>
      </c>
      <c r="L1328" t="s">
        <v>1968</v>
      </c>
      <c r="M1328" t="s">
        <v>980</v>
      </c>
      <c r="N1328" t="s">
        <v>1969</v>
      </c>
      <c r="O1328" t="s">
        <v>446</v>
      </c>
      <c r="P1328" t="s">
        <v>1009</v>
      </c>
      <c r="Q1328" t="b">
        <v>1</v>
      </c>
      <c r="R1328" t="b">
        <v>0</v>
      </c>
      <c r="S1328" t="s">
        <v>1950</v>
      </c>
      <c r="T1328" t="s">
        <v>446</v>
      </c>
      <c r="U1328" t="s">
        <v>1951</v>
      </c>
      <c r="V1328" t="s">
        <v>1093</v>
      </c>
      <c r="W1328" t="s">
        <v>1952</v>
      </c>
      <c r="X1328" t="s">
        <v>2190</v>
      </c>
    </row>
    <row r="1329" spans="1:24" x14ac:dyDescent="0.25">
      <c r="A1329" t="s">
        <v>42</v>
      </c>
      <c r="B1329" t="s">
        <v>1369</v>
      </c>
      <c r="C1329" t="s">
        <v>331</v>
      </c>
      <c r="E1329" t="s">
        <v>1013</v>
      </c>
      <c r="F1329">
        <v>4545</v>
      </c>
      <c r="G1329" t="s">
        <v>1945</v>
      </c>
      <c r="H1329" t="s">
        <v>2195</v>
      </c>
      <c r="I1329" t="s">
        <v>2187</v>
      </c>
      <c r="J1329" t="s">
        <v>1089</v>
      </c>
      <c r="K1329" t="s">
        <v>1016</v>
      </c>
      <c r="L1329" t="s">
        <v>1972</v>
      </c>
      <c r="M1329" t="s">
        <v>980</v>
      </c>
      <c r="N1329" t="s">
        <v>1017</v>
      </c>
      <c r="O1329" t="s">
        <v>446</v>
      </c>
      <c r="P1329" t="s">
        <v>1015</v>
      </c>
      <c r="Q1329" t="b">
        <v>1</v>
      </c>
      <c r="R1329" t="b">
        <v>0</v>
      </c>
      <c r="S1329" t="s">
        <v>1950</v>
      </c>
      <c r="T1329" t="s">
        <v>446</v>
      </c>
      <c r="U1329" t="s">
        <v>1951</v>
      </c>
      <c r="V1329" t="s">
        <v>1093</v>
      </c>
      <c r="W1329" t="s">
        <v>1952</v>
      </c>
      <c r="X1329" t="s">
        <v>2190</v>
      </c>
    </row>
    <row r="1330" spans="1:24" x14ac:dyDescent="0.25">
      <c r="A1330" t="s">
        <v>42</v>
      </c>
      <c r="B1330" t="s">
        <v>1370</v>
      </c>
      <c r="C1330" t="s">
        <v>331</v>
      </c>
      <c r="E1330" t="s">
        <v>1018</v>
      </c>
      <c r="F1330">
        <v>4233</v>
      </c>
      <c r="G1330" t="s">
        <v>1945</v>
      </c>
      <c r="H1330" t="s">
        <v>2196</v>
      </c>
      <c r="I1330" t="s">
        <v>2187</v>
      </c>
      <c r="J1330" t="s">
        <v>1089</v>
      </c>
      <c r="K1330" t="s">
        <v>1021</v>
      </c>
      <c r="L1330" t="s">
        <v>1975</v>
      </c>
      <c r="M1330" t="s">
        <v>980</v>
      </c>
      <c r="N1330" t="s">
        <v>1022</v>
      </c>
      <c r="O1330" t="s">
        <v>446</v>
      </c>
      <c r="P1330" t="s">
        <v>1020</v>
      </c>
      <c r="Q1330" t="b">
        <v>1</v>
      </c>
      <c r="R1330" t="b">
        <v>0</v>
      </c>
      <c r="S1330" t="s">
        <v>1950</v>
      </c>
      <c r="T1330" t="s">
        <v>446</v>
      </c>
      <c r="U1330" t="s">
        <v>1951</v>
      </c>
      <c r="V1330" t="s">
        <v>1093</v>
      </c>
      <c r="W1330" t="s">
        <v>1952</v>
      </c>
      <c r="X1330" t="s">
        <v>2190</v>
      </c>
    </row>
    <row r="1331" spans="1:24" x14ac:dyDescent="0.25">
      <c r="A1331" t="s">
        <v>42</v>
      </c>
      <c r="B1331" t="s">
        <v>1371</v>
      </c>
      <c r="C1331" t="s">
        <v>331</v>
      </c>
      <c r="E1331" t="s">
        <v>1023</v>
      </c>
      <c r="F1331">
        <v>3569</v>
      </c>
      <c r="G1331" t="s">
        <v>1945</v>
      </c>
      <c r="H1331" t="s">
        <v>2197</v>
      </c>
      <c r="I1331" t="s">
        <v>2187</v>
      </c>
      <c r="J1331" t="s">
        <v>1089</v>
      </c>
      <c r="K1331" t="s">
        <v>1026</v>
      </c>
      <c r="L1331" t="s">
        <v>1979</v>
      </c>
      <c r="M1331" t="s">
        <v>1000</v>
      </c>
      <c r="N1331" t="s">
        <v>1027</v>
      </c>
      <c r="O1331" t="s">
        <v>446</v>
      </c>
      <c r="P1331" t="s">
        <v>1025</v>
      </c>
      <c r="Q1331" t="b">
        <v>1</v>
      </c>
      <c r="R1331" t="b">
        <v>0</v>
      </c>
      <c r="S1331" t="s">
        <v>1950</v>
      </c>
      <c r="T1331" t="s">
        <v>446</v>
      </c>
      <c r="U1331" t="s">
        <v>1951</v>
      </c>
      <c r="V1331" t="s">
        <v>1093</v>
      </c>
      <c r="W1331" t="s">
        <v>1952</v>
      </c>
      <c r="X1331" t="s">
        <v>2190</v>
      </c>
    </row>
    <row r="1332" spans="1:24" x14ac:dyDescent="0.25">
      <c r="A1332" t="s">
        <v>42</v>
      </c>
      <c r="B1332" t="s">
        <v>1372</v>
      </c>
      <c r="C1332" t="s">
        <v>331</v>
      </c>
      <c r="E1332" t="s">
        <v>1029</v>
      </c>
      <c r="F1332">
        <v>4091</v>
      </c>
      <c r="G1332" t="s">
        <v>1945</v>
      </c>
      <c r="H1332" t="s">
        <v>2198</v>
      </c>
      <c r="I1332" t="s">
        <v>2187</v>
      </c>
      <c r="J1332" t="s">
        <v>1089</v>
      </c>
      <c r="K1332" t="s">
        <v>1033</v>
      </c>
      <c r="L1332" t="s">
        <v>1982</v>
      </c>
      <c r="M1332" t="s">
        <v>980</v>
      </c>
      <c r="N1332" t="s">
        <v>1034</v>
      </c>
      <c r="O1332" t="s">
        <v>446</v>
      </c>
      <c r="P1332" t="s">
        <v>1031</v>
      </c>
      <c r="Q1332" t="b">
        <v>1</v>
      </c>
      <c r="R1332" t="b">
        <v>0</v>
      </c>
      <c r="S1332" t="s">
        <v>1950</v>
      </c>
      <c r="T1332" t="s">
        <v>446</v>
      </c>
      <c r="U1332" t="s">
        <v>1951</v>
      </c>
      <c r="V1332" t="s">
        <v>1093</v>
      </c>
      <c r="W1332" t="s">
        <v>1952</v>
      </c>
      <c r="X1332" t="s">
        <v>2190</v>
      </c>
    </row>
    <row r="1333" spans="1:24" x14ac:dyDescent="0.25">
      <c r="A1333" t="s">
        <v>42</v>
      </c>
      <c r="B1333" t="s">
        <v>1373</v>
      </c>
      <c r="C1333" t="s">
        <v>331</v>
      </c>
      <c r="E1333" t="s">
        <v>1035</v>
      </c>
      <c r="F1333">
        <v>4168</v>
      </c>
      <c r="G1333" t="s">
        <v>1945</v>
      </c>
      <c r="H1333" t="s">
        <v>2199</v>
      </c>
      <c r="I1333" t="s">
        <v>2187</v>
      </c>
      <c r="J1333" t="s">
        <v>1089</v>
      </c>
      <c r="K1333" t="s">
        <v>1038</v>
      </c>
      <c r="L1333" t="s">
        <v>1985</v>
      </c>
      <c r="M1333" t="s">
        <v>980</v>
      </c>
      <c r="N1333" t="s">
        <v>1039</v>
      </c>
      <c r="O1333" t="s">
        <v>446</v>
      </c>
      <c r="P1333" t="s">
        <v>1037</v>
      </c>
      <c r="Q1333" t="b">
        <v>1</v>
      </c>
      <c r="R1333" t="b">
        <v>0</v>
      </c>
      <c r="S1333" t="s">
        <v>1950</v>
      </c>
      <c r="T1333" t="s">
        <v>446</v>
      </c>
      <c r="U1333" t="s">
        <v>1951</v>
      </c>
      <c r="V1333" t="s">
        <v>1093</v>
      </c>
      <c r="W1333" t="s">
        <v>1952</v>
      </c>
      <c r="X1333" t="s">
        <v>2190</v>
      </c>
    </row>
    <row r="1334" spans="1:24" x14ac:dyDescent="0.25">
      <c r="A1334" t="s">
        <v>42</v>
      </c>
      <c r="B1334" t="s">
        <v>1374</v>
      </c>
      <c r="C1334" t="s">
        <v>331</v>
      </c>
      <c r="E1334" t="s">
        <v>1040</v>
      </c>
      <c r="F1334">
        <v>3946</v>
      </c>
      <c r="G1334" t="s">
        <v>1945</v>
      </c>
      <c r="H1334" t="s">
        <v>2200</v>
      </c>
      <c r="I1334" t="s">
        <v>2187</v>
      </c>
      <c r="J1334" t="s">
        <v>1089</v>
      </c>
      <c r="K1334" t="s">
        <v>1043</v>
      </c>
      <c r="L1334" t="s">
        <v>1988</v>
      </c>
      <c r="M1334" t="s">
        <v>980</v>
      </c>
      <c r="N1334" t="s">
        <v>1044</v>
      </c>
      <c r="O1334" t="s">
        <v>446</v>
      </c>
      <c r="P1334" t="s">
        <v>1042</v>
      </c>
      <c r="Q1334" t="b">
        <v>1</v>
      </c>
      <c r="R1334" t="b">
        <v>0</v>
      </c>
      <c r="S1334" t="s">
        <v>1950</v>
      </c>
      <c r="T1334" t="s">
        <v>446</v>
      </c>
      <c r="U1334" t="s">
        <v>1951</v>
      </c>
      <c r="V1334" t="s">
        <v>1093</v>
      </c>
      <c r="W1334" t="s">
        <v>1952</v>
      </c>
      <c r="X1334" t="s">
        <v>2190</v>
      </c>
    </row>
    <row r="1335" spans="1:24" x14ac:dyDescent="0.25">
      <c r="A1335" t="s">
        <v>42</v>
      </c>
      <c r="B1335" t="s">
        <v>1375</v>
      </c>
      <c r="C1335" t="s">
        <v>331</v>
      </c>
      <c r="E1335" t="s">
        <v>1045</v>
      </c>
      <c r="F1335">
        <v>3038</v>
      </c>
      <c r="G1335" t="s">
        <v>1945</v>
      </c>
      <c r="H1335" t="s">
        <v>2201</v>
      </c>
      <c r="I1335" t="s">
        <v>2187</v>
      </c>
      <c r="J1335" t="s">
        <v>1089</v>
      </c>
      <c r="K1335" t="s">
        <v>1048</v>
      </c>
      <c r="L1335" t="s">
        <v>1991</v>
      </c>
      <c r="M1335" t="s">
        <v>1000</v>
      </c>
      <c r="N1335" t="s">
        <v>1049</v>
      </c>
      <c r="O1335" t="s">
        <v>446</v>
      </c>
      <c r="P1335" t="s">
        <v>1047</v>
      </c>
      <c r="Q1335" t="b">
        <v>1</v>
      </c>
      <c r="R1335" t="b">
        <v>0</v>
      </c>
      <c r="S1335" t="s">
        <v>1950</v>
      </c>
      <c r="T1335" t="s">
        <v>446</v>
      </c>
      <c r="U1335" t="s">
        <v>1951</v>
      </c>
      <c r="V1335" t="s">
        <v>1093</v>
      </c>
      <c r="W1335" t="s">
        <v>1952</v>
      </c>
      <c r="X1335" t="s">
        <v>2190</v>
      </c>
    </row>
    <row r="1336" spans="1:24" x14ac:dyDescent="0.25">
      <c r="A1336" t="s">
        <v>42</v>
      </c>
      <c r="B1336" t="s">
        <v>1376</v>
      </c>
      <c r="C1336" t="s">
        <v>331</v>
      </c>
      <c r="E1336" t="s">
        <v>1051</v>
      </c>
      <c r="F1336">
        <v>3675</v>
      </c>
      <c r="G1336" t="s">
        <v>1945</v>
      </c>
      <c r="H1336" t="s">
        <v>2202</v>
      </c>
      <c r="I1336" t="s">
        <v>2187</v>
      </c>
      <c r="J1336" t="s">
        <v>1089</v>
      </c>
      <c r="K1336" t="s">
        <v>1055</v>
      </c>
      <c r="L1336" t="s">
        <v>1993</v>
      </c>
      <c r="M1336" t="s">
        <v>980</v>
      </c>
      <c r="N1336" t="s">
        <v>1056</v>
      </c>
      <c r="O1336" t="s">
        <v>446</v>
      </c>
      <c r="P1336" t="s">
        <v>1053</v>
      </c>
      <c r="Q1336" t="b">
        <v>1</v>
      </c>
      <c r="R1336" t="b">
        <v>0</v>
      </c>
      <c r="S1336" t="s">
        <v>1950</v>
      </c>
      <c r="T1336" t="s">
        <v>446</v>
      </c>
      <c r="U1336" t="s">
        <v>1951</v>
      </c>
      <c r="V1336" t="s">
        <v>1093</v>
      </c>
      <c r="W1336" t="s">
        <v>1952</v>
      </c>
      <c r="X1336" t="s">
        <v>2190</v>
      </c>
    </row>
    <row r="1337" spans="1:24" x14ac:dyDescent="0.25">
      <c r="A1337" t="s">
        <v>42</v>
      </c>
      <c r="B1337" t="s">
        <v>1403</v>
      </c>
      <c r="C1337" t="s">
        <v>333</v>
      </c>
      <c r="E1337" t="s">
        <v>978</v>
      </c>
      <c r="F1337">
        <v>4384</v>
      </c>
      <c r="G1337" t="s">
        <v>1945</v>
      </c>
      <c r="H1337" t="s">
        <v>2221</v>
      </c>
      <c r="I1337" t="s">
        <v>2222</v>
      </c>
      <c r="J1337" t="s">
        <v>1089</v>
      </c>
      <c r="K1337" t="s">
        <v>984</v>
      </c>
      <c r="L1337" t="s">
        <v>1948</v>
      </c>
      <c r="M1337" t="s">
        <v>980</v>
      </c>
      <c r="N1337" t="s">
        <v>985</v>
      </c>
      <c r="O1337" t="s">
        <v>446</v>
      </c>
      <c r="P1337" t="s">
        <v>981</v>
      </c>
      <c r="Q1337" t="b">
        <v>1</v>
      </c>
      <c r="R1337" t="b">
        <v>0</v>
      </c>
      <c r="S1337" t="s">
        <v>1950</v>
      </c>
      <c r="T1337" t="s">
        <v>446</v>
      </c>
      <c r="U1337" t="s">
        <v>1951</v>
      </c>
      <c r="V1337" t="s">
        <v>1093</v>
      </c>
      <c r="W1337" t="s">
        <v>1952</v>
      </c>
      <c r="X1337" t="s">
        <v>446</v>
      </c>
    </row>
    <row r="1338" spans="1:24" x14ac:dyDescent="0.25">
      <c r="A1338" t="s">
        <v>42</v>
      </c>
      <c r="B1338" t="s">
        <v>1405</v>
      </c>
      <c r="C1338" t="s">
        <v>333</v>
      </c>
      <c r="E1338" t="s">
        <v>986</v>
      </c>
      <c r="F1338">
        <v>4544</v>
      </c>
      <c r="G1338" t="s">
        <v>1945</v>
      </c>
      <c r="H1338" t="s">
        <v>2228</v>
      </c>
      <c r="I1338" t="s">
        <v>2222</v>
      </c>
      <c r="J1338" t="s">
        <v>1089</v>
      </c>
      <c r="K1338" t="s">
        <v>990</v>
      </c>
      <c r="L1338" t="s">
        <v>1955</v>
      </c>
      <c r="M1338" t="s">
        <v>980</v>
      </c>
      <c r="N1338" t="s">
        <v>991</v>
      </c>
      <c r="O1338" t="s">
        <v>446</v>
      </c>
      <c r="P1338" t="s">
        <v>988</v>
      </c>
      <c r="Q1338" t="b">
        <v>1</v>
      </c>
      <c r="R1338" t="b">
        <v>0</v>
      </c>
      <c r="S1338" t="s">
        <v>1950</v>
      </c>
      <c r="T1338" t="s">
        <v>446</v>
      </c>
      <c r="U1338" t="s">
        <v>1951</v>
      </c>
      <c r="V1338" t="s">
        <v>1093</v>
      </c>
      <c r="W1338" t="s">
        <v>1952</v>
      </c>
      <c r="X1338" t="s">
        <v>446</v>
      </c>
    </row>
    <row r="1339" spans="1:24" x14ac:dyDescent="0.25">
      <c r="A1339" t="s">
        <v>42</v>
      </c>
      <c r="B1339" t="s">
        <v>1407</v>
      </c>
      <c r="C1339" t="s">
        <v>333</v>
      </c>
      <c r="E1339" t="s">
        <v>992</v>
      </c>
      <c r="F1339">
        <v>5905</v>
      </c>
      <c r="G1339" t="s">
        <v>1945</v>
      </c>
      <c r="H1339" t="s">
        <v>2229</v>
      </c>
      <c r="I1339" t="s">
        <v>2222</v>
      </c>
      <c r="J1339" t="s">
        <v>1089</v>
      </c>
      <c r="K1339" t="s">
        <v>996</v>
      </c>
      <c r="L1339" t="s">
        <v>1958</v>
      </c>
      <c r="M1339" t="s">
        <v>980</v>
      </c>
      <c r="N1339" t="s">
        <v>997</v>
      </c>
      <c r="O1339" t="s">
        <v>446</v>
      </c>
      <c r="P1339" t="s">
        <v>994</v>
      </c>
      <c r="Q1339" t="b">
        <v>1</v>
      </c>
      <c r="R1339" t="b">
        <v>0</v>
      </c>
      <c r="S1339" t="s">
        <v>1950</v>
      </c>
      <c r="T1339" t="s">
        <v>446</v>
      </c>
      <c r="U1339" t="s">
        <v>1951</v>
      </c>
      <c r="V1339" t="s">
        <v>1093</v>
      </c>
      <c r="W1339" t="s">
        <v>1952</v>
      </c>
      <c r="X1339" t="s">
        <v>446</v>
      </c>
    </row>
    <row r="1340" spans="1:24" x14ac:dyDescent="0.25">
      <c r="A1340" t="s">
        <v>42</v>
      </c>
      <c r="B1340" t="s">
        <v>1409</v>
      </c>
      <c r="C1340" t="s">
        <v>333</v>
      </c>
      <c r="E1340" t="s">
        <v>998</v>
      </c>
      <c r="F1340">
        <v>6535</v>
      </c>
      <c r="G1340" t="s">
        <v>1945</v>
      </c>
      <c r="H1340" t="s">
        <v>2230</v>
      </c>
      <c r="I1340" t="s">
        <v>2222</v>
      </c>
      <c r="J1340" t="s">
        <v>1089</v>
      </c>
      <c r="K1340" t="s">
        <v>1003</v>
      </c>
      <c r="L1340" t="s">
        <v>2031</v>
      </c>
      <c r="M1340" t="s">
        <v>1000</v>
      </c>
      <c r="N1340" t="s">
        <v>1004</v>
      </c>
      <c r="O1340" t="s">
        <v>446</v>
      </c>
      <c r="P1340" t="s">
        <v>1001</v>
      </c>
      <c r="Q1340" t="b">
        <v>1</v>
      </c>
      <c r="R1340" t="b">
        <v>0</v>
      </c>
      <c r="S1340" t="s">
        <v>1950</v>
      </c>
      <c r="T1340" t="s">
        <v>446</v>
      </c>
      <c r="U1340" t="s">
        <v>1951</v>
      </c>
      <c r="V1340" t="s">
        <v>1093</v>
      </c>
      <c r="W1340" t="s">
        <v>1952</v>
      </c>
      <c r="X1340" t="s">
        <v>446</v>
      </c>
    </row>
    <row r="1341" spans="1:24" x14ac:dyDescent="0.25">
      <c r="A1341" t="s">
        <v>42</v>
      </c>
      <c r="B1341" t="s">
        <v>1411</v>
      </c>
      <c r="C1341" t="s">
        <v>333</v>
      </c>
      <c r="E1341" t="s">
        <v>1006</v>
      </c>
      <c r="F1341">
        <v>5054</v>
      </c>
      <c r="G1341" t="s">
        <v>1945</v>
      </c>
      <c r="H1341" t="s">
        <v>2231</v>
      </c>
      <c r="I1341" t="s">
        <v>2222</v>
      </c>
      <c r="J1341" t="s">
        <v>1089</v>
      </c>
      <c r="K1341" t="s">
        <v>1967</v>
      </c>
      <c r="L1341" t="s">
        <v>1968</v>
      </c>
      <c r="M1341" t="s">
        <v>980</v>
      </c>
      <c r="N1341" t="s">
        <v>1969</v>
      </c>
      <c r="O1341" t="s">
        <v>446</v>
      </c>
      <c r="P1341" t="s">
        <v>1009</v>
      </c>
      <c r="Q1341" t="b">
        <v>1</v>
      </c>
      <c r="R1341" t="b">
        <v>0</v>
      </c>
      <c r="S1341" t="s">
        <v>1950</v>
      </c>
      <c r="T1341" t="s">
        <v>446</v>
      </c>
      <c r="U1341" t="s">
        <v>1951</v>
      </c>
      <c r="V1341" t="s">
        <v>1093</v>
      </c>
      <c r="W1341" t="s">
        <v>1952</v>
      </c>
      <c r="X1341" t="s">
        <v>446</v>
      </c>
    </row>
    <row r="1342" spans="1:24" x14ac:dyDescent="0.25">
      <c r="A1342" t="s">
        <v>42</v>
      </c>
      <c r="B1342" t="s">
        <v>1413</v>
      </c>
      <c r="C1342" t="s">
        <v>333</v>
      </c>
      <c r="E1342" t="s">
        <v>1013</v>
      </c>
      <c r="F1342">
        <v>4892</v>
      </c>
      <c r="G1342" t="s">
        <v>1945</v>
      </c>
      <c r="H1342" t="s">
        <v>2232</v>
      </c>
      <c r="I1342" t="s">
        <v>2222</v>
      </c>
      <c r="J1342" t="s">
        <v>1089</v>
      </c>
      <c r="K1342" t="s">
        <v>1016</v>
      </c>
      <c r="L1342" t="s">
        <v>1972</v>
      </c>
      <c r="M1342" t="s">
        <v>980</v>
      </c>
      <c r="N1342" t="s">
        <v>1017</v>
      </c>
      <c r="O1342" t="s">
        <v>446</v>
      </c>
      <c r="P1342" t="s">
        <v>1015</v>
      </c>
      <c r="Q1342" t="b">
        <v>1</v>
      </c>
      <c r="R1342" t="b">
        <v>0</v>
      </c>
      <c r="S1342" t="s">
        <v>1950</v>
      </c>
      <c r="T1342" t="s">
        <v>446</v>
      </c>
      <c r="U1342" t="s">
        <v>1951</v>
      </c>
      <c r="V1342" t="s">
        <v>1093</v>
      </c>
      <c r="W1342" t="s">
        <v>1952</v>
      </c>
      <c r="X1342" t="s">
        <v>446</v>
      </c>
    </row>
    <row r="1343" spans="1:24" x14ac:dyDescent="0.25">
      <c r="A1343" t="s">
        <v>42</v>
      </c>
      <c r="B1343" t="s">
        <v>1415</v>
      </c>
      <c r="C1343" t="s">
        <v>333</v>
      </c>
      <c r="E1343" t="s">
        <v>1018</v>
      </c>
      <c r="F1343">
        <v>4964</v>
      </c>
      <c r="G1343" t="s">
        <v>1945</v>
      </c>
      <c r="H1343" t="s">
        <v>2233</v>
      </c>
      <c r="I1343" t="s">
        <v>2222</v>
      </c>
      <c r="J1343" t="s">
        <v>1089</v>
      </c>
      <c r="K1343" t="s">
        <v>1021</v>
      </c>
      <c r="L1343" t="s">
        <v>1975</v>
      </c>
      <c r="M1343" t="s">
        <v>980</v>
      </c>
      <c r="N1343" t="s">
        <v>1022</v>
      </c>
      <c r="O1343" t="s">
        <v>446</v>
      </c>
      <c r="P1343" t="s">
        <v>1020</v>
      </c>
      <c r="Q1343" t="b">
        <v>1</v>
      </c>
      <c r="R1343" t="b">
        <v>0</v>
      </c>
      <c r="S1343" t="s">
        <v>1950</v>
      </c>
      <c r="T1343" t="s">
        <v>446</v>
      </c>
      <c r="U1343" t="s">
        <v>1951</v>
      </c>
      <c r="V1343" t="s">
        <v>1093</v>
      </c>
      <c r="W1343" t="s">
        <v>1952</v>
      </c>
      <c r="X1343" t="s">
        <v>446</v>
      </c>
    </row>
    <row r="1344" spans="1:24" x14ac:dyDescent="0.25">
      <c r="A1344" t="s">
        <v>42</v>
      </c>
      <c r="B1344" t="s">
        <v>1417</v>
      </c>
      <c r="C1344" t="s">
        <v>333</v>
      </c>
      <c r="E1344" t="s">
        <v>1023</v>
      </c>
      <c r="F1344">
        <v>4852</v>
      </c>
      <c r="G1344" t="s">
        <v>1945</v>
      </c>
      <c r="H1344" t="s">
        <v>2234</v>
      </c>
      <c r="I1344" t="s">
        <v>2222</v>
      </c>
      <c r="J1344" t="s">
        <v>1089</v>
      </c>
      <c r="K1344" t="s">
        <v>1026</v>
      </c>
      <c r="L1344" t="s">
        <v>1979</v>
      </c>
      <c r="M1344" t="s">
        <v>1000</v>
      </c>
      <c r="N1344" t="s">
        <v>1027</v>
      </c>
      <c r="O1344" t="s">
        <v>446</v>
      </c>
      <c r="P1344" t="s">
        <v>1025</v>
      </c>
      <c r="Q1344" t="b">
        <v>1</v>
      </c>
      <c r="R1344" t="b">
        <v>0</v>
      </c>
      <c r="S1344" t="s">
        <v>1950</v>
      </c>
      <c r="T1344" t="s">
        <v>446</v>
      </c>
      <c r="U1344" t="s">
        <v>1951</v>
      </c>
      <c r="V1344" t="s">
        <v>1093</v>
      </c>
      <c r="W1344" t="s">
        <v>1952</v>
      </c>
      <c r="X1344" t="s">
        <v>446</v>
      </c>
    </row>
    <row r="1345" spans="1:24" x14ac:dyDescent="0.25">
      <c r="A1345" t="s">
        <v>42</v>
      </c>
      <c r="B1345" t="s">
        <v>1419</v>
      </c>
      <c r="C1345" t="s">
        <v>333</v>
      </c>
      <c r="E1345" t="s">
        <v>1029</v>
      </c>
      <c r="F1345">
        <v>4989</v>
      </c>
      <c r="G1345" t="s">
        <v>1945</v>
      </c>
      <c r="H1345" t="s">
        <v>2235</v>
      </c>
      <c r="I1345" t="s">
        <v>2222</v>
      </c>
      <c r="J1345" t="s">
        <v>1089</v>
      </c>
      <c r="K1345" t="s">
        <v>1033</v>
      </c>
      <c r="L1345" t="s">
        <v>1982</v>
      </c>
      <c r="M1345" t="s">
        <v>980</v>
      </c>
      <c r="N1345" t="s">
        <v>1034</v>
      </c>
      <c r="O1345" t="s">
        <v>446</v>
      </c>
      <c r="P1345" t="s">
        <v>1031</v>
      </c>
      <c r="Q1345" t="b">
        <v>1</v>
      </c>
      <c r="R1345" t="b">
        <v>0</v>
      </c>
      <c r="S1345" t="s">
        <v>1950</v>
      </c>
      <c r="T1345" t="s">
        <v>446</v>
      </c>
      <c r="U1345" t="s">
        <v>1951</v>
      </c>
      <c r="V1345" t="s">
        <v>1093</v>
      </c>
      <c r="W1345" t="s">
        <v>1952</v>
      </c>
      <c r="X1345" t="s">
        <v>446</v>
      </c>
    </row>
    <row r="1346" spans="1:24" x14ac:dyDescent="0.25">
      <c r="A1346" t="s">
        <v>42</v>
      </c>
      <c r="B1346" t="s">
        <v>1421</v>
      </c>
      <c r="C1346" t="s">
        <v>333</v>
      </c>
      <c r="E1346" t="s">
        <v>1035</v>
      </c>
      <c r="F1346">
        <v>5111</v>
      </c>
      <c r="G1346" t="s">
        <v>1945</v>
      </c>
      <c r="H1346" t="s">
        <v>2236</v>
      </c>
      <c r="I1346" t="s">
        <v>2222</v>
      </c>
      <c r="J1346" t="s">
        <v>1089</v>
      </c>
      <c r="K1346" t="s">
        <v>1038</v>
      </c>
      <c r="L1346" t="s">
        <v>1985</v>
      </c>
      <c r="M1346" t="s">
        <v>980</v>
      </c>
      <c r="N1346" t="s">
        <v>1039</v>
      </c>
      <c r="O1346" t="s">
        <v>446</v>
      </c>
      <c r="P1346" t="s">
        <v>1037</v>
      </c>
      <c r="Q1346" t="b">
        <v>1</v>
      </c>
      <c r="R1346" t="b">
        <v>0</v>
      </c>
      <c r="S1346" t="s">
        <v>1950</v>
      </c>
      <c r="T1346" t="s">
        <v>446</v>
      </c>
      <c r="U1346" t="s">
        <v>1951</v>
      </c>
      <c r="V1346" t="s">
        <v>1093</v>
      </c>
      <c r="W1346" t="s">
        <v>1952</v>
      </c>
      <c r="X1346" t="s">
        <v>446</v>
      </c>
    </row>
    <row r="1347" spans="1:24" x14ac:dyDescent="0.25">
      <c r="A1347" t="s">
        <v>42</v>
      </c>
      <c r="B1347" t="s">
        <v>1423</v>
      </c>
      <c r="C1347" t="s">
        <v>333</v>
      </c>
      <c r="E1347" t="s">
        <v>1040</v>
      </c>
      <c r="F1347">
        <v>4625</v>
      </c>
      <c r="G1347" t="s">
        <v>1945</v>
      </c>
      <c r="H1347" t="s">
        <v>2237</v>
      </c>
      <c r="I1347" t="s">
        <v>2222</v>
      </c>
      <c r="J1347" t="s">
        <v>1089</v>
      </c>
      <c r="K1347" t="s">
        <v>1043</v>
      </c>
      <c r="L1347" t="s">
        <v>1988</v>
      </c>
      <c r="M1347" t="s">
        <v>980</v>
      </c>
      <c r="N1347" t="s">
        <v>1044</v>
      </c>
      <c r="O1347" t="s">
        <v>446</v>
      </c>
      <c r="P1347" t="s">
        <v>1042</v>
      </c>
      <c r="Q1347" t="b">
        <v>1</v>
      </c>
      <c r="R1347" t="b">
        <v>0</v>
      </c>
      <c r="S1347" t="s">
        <v>1950</v>
      </c>
      <c r="T1347" t="s">
        <v>446</v>
      </c>
      <c r="U1347" t="s">
        <v>1951</v>
      </c>
      <c r="V1347" t="s">
        <v>1093</v>
      </c>
      <c r="W1347" t="s">
        <v>1952</v>
      </c>
      <c r="X1347" t="s">
        <v>446</v>
      </c>
    </row>
    <row r="1348" spans="1:24" x14ac:dyDescent="0.25">
      <c r="A1348" t="s">
        <v>42</v>
      </c>
      <c r="B1348" t="s">
        <v>1425</v>
      </c>
      <c r="C1348" t="s">
        <v>333</v>
      </c>
      <c r="E1348" t="s">
        <v>1045</v>
      </c>
      <c r="F1348">
        <v>9709</v>
      </c>
      <c r="G1348" t="s">
        <v>1945</v>
      </c>
      <c r="H1348" t="s">
        <v>2238</v>
      </c>
      <c r="I1348" t="s">
        <v>2222</v>
      </c>
      <c r="J1348" t="s">
        <v>1089</v>
      </c>
      <c r="K1348" t="s">
        <v>1048</v>
      </c>
      <c r="L1348" t="s">
        <v>1991</v>
      </c>
      <c r="M1348" t="s">
        <v>1000</v>
      </c>
      <c r="N1348" t="s">
        <v>1049</v>
      </c>
      <c r="O1348" t="s">
        <v>446</v>
      </c>
      <c r="P1348" t="s">
        <v>1047</v>
      </c>
      <c r="Q1348" t="b">
        <v>1</v>
      </c>
      <c r="R1348" t="b">
        <v>0</v>
      </c>
      <c r="S1348" t="s">
        <v>1950</v>
      </c>
      <c r="T1348" t="s">
        <v>446</v>
      </c>
      <c r="U1348" t="s">
        <v>1951</v>
      </c>
      <c r="V1348" t="s">
        <v>1093</v>
      </c>
      <c r="W1348" t="s">
        <v>1952</v>
      </c>
      <c r="X1348" t="s">
        <v>446</v>
      </c>
    </row>
    <row r="1349" spans="1:24" x14ac:dyDescent="0.25">
      <c r="A1349" t="s">
        <v>42</v>
      </c>
      <c r="B1349" t="s">
        <v>1427</v>
      </c>
      <c r="C1349" t="s">
        <v>333</v>
      </c>
      <c r="E1349" t="s">
        <v>1051</v>
      </c>
      <c r="F1349">
        <v>10902</v>
      </c>
      <c r="G1349" t="s">
        <v>1945</v>
      </c>
      <c r="H1349" t="s">
        <v>2239</v>
      </c>
      <c r="I1349" t="s">
        <v>2222</v>
      </c>
      <c r="J1349" t="s">
        <v>1089</v>
      </c>
      <c r="K1349" t="s">
        <v>1055</v>
      </c>
      <c r="L1349" t="s">
        <v>1993</v>
      </c>
      <c r="M1349" t="s">
        <v>980</v>
      </c>
      <c r="N1349" t="s">
        <v>1056</v>
      </c>
      <c r="O1349" t="s">
        <v>446</v>
      </c>
      <c r="P1349" t="s">
        <v>1053</v>
      </c>
      <c r="Q1349" t="b">
        <v>1</v>
      </c>
      <c r="R1349" t="b">
        <v>0</v>
      </c>
      <c r="S1349" t="s">
        <v>1950</v>
      </c>
      <c r="T1349" t="s">
        <v>446</v>
      </c>
      <c r="U1349" t="s">
        <v>1951</v>
      </c>
      <c r="V1349" t="s">
        <v>1093</v>
      </c>
      <c r="W1349" t="s">
        <v>1952</v>
      </c>
      <c r="X1349" t="s">
        <v>446</v>
      </c>
    </row>
    <row r="1350" spans="1:24" x14ac:dyDescent="0.25">
      <c r="A1350" t="s">
        <v>42</v>
      </c>
      <c r="B1350" t="s">
        <v>1519</v>
      </c>
      <c r="C1350" t="s">
        <v>342</v>
      </c>
      <c r="E1350" t="s">
        <v>978</v>
      </c>
      <c r="F1350">
        <v>1498</v>
      </c>
      <c r="G1350" t="s">
        <v>1945</v>
      </c>
      <c r="H1350" t="s">
        <v>2327</v>
      </c>
      <c r="I1350" t="s">
        <v>2328</v>
      </c>
      <c r="J1350" t="s">
        <v>1089</v>
      </c>
      <c r="K1350" t="s">
        <v>984</v>
      </c>
      <c r="L1350" t="s">
        <v>2329</v>
      </c>
      <c r="M1350" t="s">
        <v>446</v>
      </c>
      <c r="N1350" t="s">
        <v>446</v>
      </c>
      <c r="O1350" t="s">
        <v>446</v>
      </c>
      <c r="P1350" t="s">
        <v>981</v>
      </c>
      <c r="Q1350" t="b">
        <v>1</v>
      </c>
      <c r="R1350" t="b">
        <v>0</v>
      </c>
      <c r="S1350" t="s">
        <v>1950</v>
      </c>
      <c r="T1350" t="s">
        <v>446</v>
      </c>
      <c r="U1350" t="s">
        <v>1951</v>
      </c>
      <c r="V1350" t="s">
        <v>1093</v>
      </c>
      <c r="W1350" t="s">
        <v>1952</v>
      </c>
      <c r="X1350" t="s">
        <v>2332</v>
      </c>
    </row>
    <row r="1351" spans="1:24" x14ac:dyDescent="0.25">
      <c r="A1351" t="s">
        <v>42</v>
      </c>
      <c r="B1351" t="s">
        <v>1521</v>
      </c>
      <c r="C1351" t="s">
        <v>342</v>
      </c>
      <c r="E1351" t="s">
        <v>986</v>
      </c>
      <c r="F1351">
        <v>1643</v>
      </c>
      <c r="G1351" t="s">
        <v>2012</v>
      </c>
      <c r="H1351" t="s">
        <v>2333</v>
      </c>
      <c r="I1351" t="s">
        <v>2971</v>
      </c>
      <c r="J1351" t="s">
        <v>1089</v>
      </c>
      <c r="K1351" t="s">
        <v>990</v>
      </c>
      <c r="L1351" t="s">
        <v>2334</v>
      </c>
      <c r="M1351" t="s">
        <v>446</v>
      </c>
      <c r="N1351" t="s">
        <v>446</v>
      </c>
      <c r="O1351" t="s">
        <v>446</v>
      </c>
      <c r="P1351" t="s">
        <v>988</v>
      </c>
      <c r="Q1351" t="b">
        <v>1</v>
      </c>
      <c r="R1351" t="b">
        <v>0</v>
      </c>
      <c r="S1351" t="s">
        <v>1950</v>
      </c>
      <c r="T1351" t="s">
        <v>446</v>
      </c>
      <c r="U1351" t="s">
        <v>1951</v>
      </c>
      <c r="V1351" t="s">
        <v>1093</v>
      </c>
      <c r="W1351" t="s">
        <v>1952</v>
      </c>
      <c r="X1351" t="s">
        <v>2337</v>
      </c>
    </row>
    <row r="1352" spans="1:24" x14ac:dyDescent="0.25">
      <c r="A1352" t="s">
        <v>42</v>
      </c>
      <c r="B1352" t="s">
        <v>1523</v>
      </c>
      <c r="C1352" t="s">
        <v>342</v>
      </c>
      <c r="E1352" t="s">
        <v>992</v>
      </c>
      <c r="F1352">
        <v>1603</v>
      </c>
      <c r="G1352" t="s">
        <v>2012</v>
      </c>
      <c r="H1352" t="s">
        <v>2338</v>
      </c>
      <c r="I1352" t="s">
        <v>2971</v>
      </c>
      <c r="J1352" t="s">
        <v>1089</v>
      </c>
      <c r="K1352" t="s">
        <v>996</v>
      </c>
      <c r="L1352" t="s">
        <v>2339</v>
      </c>
      <c r="M1352" t="s">
        <v>446</v>
      </c>
      <c r="N1352" t="s">
        <v>446</v>
      </c>
      <c r="O1352" t="s">
        <v>446</v>
      </c>
      <c r="P1352" t="s">
        <v>994</v>
      </c>
      <c r="Q1352" t="b">
        <v>1</v>
      </c>
      <c r="R1352" t="b">
        <v>0</v>
      </c>
      <c r="S1352" t="s">
        <v>1950</v>
      </c>
      <c r="T1352" t="s">
        <v>446</v>
      </c>
      <c r="U1352" t="s">
        <v>1951</v>
      </c>
      <c r="V1352" t="s">
        <v>1093</v>
      </c>
      <c r="W1352" t="s">
        <v>1952</v>
      </c>
      <c r="X1352" t="s">
        <v>2337</v>
      </c>
    </row>
    <row r="1353" spans="1:24" x14ac:dyDescent="0.25">
      <c r="A1353" t="s">
        <v>42</v>
      </c>
      <c r="B1353" t="s">
        <v>1525</v>
      </c>
      <c r="C1353" t="s">
        <v>342</v>
      </c>
      <c r="E1353" t="s">
        <v>998</v>
      </c>
      <c r="F1353">
        <v>1593</v>
      </c>
      <c r="G1353" t="s">
        <v>2012</v>
      </c>
      <c r="H1353" t="s">
        <v>2340</v>
      </c>
      <c r="I1353" t="s">
        <v>2971</v>
      </c>
      <c r="J1353" t="s">
        <v>1089</v>
      </c>
      <c r="K1353" t="s">
        <v>1003</v>
      </c>
      <c r="L1353" t="s">
        <v>2341</v>
      </c>
      <c r="M1353" t="s">
        <v>1000</v>
      </c>
      <c r="N1353" t="s">
        <v>446</v>
      </c>
      <c r="O1353" t="s">
        <v>446</v>
      </c>
      <c r="P1353" t="s">
        <v>1001</v>
      </c>
      <c r="Q1353" t="b">
        <v>1</v>
      </c>
      <c r="R1353" t="b">
        <v>0</v>
      </c>
      <c r="S1353" t="s">
        <v>1950</v>
      </c>
      <c r="T1353" t="s">
        <v>446</v>
      </c>
      <c r="U1353" t="s">
        <v>1951</v>
      </c>
      <c r="V1353" t="s">
        <v>1093</v>
      </c>
      <c r="W1353" t="s">
        <v>1952</v>
      </c>
      <c r="X1353" t="s">
        <v>2337</v>
      </c>
    </row>
    <row r="1354" spans="1:24" x14ac:dyDescent="0.25">
      <c r="A1354" t="s">
        <v>42</v>
      </c>
      <c r="B1354" t="s">
        <v>1527</v>
      </c>
      <c r="C1354" t="s">
        <v>342</v>
      </c>
      <c r="E1354" t="s">
        <v>1006</v>
      </c>
      <c r="F1354">
        <v>1485</v>
      </c>
      <c r="G1354" t="s">
        <v>1945</v>
      </c>
      <c r="H1354" t="s">
        <v>2342</v>
      </c>
      <c r="I1354" t="s">
        <v>2343</v>
      </c>
      <c r="J1354" t="s">
        <v>1089</v>
      </c>
      <c r="K1354" t="s">
        <v>1967</v>
      </c>
      <c r="L1354" t="s">
        <v>1968</v>
      </c>
      <c r="M1354" t="s">
        <v>980</v>
      </c>
      <c r="N1354" t="s">
        <v>1969</v>
      </c>
      <c r="O1354" t="s">
        <v>446</v>
      </c>
      <c r="P1354" t="s">
        <v>1009</v>
      </c>
      <c r="Q1354" t="b">
        <v>1</v>
      </c>
      <c r="R1354" t="b">
        <v>0</v>
      </c>
      <c r="S1354" t="s">
        <v>1950</v>
      </c>
      <c r="T1354" t="s">
        <v>446</v>
      </c>
      <c r="U1354" t="s">
        <v>1951</v>
      </c>
      <c r="V1354" t="s">
        <v>1093</v>
      </c>
      <c r="W1354" t="s">
        <v>1952</v>
      </c>
      <c r="X1354" t="s">
        <v>2344</v>
      </c>
    </row>
    <row r="1355" spans="1:24" x14ac:dyDescent="0.25">
      <c r="A1355" t="s">
        <v>42</v>
      </c>
      <c r="B1355" t="s">
        <v>1529</v>
      </c>
      <c r="C1355" t="s">
        <v>342</v>
      </c>
      <c r="E1355" t="s">
        <v>1013</v>
      </c>
      <c r="F1355">
        <v>1622</v>
      </c>
      <c r="G1355" t="s">
        <v>1945</v>
      </c>
      <c r="H1355" t="s">
        <v>2346</v>
      </c>
      <c r="I1355" t="s">
        <v>2328</v>
      </c>
      <c r="J1355" t="s">
        <v>1089</v>
      </c>
      <c r="K1355" t="s">
        <v>1016</v>
      </c>
      <c r="L1355" t="s">
        <v>2347</v>
      </c>
      <c r="M1355" t="s">
        <v>446</v>
      </c>
      <c r="N1355" t="s">
        <v>446</v>
      </c>
      <c r="O1355" t="s">
        <v>446</v>
      </c>
      <c r="P1355" t="s">
        <v>1015</v>
      </c>
      <c r="Q1355" t="b">
        <v>1</v>
      </c>
      <c r="R1355" t="b">
        <v>0</v>
      </c>
      <c r="S1355" t="s">
        <v>1950</v>
      </c>
      <c r="T1355" t="s">
        <v>446</v>
      </c>
      <c r="U1355" t="s">
        <v>1951</v>
      </c>
      <c r="V1355" t="s">
        <v>1093</v>
      </c>
      <c r="W1355" t="s">
        <v>1952</v>
      </c>
      <c r="X1355" t="s">
        <v>2332</v>
      </c>
    </row>
    <row r="1356" spans="1:24" x14ac:dyDescent="0.25">
      <c r="A1356" t="s">
        <v>42</v>
      </c>
      <c r="B1356" t="s">
        <v>1531</v>
      </c>
      <c r="C1356" t="s">
        <v>342</v>
      </c>
      <c r="E1356" t="s">
        <v>1018</v>
      </c>
      <c r="F1356">
        <v>1479</v>
      </c>
      <c r="G1356" t="s">
        <v>1945</v>
      </c>
      <c r="H1356" t="s">
        <v>2348</v>
      </c>
      <c r="I1356" t="s">
        <v>2328</v>
      </c>
      <c r="J1356" t="s">
        <v>1089</v>
      </c>
      <c r="K1356" t="s">
        <v>1021</v>
      </c>
      <c r="L1356" t="s">
        <v>2349</v>
      </c>
      <c r="M1356" t="s">
        <v>446</v>
      </c>
      <c r="N1356" t="s">
        <v>446</v>
      </c>
      <c r="O1356" t="s">
        <v>446</v>
      </c>
      <c r="P1356" t="s">
        <v>1020</v>
      </c>
      <c r="Q1356" t="b">
        <v>1</v>
      </c>
      <c r="R1356" t="b">
        <v>0</v>
      </c>
      <c r="S1356" t="s">
        <v>1950</v>
      </c>
      <c r="T1356" t="s">
        <v>446</v>
      </c>
      <c r="U1356" t="s">
        <v>1951</v>
      </c>
      <c r="V1356" t="s">
        <v>1093</v>
      </c>
      <c r="W1356" t="s">
        <v>1952</v>
      </c>
      <c r="X1356" t="s">
        <v>2332</v>
      </c>
    </row>
    <row r="1357" spans="1:24" x14ac:dyDescent="0.25">
      <c r="A1357" t="s">
        <v>42</v>
      </c>
      <c r="B1357" t="s">
        <v>1533</v>
      </c>
      <c r="C1357" t="s">
        <v>342</v>
      </c>
      <c r="E1357" t="s">
        <v>1023</v>
      </c>
      <c r="F1357">
        <v>1387</v>
      </c>
      <c r="G1357" t="s">
        <v>1945</v>
      </c>
      <c r="H1357" t="s">
        <v>2350</v>
      </c>
      <c r="I1357" t="s">
        <v>2328</v>
      </c>
      <c r="J1357" t="s">
        <v>1089</v>
      </c>
      <c r="K1357" t="s">
        <v>1026</v>
      </c>
      <c r="L1357" t="s">
        <v>2037</v>
      </c>
      <c r="M1357" t="s">
        <v>1000</v>
      </c>
      <c r="N1357" t="s">
        <v>446</v>
      </c>
      <c r="O1357" t="s">
        <v>446</v>
      </c>
      <c r="P1357" t="s">
        <v>1025</v>
      </c>
      <c r="Q1357" t="b">
        <v>1</v>
      </c>
      <c r="R1357" t="b">
        <v>0</v>
      </c>
      <c r="S1357" t="s">
        <v>1950</v>
      </c>
      <c r="T1357" t="s">
        <v>446</v>
      </c>
      <c r="U1357" t="s">
        <v>1951</v>
      </c>
      <c r="V1357" t="s">
        <v>1093</v>
      </c>
      <c r="W1357" t="s">
        <v>1952</v>
      </c>
      <c r="X1357" t="s">
        <v>2332</v>
      </c>
    </row>
    <row r="1358" spans="1:24" x14ac:dyDescent="0.25">
      <c r="A1358" t="s">
        <v>42</v>
      </c>
      <c r="B1358" t="s">
        <v>1535</v>
      </c>
      <c r="C1358" t="s">
        <v>342</v>
      </c>
      <c r="E1358" t="s">
        <v>1029</v>
      </c>
      <c r="F1358">
        <v>1728</v>
      </c>
      <c r="G1358" t="s">
        <v>1945</v>
      </c>
      <c r="H1358" t="s">
        <v>2351</v>
      </c>
      <c r="I1358" t="s">
        <v>2328</v>
      </c>
      <c r="J1358" t="s">
        <v>1089</v>
      </c>
      <c r="K1358" t="s">
        <v>1033</v>
      </c>
      <c r="L1358" t="s">
        <v>2352</v>
      </c>
      <c r="M1358" t="s">
        <v>446</v>
      </c>
      <c r="N1358" t="s">
        <v>446</v>
      </c>
      <c r="O1358" t="s">
        <v>446</v>
      </c>
      <c r="P1358" t="s">
        <v>1031</v>
      </c>
      <c r="Q1358" t="b">
        <v>1</v>
      </c>
      <c r="R1358" t="b">
        <v>0</v>
      </c>
      <c r="S1358" t="s">
        <v>1950</v>
      </c>
      <c r="T1358" t="s">
        <v>446</v>
      </c>
      <c r="U1358" t="s">
        <v>1951</v>
      </c>
      <c r="V1358" t="s">
        <v>1093</v>
      </c>
      <c r="W1358" t="s">
        <v>1952</v>
      </c>
      <c r="X1358" t="s">
        <v>2332</v>
      </c>
    </row>
    <row r="1359" spans="1:24" x14ac:dyDescent="0.25">
      <c r="A1359" t="s">
        <v>42</v>
      </c>
      <c r="B1359" t="s">
        <v>1537</v>
      </c>
      <c r="C1359" t="s">
        <v>342</v>
      </c>
      <c r="E1359" t="s">
        <v>1035</v>
      </c>
      <c r="F1359">
        <v>444</v>
      </c>
      <c r="G1359" t="s">
        <v>1945</v>
      </c>
      <c r="H1359" t="s">
        <v>2353</v>
      </c>
      <c r="I1359" t="s">
        <v>2328</v>
      </c>
      <c r="J1359" t="s">
        <v>1089</v>
      </c>
      <c r="K1359" t="s">
        <v>1038</v>
      </c>
      <c r="L1359" t="s">
        <v>2354</v>
      </c>
      <c r="M1359" t="s">
        <v>446</v>
      </c>
      <c r="N1359" t="s">
        <v>446</v>
      </c>
      <c r="O1359" t="s">
        <v>446</v>
      </c>
      <c r="P1359" t="s">
        <v>1037</v>
      </c>
      <c r="Q1359" t="b">
        <v>1</v>
      </c>
      <c r="R1359" t="b">
        <v>0</v>
      </c>
      <c r="S1359" t="s">
        <v>1950</v>
      </c>
      <c r="T1359" t="s">
        <v>446</v>
      </c>
      <c r="U1359" t="s">
        <v>1951</v>
      </c>
      <c r="V1359" t="s">
        <v>1093</v>
      </c>
      <c r="W1359" t="s">
        <v>1952</v>
      </c>
      <c r="X1359" t="s">
        <v>2332</v>
      </c>
    </row>
    <row r="1360" spans="1:24" x14ac:dyDescent="0.25">
      <c r="A1360" t="s">
        <v>42</v>
      </c>
      <c r="B1360" t="s">
        <v>1539</v>
      </c>
      <c r="C1360" t="s">
        <v>342</v>
      </c>
      <c r="E1360" t="s">
        <v>1040</v>
      </c>
      <c r="F1360">
        <v>568</v>
      </c>
      <c r="G1360" t="s">
        <v>1945</v>
      </c>
      <c r="H1360" t="s">
        <v>2355</v>
      </c>
      <c r="I1360" t="s">
        <v>2328</v>
      </c>
      <c r="J1360" t="s">
        <v>1089</v>
      </c>
      <c r="K1360" t="s">
        <v>1043</v>
      </c>
      <c r="L1360" t="s">
        <v>2356</v>
      </c>
      <c r="M1360" t="s">
        <v>446</v>
      </c>
      <c r="N1360" t="s">
        <v>446</v>
      </c>
      <c r="O1360" t="s">
        <v>446</v>
      </c>
      <c r="P1360" t="s">
        <v>1042</v>
      </c>
      <c r="Q1360" t="b">
        <v>1</v>
      </c>
      <c r="R1360" t="b">
        <v>0</v>
      </c>
      <c r="S1360" t="s">
        <v>1950</v>
      </c>
      <c r="T1360" t="s">
        <v>446</v>
      </c>
      <c r="U1360" t="s">
        <v>1951</v>
      </c>
      <c r="V1360" t="s">
        <v>1093</v>
      </c>
      <c r="W1360" t="s">
        <v>1952</v>
      </c>
      <c r="X1360" t="s">
        <v>2332</v>
      </c>
    </row>
    <row r="1361" spans="1:24" x14ac:dyDescent="0.25">
      <c r="A1361" t="s">
        <v>42</v>
      </c>
      <c r="B1361" t="s">
        <v>1541</v>
      </c>
      <c r="C1361" t="s">
        <v>342</v>
      </c>
      <c r="E1361" t="s">
        <v>1045</v>
      </c>
      <c r="F1361">
        <v>525</v>
      </c>
      <c r="G1361" t="s">
        <v>1945</v>
      </c>
      <c r="H1361" t="s">
        <v>2357</v>
      </c>
      <c r="I1361" t="s">
        <v>2328</v>
      </c>
      <c r="J1361" t="s">
        <v>1089</v>
      </c>
      <c r="K1361" t="s">
        <v>1048</v>
      </c>
      <c r="L1361" t="s">
        <v>2043</v>
      </c>
      <c r="M1361" t="s">
        <v>1000</v>
      </c>
      <c r="N1361" t="s">
        <v>446</v>
      </c>
      <c r="O1361" t="s">
        <v>446</v>
      </c>
      <c r="P1361" t="s">
        <v>1047</v>
      </c>
      <c r="Q1361" t="b">
        <v>1</v>
      </c>
      <c r="R1361" t="b">
        <v>0</v>
      </c>
      <c r="S1361" t="s">
        <v>1950</v>
      </c>
      <c r="T1361" t="s">
        <v>446</v>
      </c>
      <c r="U1361" t="s">
        <v>1951</v>
      </c>
      <c r="V1361" t="s">
        <v>1093</v>
      </c>
      <c r="W1361" t="s">
        <v>1952</v>
      </c>
      <c r="X1361" t="s">
        <v>2332</v>
      </c>
    </row>
    <row r="1362" spans="1:24" x14ac:dyDescent="0.25">
      <c r="A1362" t="s">
        <v>42</v>
      </c>
      <c r="B1362" t="s">
        <v>1543</v>
      </c>
      <c r="C1362" t="s">
        <v>342</v>
      </c>
      <c r="E1362" t="s">
        <v>1051</v>
      </c>
      <c r="F1362">
        <v>717</v>
      </c>
      <c r="G1362" t="s">
        <v>1945</v>
      </c>
      <c r="H1362" t="s">
        <v>2358</v>
      </c>
      <c r="I1362" t="s">
        <v>2343</v>
      </c>
      <c r="J1362" t="s">
        <v>1089</v>
      </c>
      <c r="K1362" t="s">
        <v>1055</v>
      </c>
      <c r="L1362" t="s">
        <v>1993</v>
      </c>
      <c r="M1362" t="s">
        <v>980</v>
      </c>
      <c r="N1362" t="s">
        <v>1056</v>
      </c>
      <c r="O1362" t="s">
        <v>446</v>
      </c>
      <c r="P1362" t="s">
        <v>1053</v>
      </c>
      <c r="Q1362" t="b">
        <v>1</v>
      </c>
      <c r="R1362" t="b">
        <v>0</v>
      </c>
      <c r="S1362" t="s">
        <v>1950</v>
      </c>
      <c r="T1362" t="s">
        <v>446</v>
      </c>
      <c r="U1362" t="s">
        <v>1951</v>
      </c>
      <c r="V1362" t="s">
        <v>1093</v>
      </c>
      <c r="W1362" t="s">
        <v>1952</v>
      </c>
      <c r="X1362" t="s">
        <v>2344</v>
      </c>
    </row>
    <row r="1363" spans="1:24" x14ac:dyDescent="0.25">
      <c r="A1363" t="s">
        <v>42</v>
      </c>
      <c r="B1363" t="s">
        <v>1545</v>
      </c>
      <c r="C1363" t="s">
        <v>343</v>
      </c>
      <c r="E1363" t="s">
        <v>1029</v>
      </c>
      <c r="F1363">
        <v>373</v>
      </c>
      <c r="G1363" t="s">
        <v>2012</v>
      </c>
      <c r="H1363" t="s">
        <v>2395</v>
      </c>
      <c r="I1363" t="s">
        <v>2361</v>
      </c>
      <c r="J1363" t="s">
        <v>1089</v>
      </c>
      <c r="K1363" t="s">
        <v>1033</v>
      </c>
      <c r="L1363" t="s">
        <v>2396</v>
      </c>
      <c r="M1363" t="s">
        <v>980</v>
      </c>
      <c r="N1363" t="s">
        <v>1034</v>
      </c>
      <c r="O1363" t="s">
        <v>446</v>
      </c>
      <c r="P1363" t="s">
        <v>1031</v>
      </c>
      <c r="Q1363" t="b">
        <v>1</v>
      </c>
      <c r="R1363" t="b">
        <v>0</v>
      </c>
      <c r="S1363" t="s">
        <v>1950</v>
      </c>
      <c r="T1363" t="s">
        <v>446</v>
      </c>
      <c r="U1363" t="s">
        <v>1951</v>
      </c>
      <c r="V1363" t="s">
        <v>1093</v>
      </c>
      <c r="W1363" t="s">
        <v>1952</v>
      </c>
      <c r="X1363" t="s">
        <v>446</v>
      </c>
    </row>
    <row r="1364" spans="1:24" x14ac:dyDescent="0.25">
      <c r="A1364" t="s">
        <v>42</v>
      </c>
      <c r="B1364" t="s">
        <v>1547</v>
      </c>
      <c r="C1364" t="s">
        <v>343</v>
      </c>
      <c r="E1364" t="s">
        <v>1035</v>
      </c>
      <c r="F1364">
        <v>339</v>
      </c>
      <c r="G1364" t="s">
        <v>2012</v>
      </c>
      <c r="H1364" t="s">
        <v>2399</v>
      </c>
      <c r="I1364" t="s">
        <v>2361</v>
      </c>
      <c r="J1364" t="s">
        <v>1089</v>
      </c>
      <c r="K1364" t="s">
        <v>1038</v>
      </c>
      <c r="L1364" t="s">
        <v>2400</v>
      </c>
      <c r="M1364" t="s">
        <v>980</v>
      </c>
      <c r="N1364" t="s">
        <v>1039</v>
      </c>
      <c r="O1364" t="s">
        <v>446</v>
      </c>
      <c r="P1364" t="s">
        <v>1037</v>
      </c>
      <c r="Q1364" t="b">
        <v>1</v>
      </c>
      <c r="R1364" t="b">
        <v>0</v>
      </c>
      <c r="S1364" t="s">
        <v>1950</v>
      </c>
      <c r="T1364" t="s">
        <v>446</v>
      </c>
      <c r="U1364" t="s">
        <v>1951</v>
      </c>
      <c r="V1364" t="s">
        <v>1093</v>
      </c>
      <c r="W1364" t="s">
        <v>1952</v>
      </c>
      <c r="X1364" t="s">
        <v>446</v>
      </c>
    </row>
    <row r="1365" spans="1:24" x14ac:dyDescent="0.25">
      <c r="A1365" t="s">
        <v>42</v>
      </c>
      <c r="B1365" t="s">
        <v>1549</v>
      </c>
      <c r="C1365" t="s">
        <v>343</v>
      </c>
      <c r="E1365" t="s">
        <v>1040</v>
      </c>
      <c r="F1365">
        <v>327</v>
      </c>
      <c r="G1365" t="s">
        <v>2012</v>
      </c>
      <c r="H1365" t="s">
        <v>2401</v>
      </c>
      <c r="I1365" t="s">
        <v>2361</v>
      </c>
      <c r="J1365" t="s">
        <v>1089</v>
      </c>
      <c r="K1365" t="s">
        <v>1043</v>
      </c>
      <c r="L1365" t="s">
        <v>2402</v>
      </c>
      <c r="M1365" t="s">
        <v>980</v>
      </c>
      <c r="N1365" t="s">
        <v>1044</v>
      </c>
      <c r="O1365" t="s">
        <v>446</v>
      </c>
      <c r="P1365" t="s">
        <v>1042</v>
      </c>
      <c r="Q1365" t="b">
        <v>1</v>
      </c>
      <c r="R1365" t="b">
        <v>0</v>
      </c>
      <c r="S1365" t="s">
        <v>1950</v>
      </c>
      <c r="T1365" t="s">
        <v>446</v>
      </c>
      <c r="U1365" t="s">
        <v>1951</v>
      </c>
      <c r="V1365" t="s">
        <v>1093</v>
      </c>
      <c r="W1365" t="s">
        <v>1952</v>
      </c>
      <c r="X1365" t="s">
        <v>446</v>
      </c>
    </row>
    <row r="1366" spans="1:24" x14ac:dyDescent="0.25">
      <c r="A1366" t="s">
        <v>42</v>
      </c>
      <c r="B1366" t="s">
        <v>1551</v>
      </c>
      <c r="C1366" t="s">
        <v>343</v>
      </c>
      <c r="E1366" t="s">
        <v>1045</v>
      </c>
      <c r="F1366">
        <v>13229</v>
      </c>
      <c r="G1366" t="s">
        <v>2012</v>
      </c>
      <c r="H1366" t="s">
        <v>2403</v>
      </c>
      <c r="I1366" t="s">
        <v>2378</v>
      </c>
      <c r="J1366" t="s">
        <v>1089</v>
      </c>
      <c r="K1366" t="s">
        <v>1048</v>
      </c>
      <c r="L1366" t="s">
        <v>2404</v>
      </c>
      <c r="M1366" t="s">
        <v>1000</v>
      </c>
      <c r="N1366" t="s">
        <v>1049</v>
      </c>
      <c r="O1366" t="s">
        <v>446</v>
      </c>
      <c r="P1366" t="s">
        <v>1047</v>
      </c>
      <c r="Q1366" t="b">
        <v>1</v>
      </c>
      <c r="R1366" t="b">
        <v>0</v>
      </c>
      <c r="S1366" t="s">
        <v>1950</v>
      </c>
      <c r="T1366" t="s">
        <v>446</v>
      </c>
      <c r="U1366" t="s">
        <v>1951</v>
      </c>
      <c r="V1366" t="s">
        <v>1093</v>
      </c>
      <c r="W1366" t="s">
        <v>1952</v>
      </c>
      <c r="X1366" t="s">
        <v>446</v>
      </c>
    </row>
    <row r="1367" spans="1:24" x14ac:dyDescent="0.25">
      <c r="A1367" t="s">
        <v>42</v>
      </c>
      <c r="B1367" t="s">
        <v>1588</v>
      </c>
      <c r="C1367" t="s">
        <v>348</v>
      </c>
      <c r="E1367" t="s">
        <v>1029</v>
      </c>
      <c r="F1367">
        <v>4313</v>
      </c>
      <c r="G1367" t="s">
        <v>2012</v>
      </c>
      <c r="H1367" t="s">
        <v>2507</v>
      </c>
      <c r="I1367" t="s">
        <v>2972</v>
      </c>
      <c r="J1367" t="s">
        <v>1089</v>
      </c>
      <c r="K1367" t="s">
        <v>1033</v>
      </c>
      <c r="L1367" t="s">
        <v>1982</v>
      </c>
      <c r="M1367" t="s">
        <v>980</v>
      </c>
      <c r="N1367" t="s">
        <v>1034</v>
      </c>
      <c r="O1367" t="s">
        <v>446</v>
      </c>
      <c r="P1367" t="s">
        <v>1031</v>
      </c>
      <c r="Q1367" t="b">
        <v>1</v>
      </c>
      <c r="R1367" t="b">
        <v>0</v>
      </c>
      <c r="S1367" t="s">
        <v>1950</v>
      </c>
      <c r="T1367" t="s">
        <v>446</v>
      </c>
      <c r="U1367" t="s">
        <v>1951</v>
      </c>
      <c r="V1367" t="s">
        <v>1093</v>
      </c>
      <c r="W1367" t="s">
        <v>1952</v>
      </c>
      <c r="X1367" t="s">
        <v>2510</v>
      </c>
    </row>
    <row r="1368" spans="1:24" x14ac:dyDescent="0.25">
      <c r="A1368" t="s">
        <v>42</v>
      </c>
      <c r="B1368" t="s">
        <v>1590</v>
      </c>
      <c r="C1368" t="s">
        <v>348</v>
      </c>
      <c r="E1368" t="s">
        <v>1035</v>
      </c>
      <c r="F1368">
        <v>4856</v>
      </c>
      <c r="G1368" t="s">
        <v>2012</v>
      </c>
      <c r="H1368" t="s">
        <v>2511</v>
      </c>
      <c r="I1368" t="s">
        <v>2972</v>
      </c>
      <c r="J1368" t="s">
        <v>1089</v>
      </c>
      <c r="K1368" t="s">
        <v>1038</v>
      </c>
      <c r="L1368" t="s">
        <v>1985</v>
      </c>
      <c r="M1368" t="s">
        <v>980</v>
      </c>
      <c r="N1368" t="s">
        <v>1039</v>
      </c>
      <c r="O1368" t="s">
        <v>446</v>
      </c>
      <c r="P1368" t="s">
        <v>1037</v>
      </c>
      <c r="Q1368" t="b">
        <v>1</v>
      </c>
      <c r="R1368" t="b">
        <v>0</v>
      </c>
      <c r="S1368" t="s">
        <v>1950</v>
      </c>
      <c r="T1368" t="s">
        <v>446</v>
      </c>
      <c r="U1368" t="s">
        <v>1951</v>
      </c>
      <c r="V1368" t="s">
        <v>1093</v>
      </c>
      <c r="W1368" t="s">
        <v>1952</v>
      </c>
      <c r="X1368" t="s">
        <v>2510</v>
      </c>
    </row>
    <row r="1369" spans="1:24" x14ac:dyDescent="0.25">
      <c r="A1369" t="s">
        <v>42</v>
      </c>
      <c r="B1369" t="s">
        <v>1592</v>
      </c>
      <c r="C1369" t="s">
        <v>348</v>
      </c>
      <c r="E1369" t="s">
        <v>1040</v>
      </c>
      <c r="F1369">
        <v>4667</v>
      </c>
      <c r="G1369" t="s">
        <v>2012</v>
      </c>
      <c r="H1369" t="s">
        <v>2512</v>
      </c>
      <c r="I1369" t="s">
        <v>2972</v>
      </c>
      <c r="J1369" t="s">
        <v>1089</v>
      </c>
      <c r="K1369" t="s">
        <v>1043</v>
      </c>
      <c r="L1369" t="s">
        <v>1988</v>
      </c>
      <c r="M1369" t="s">
        <v>980</v>
      </c>
      <c r="N1369" t="s">
        <v>1044</v>
      </c>
      <c r="O1369" t="s">
        <v>446</v>
      </c>
      <c r="P1369" t="s">
        <v>1042</v>
      </c>
      <c r="Q1369" t="b">
        <v>1</v>
      </c>
      <c r="R1369" t="b">
        <v>0</v>
      </c>
      <c r="S1369" t="s">
        <v>1950</v>
      </c>
      <c r="T1369" t="s">
        <v>446</v>
      </c>
      <c r="U1369" t="s">
        <v>1951</v>
      </c>
      <c r="V1369" t="s">
        <v>1093</v>
      </c>
      <c r="W1369" t="s">
        <v>1952</v>
      </c>
      <c r="X1369" t="s">
        <v>2510</v>
      </c>
    </row>
    <row r="1370" spans="1:24" x14ac:dyDescent="0.25">
      <c r="A1370" t="s">
        <v>42</v>
      </c>
      <c r="B1370" t="s">
        <v>1594</v>
      </c>
      <c r="C1370" t="s">
        <v>348</v>
      </c>
      <c r="E1370" t="s">
        <v>1045</v>
      </c>
      <c r="F1370">
        <v>4735</v>
      </c>
      <c r="G1370" t="s">
        <v>2012</v>
      </c>
      <c r="H1370" t="s">
        <v>2513</v>
      </c>
      <c r="I1370" t="s">
        <v>2973</v>
      </c>
      <c r="J1370" t="s">
        <v>1089</v>
      </c>
      <c r="K1370" t="s">
        <v>1048</v>
      </c>
      <c r="L1370" t="s">
        <v>1991</v>
      </c>
      <c r="M1370" t="s">
        <v>1000</v>
      </c>
      <c r="N1370" t="s">
        <v>1049</v>
      </c>
      <c r="O1370" t="s">
        <v>446</v>
      </c>
      <c r="P1370" t="s">
        <v>1047</v>
      </c>
      <c r="Q1370" t="b">
        <v>1</v>
      </c>
      <c r="R1370" t="b">
        <v>0</v>
      </c>
      <c r="S1370" t="s">
        <v>1950</v>
      </c>
      <c r="T1370" t="s">
        <v>446</v>
      </c>
      <c r="U1370" t="s">
        <v>1951</v>
      </c>
      <c r="V1370" t="s">
        <v>1093</v>
      </c>
      <c r="W1370" t="s">
        <v>1952</v>
      </c>
      <c r="X1370" t="s">
        <v>2515</v>
      </c>
    </row>
    <row r="1371" spans="1:24" x14ac:dyDescent="0.25">
      <c r="A1371" t="s">
        <v>42</v>
      </c>
      <c r="B1371" t="s">
        <v>2974</v>
      </c>
      <c r="C1371" t="s">
        <v>340</v>
      </c>
      <c r="E1371" t="s">
        <v>978</v>
      </c>
      <c r="F1371">
        <v>97404</v>
      </c>
      <c r="G1371" t="s">
        <v>2879</v>
      </c>
      <c r="H1371" t="s">
        <v>488</v>
      </c>
      <c r="J1371" t="s">
        <v>1089</v>
      </c>
      <c r="K1371" t="s">
        <v>984</v>
      </c>
      <c r="L1371" t="s">
        <v>446</v>
      </c>
      <c r="Q1371" t="b">
        <v>1</v>
      </c>
      <c r="R1371" t="b">
        <v>1</v>
      </c>
      <c r="S1371" t="s">
        <v>2160</v>
      </c>
      <c r="T1371" t="s">
        <v>446</v>
      </c>
      <c r="U1371" t="s">
        <v>1951</v>
      </c>
      <c r="V1371" t="s">
        <v>1093</v>
      </c>
      <c r="W1371" t="s">
        <v>1952</v>
      </c>
      <c r="X1371" t="s">
        <v>446</v>
      </c>
    </row>
    <row r="1372" spans="1:24" x14ac:dyDescent="0.25">
      <c r="A1372" t="s">
        <v>42</v>
      </c>
      <c r="B1372" t="s">
        <v>2975</v>
      </c>
      <c r="C1372" t="s">
        <v>334</v>
      </c>
      <c r="E1372" t="s">
        <v>978</v>
      </c>
      <c r="F1372">
        <v>26880</v>
      </c>
      <c r="G1372" t="s">
        <v>2879</v>
      </c>
      <c r="H1372" t="s">
        <v>2976</v>
      </c>
      <c r="J1372" t="s">
        <v>1089</v>
      </c>
      <c r="K1372" t="s">
        <v>984</v>
      </c>
      <c r="L1372" t="s">
        <v>446</v>
      </c>
      <c r="Q1372" t="b">
        <v>1</v>
      </c>
      <c r="R1372" t="b">
        <v>1</v>
      </c>
      <c r="S1372" t="s">
        <v>2160</v>
      </c>
      <c r="T1372" t="s">
        <v>446</v>
      </c>
      <c r="U1372" t="s">
        <v>1951</v>
      </c>
      <c r="V1372" t="s">
        <v>1093</v>
      </c>
      <c r="W1372" t="s">
        <v>1952</v>
      </c>
      <c r="X1372" t="s">
        <v>446</v>
      </c>
    </row>
    <row r="1373" spans="1:24" x14ac:dyDescent="0.25">
      <c r="A1373" t="s">
        <v>42</v>
      </c>
      <c r="B1373" t="s">
        <v>2977</v>
      </c>
      <c r="C1373" t="s">
        <v>339</v>
      </c>
      <c r="E1373" t="s">
        <v>978</v>
      </c>
      <c r="F1373">
        <v>70524</v>
      </c>
      <c r="G1373" t="s">
        <v>2879</v>
      </c>
      <c r="H1373" t="s">
        <v>2978</v>
      </c>
      <c r="J1373" t="s">
        <v>1089</v>
      </c>
      <c r="K1373" t="s">
        <v>446</v>
      </c>
      <c r="L1373" t="s">
        <v>446</v>
      </c>
      <c r="Q1373" t="b">
        <v>1</v>
      </c>
      <c r="R1373" t="b">
        <v>1</v>
      </c>
      <c r="S1373" t="s">
        <v>2160</v>
      </c>
      <c r="T1373" t="s">
        <v>446</v>
      </c>
      <c r="U1373" t="s">
        <v>1951</v>
      </c>
      <c r="V1373" t="s">
        <v>1093</v>
      </c>
      <c r="W1373" t="s">
        <v>1952</v>
      </c>
      <c r="X1373" t="s">
        <v>446</v>
      </c>
    </row>
    <row r="1374" spans="1:24" x14ac:dyDescent="0.25">
      <c r="A1374" t="s">
        <v>42</v>
      </c>
      <c r="B1374" t="s">
        <v>2979</v>
      </c>
      <c r="C1374" t="s">
        <v>344</v>
      </c>
      <c r="E1374" t="s">
        <v>978</v>
      </c>
      <c r="F1374">
        <v>17264</v>
      </c>
      <c r="G1374" t="s">
        <v>2879</v>
      </c>
      <c r="H1374" t="s">
        <v>2980</v>
      </c>
      <c r="J1374" t="s">
        <v>1089</v>
      </c>
      <c r="K1374" t="s">
        <v>446</v>
      </c>
      <c r="L1374" t="s">
        <v>446</v>
      </c>
      <c r="Q1374" t="b">
        <v>1</v>
      </c>
      <c r="R1374" t="b">
        <v>1</v>
      </c>
      <c r="S1374" t="s">
        <v>2160</v>
      </c>
      <c r="T1374" t="s">
        <v>446</v>
      </c>
      <c r="U1374" t="s">
        <v>1951</v>
      </c>
      <c r="V1374" t="s">
        <v>1093</v>
      </c>
      <c r="W1374" t="s">
        <v>1952</v>
      </c>
      <c r="X1374" t="s">
        <v>446</v>
      </c>
    </row>
    <row r="1375" spans="1:24" x14ac:dyDescent="0.25">
      <c r="A1375" t="s">
        <v>42</v>
      </c>
      <c r="B1375" t="s">
        <v>2981</v>
      </c>
      <c r="C1375" t="s">
        <v>349</v>
      </c>
      <c r="E1375" t="s">
        <v>978</v>
      </c>
      <c r="F1375">
        <v>53272</v>
      </c>
      <c r="G1375" t="s">
        <v>2879</v>
      </c>
      <c r="H1375" t="s">
        <v>2982</v>
      </c>
      <c r="J1375" t="s">
        <v>1089</v>
      </c>
      <c r="K1375" t="s">
        <v>446</v>
      </c>
      <c r="L1375" t="s">
        <v>446</v>
      </c>
      <c r="Q1375" t="b">
        <v>1</v>
      </c>
      <c r="R1375" t="b">
        <v>1</v>
      </c>
      <c r="S1375" t="s">
        <v>2160</v>
      </c>
      <c r="T1375" t="s">
        <v>446</v>
      </c>
      <c r="U1375" t="s">
        <v>1951</v>
      </c>
      <c r="V1375" t="s">
        <v>1093</v>
      </c>
      <c r="W1375" t="s">
        <v>1952</v>
      </c>
      <c r="X1375" t="s">
        <v>446</v>
      </c>
    </row>
    <row r="1376" spans="1:24" x14ac:dyDescent="0.25">
      <c r="A1376" t="s">
        <v>42</v>
      </c>
      <c r="B1376" t="s">
        <v>2983</v>
      </c>
      <c r="C1376" t="s">
        <v>355</v>
      </c>
      <c r="E1376" t="s">
        <v>978</v>
      </c>
      <c r="F1376">
        <v>25217</v>
      </c>
      <c r="G1376" t="s">
        <v>2879</v>
      </c>
      <c r="H1376" t="s">
        <v>2984</v>
      </c>
      <c r="J1376" t="s">
        <v>1089</v>
      </c>
      <c r="K1376" t="s">
        <v>984</v>
      </c>
      <c r="L1376" t="s">
        <v>446</v>
      </c>
      <c r="Q1376" t="b">
        <v>1</v>
      </c>
      <c r="R1376" t="b">
        <v>1</v>
      </c>
      <c r="S1376" t="s">
        <v>2160</v>
      </c>
      <c r="T1376" t="s">
        <v>446</v>
      </c>
      <c r="U1376" t="s">
        <v>1951</v>
      </c>
      <c r="V1376" t="s">
        <v>1093</v>
      </c>
      <c r="W1376" t="s">
        <v>1952</v>
      </c>
      <c r="X1376" t="s">
        <v>446</v>
      </c>
    </row>
    <row r="1377" spans="1:24" x14ac:dyDescent="0.25">
      <c r="A1377" t="s">
        <v>42</v>
      </c>
      <c r="B1377" t="s">
        <v>2985</v>
      </c>
      <c r="C1377" t="s">
        <v>357</v>
      </c>
      <c r="E1377" t="s">
        <v>978</v>
      </c>
      <c r="F1377">
        <v>26868</v>
      </c>
      <c r="G1377" t="s">
        <v>2879</v>
      </c>
      <c r="H1377" t="s">
        <v>2986</v>
      </c>
      <c r="J1377" t="s">
        <v>1089</v>
      </c>
      <c r="K1377" t="s">
        <v>984</v>
      </c>
      <c r="L1377" t="s">
        <v>446</v>
      </c>
      <c r="Q1377" t="b">
        <v>1</v>
      </c>
      <c r="R1377" t="b">
        <v>1</v>
      </c>
      <c r="S1377" t="s">
        <v>2160</v>
      </c>
      <c r="T1377" t="s">
        <v>446</v>
      </c>
      <c r="U1377" t="s">
        <v>1951</v>
      </c>
      <c r="V1377" t="s">
        <v>1093</v>
      </c>
      <c r="W1377" t="s">
        <v>1952</v>
      </c>
      <c r="X1377" t="s">
        <v>446</v>
      </c>
    </row>
    <row r="1378" spans="1:24" x14ac:dyDescent="0.25">
      <c r="A1378" t="s">
        <v>42</v>
      </c>
      <c r="B1378" t="s">
        <v>2987</v>
      </c>
      <c r="C1378" t="s">
        <v>350</v>
      </c>
      <c r="E1378" t="s">
        <v>978</v>
      </c>
      <c r="F1378">
        <v>70536</v>
      </c>
      <c r="G1378" t="s">
        <v>2879</v>
      </c>
      <c r="H1378" t="s">
        <v>2988</v>
      </c>
      <c r="J1378" t="s">
        <v>1089</v>
      </c>
      <c r="K1378" t="s">
        <v>446</v>
      </c>
      <c r="L1378" t="s">
        <v>446</v>
      </c>
      <c r="Q1378" t="b">
        <v>1</v>
      </c>
      <c r="R1378" t="b">
        <v>1</v>
      </c>
      <c r="S1378" t="s">
        <v>2160</v>
      </c>
      <c r="T1378" t="s">
        <v>446</v>
      </c>
      <c r="U1378" t="s">
        <v>1951</v>
      </c>
      <c r="V1378" t="s">
        <v>1093</v>
      </c>
      <c r="W1378" t="s">
        <v>1952</v>
      </c>
      <c r="X1378" t="s">
        <v>446</v>
      </c>
    </row>
    <row r="1379" spans="1:24" x14ac:dyDescent="0.25">
      <c r="A1379" t="s">
        <v>42</v>
      </c>
      <c r="B1379" t="s">
        <v>2989</v>
      </c>
      <c r="C1379" t="s">
        <v>358</v>
      </c>
      <c r="E1379" t="s">
        <v>978</v>
      </c>
      <c r="F1379">
        <v>97404</v>
      </c>
      <c r="G1379" t="s">
        <v>2879</v>
      </c>
      <c r="H1379" t="s">
        <v>2990</v>
      </c>
      <c r="J1379" t="s">
        <v>1089</v>
      </c>
      <c r="K1379" t="s">
        <v>984</v>
      </c>
      <c r="L1379" t="s">
        <v>446</v>
      </c>
      <c r="Q1379" t="b">
        <v>1</v>
      </c>
      <c r="R1379" t="b">
        <v>1</v>
      </c>
      <c r="S1379" t="s">
        <v>2160</v>
      </c>
      <c r="T1379" t="s">
        <v>446</v>
      </c>
      <c r="U1379" t="s">
        <v>1951</v>
      </c>
      <c r="V1379" t="s">
        <v>1093</v>
      </c>
      <c r="W1379" t="s">
        <v>1952</v>
      </c>
      <c r="X1379" t="s">
        <v>446</v>
      </c>
    </row>
    <row r="1380" spans="1:24" x14ac:dyDescent="0.25">
      <c r="A1380" t="s">
        <v>42</v>
      </c>
      <c r="B1380" t="s">
        <v>2991</v>
      </c>
      <c r="C1380" t="s">
        <v>340</v>
      </c>
      <c r="E1380" t="s">
        <v>986</v>
      </c>
      <c r="F1380">
        <v>98456</v>
      </c>
      <c r="G1380" t="s">
        <v>2879</v>
      </c>
      <c r="H1380" t="s">
        <v>488</v>
      </c>
      <c r="J1380" t="s">
        <v>1089</v>
      </c>
      <c r="K1380" t="s">
        <v>990</v>
      </c>
      <c r="L1380" t="s">
        <v>446</v>
      </c>
      <c r="Q1380" t="b">
        <v>1</v>
      </c>
      <c r="R1380" t="b">
        <v>1</v>
      </c>
      <c r="S1380" t="s">
        <v>2160</v>
      </c>
      <c r="T1380" t="s">
        <v>446</v>
      </c>
      <c r="U1380" t="s">
        <v>1951</v>
      </c>
      <c r="V1380" t="s">
        <v>1093</v>
      </c>
      <c r="W1380" t="s">
        <v>1952</v>
      </c>
      <c r="X1380" t="s">
        <v>446</v>
      </c>
    </row>
    <row r="1381" spans="1:24" x14ac:dyDescent="0.25">
      <c r="A1381" t="s">
        <v>42</v>
      </c>
      <c r="B1381" t="s">
        <v>2992</v>
      </c>
      <c r="C1381" t="s">
        <v>334</v>
      </c>
      <c r="E1381" t="s">
        <v>986</v>
      </c>
      <c r="F1381">
        <v>27591</v>
      </c>
      <c r="G1381" t="s">
        <v>2879</v>
      </c>
      <c r="H1381" t="s">
        <v>2976</v>
      </c>
      <c r="J1381" t="s">
        <v>1089</v>
      </c>
      <c r="K1381" t="s">
        <v>990</v>
      </c>
      <c r="L1381" t="s">
        <v>446</v>
      </c>
      <c r="Q1381" t="b">
        <v>1</v>
      </c>
      <c r="R1381" t="b">
        <v>1</v>
      </c>
      <c r="S1381" t="s">
        <v>2160</v>
      </c>
      <c r="T1381" t="s">
        <v>446</v>
      </c>
      <c r="U1381" t="s">
        <v>1951</v>
      </c>
      <c r="V1381" t="s">
        <v>1093</v>
      </c>
      <c r="W1381" t="s">
        <v>1952</v>
      </c>
      <c r="X1381" t="s">
        <v>446</v>
      </c>
    </row>
    <row r="1382" spans="1:24" x14ac:dyDescent="0.25">
      <c r="A1382" t="s">
        <v>42</v>
      </c>
      <c r="B1382" t="s">
        <v>2993</v>
      </c>
      <c r="C1382" t="s">
        <v>339</v>
      </c>
      <c r="E1382" t="s">
        <v>986</v>
      </c>
      <c r="F1382">
        <v>70865</v>
      </c>
      <c r="G1382" t="s">
        <v>2879</v>
      </c>
      <c r="H1382" t="s">
        <v>2978</v>
      </c>
      <c r="J1382" t="s">
        <v>1089</v>
      </c>
      <c r="K1382" t="s">
        <v>446</v>
      </c>
      <c r="L1382" t="s">
        <v>446</v>
      </c>
      <c r="Q1382" t="b">
        <v>1</v>
      </c>
      <c r="R1382" t="b">
        <v>1</v>
      </c>
      <c r="S1382" t="s">
        <v>2160</v>
      </c>
      <c r="T1382" t="s">
        <v>446</v>
      </c>
      <c r="U1382" t="s">
        <v>1951</v>
      </c>
      <c r="V1382" t="s">
        <v>1093</v>
      </c>
      <c r="W1382" t="s">
        <v>1952</v>
      </c>
      <c r="X1382" t="s">
        <v>446</v>
      </c>
    </row>
    <row r="1383" spans="1:24" x14ac:dyDescent="0.25">
      <c r="A1383" t="s">
        <v>42</v>
      </c>
      <c r="B1383" t="s">
        <v>2994</v>
      </c>
      <c r="C1383" t="s">
        <v>344</v>
      </c>
      <c r="E1383" t="s">
        <v>986</v>
      </c>
      <c r="F1383">
        <v>18301</v>
      </c>
      <c r="G1383" t="s">
        <v>2879</v>
      </c>
      <c r="H1383" t="s">
        <v>2980</v>
      </c>
      <c r="J1383" t="s">
        <v>1089</v>
      </c>
      <c r="K1383" t="s">
        <v>446</v>
      </c>
      <c r="L1383" t="s">
        <v>446</v>
      </c>
      <c r="Q1383" t="b">
        <v>1</v>
      </c>
      <c r="R1383" t="b">
        <v>1</v>
      </c>
      <c r="S1383" t="s">
        <v>2160</v>
      </c>
      <c r="T1383" t="s">
        <v>446</v>
      </c>
      <c r="U1383" t="s">
        <v>1951</v>
      </c>
      <c r="V1383" t="s">
        <v>1093</v>
      </c>
      <c r="W1383" t="s">
        <v>1952</v>
      </c>
      <c r="X1383" t="s">
        <v>446</v>
      </c>
    </row>
    <row r="1384" spans="1:24" x14ac:dyDescent="0.25">
      <c r="A1384" t="s">
        <v>42</v>
      </c>
      <c r="B1384" t="s">
        <v>2995</v>
      </c>
      <c r="C1384" t="s">
        <v>349</v>
      </c>
      <c r="E1384" t="s">
        <v>986</v>
      </c>
      <c r="F1384">
        <v>52603</v>
      </c>
      <c r="G1384" t="s">
        <v>2879</v>
      </c>
      <c r="H1384" t="s">
        <v>2982</v>
      </c>
      <c r="J1384" t="s">
        <v>1089</v>
      </c>
      <c r="K1384" t="s">
        <v>446</v>
      </c>
      <c r="L1384" t="s">
        <v>446</v>
      </c>
      <c r="Q1384" t="b">
        <v>1</v>
      </c>
      <c r="R1384" t="b">
        <v>1</v>
      </c>
      <c r="S1384" t="s">
        <v>2160</v>
      </c>
      <c r="T1384" t="s">
        <v>446</v>
      </c>
      <c r="U1384" t="s">
        <v>1951</v>
      </c>
      <c r="V1384" t="s">
        <v>1093</v>
      </c>
      <c r="W1384" t="s">
        <v>1952</v>
      </c>
      <c r="X1384" t="s">
        <v>446</v>
      </c>
    </row>
    <row r="1385" spans="1:24" x14ac:dyDescent="0.25">
      <c r="A1385" t="s">
        <v>42</v>
      </c>
      <c r="B1385" t="s">
        <v>2996</v>
      </c>
      <c r="C1385" t="s">
        <v>355</v>
      </c>
      <c r="E1385" t="s">
        <v>986</v>
      </c>
      <c r="F1385">
        <v>26013</v>
      </c>
      <c r="G1385" t="s">
        <v>2879</v>
      </c>
      <c r="H1385" t="s">
        <v>2984</v>
      </c>
      <c r="J1385" t="s">
        <v>1089</v>
      </c>
      <c r="K1385" t="s">
        <v>990</v>
      </c>
      <c r="L1385" t="s">
        <v>446</v>
      </c>
      <c r="Q1385" t="b">
        <v>1</v>
      </c>
      <c r="R1385" t="b">
        <v>1</v>
      </c>
      <c r="S1385" t="s">
        <v>2160</v>
      </c>
      <c r="T1385" t="s">
        <v>446</v>
      </c>
      <c r="U1385" t="s">
        <v>1951</v>
      </c>
      <c r="V1385" t="s">
        <v>1093</v>
      </c>
      <c r="W1385" t="s">
        <v>1952</v>
      </c>
      <c r="X1385" t="s">
        <v>446</v>
      </c>
    </row>
    <row r="1386" spans="1:24" x14ac:dyDescent="0.25">
      <c r="A1386" t="s">
        <v>42</v>
      </c>
      <c r="B1386" t="s">
        <v>2997</v>
      </c>
      <c r="C1386" t="s">
        <v>357</v>
      </c>
      <c r="E1386" t="s">
        <v>986</v>
      </c>
      <c r="F1386">
        <v>27552</v>
      </c>
      <c r="G1386" t="s">
        <v>2879</v>
      </c>
      <c r="H1386" t="s">
        <v>2986</v>
      </c>
      <c r="J1386" t="s">
        <v>1089</v>
      </c>
      <c r="K1386" t="s">
        <v>990</v>
      </c>
      <c r="L1386" t="s">
        <v>446</v>
      </c>
      <c r="Q1386" t="b">
        <v>1</v>
      </c>
      <c r="R1386" t="b">
        <v>1</v>
      </c>
      <c r="S1386" t="s">
        <v>2160</v>
      </c>
      <c r="T1386" t="s">
        <v>446</v>
      </c>
      <c r="U1386" t="s">
        <v>1951</v>
      </c>
      <c r="V1386" t="s">
        <v>1093</v>
      </c>
      <c r="W1386" t="s">
        <v>1952</v>
      </c>
      <c r="X1386" t="s">
        <v>446</v>
      </c>
    </row>
    <row r="1387" spans="1:24" x14ac:dyDescent="0.25">
      <c r="A1387" t="s">
        <v>42</v>
      </c>
      <c r="B1387" t="s">
        <v>2998</v>
      </c>
      <c r="C1387" t="s">
        <v>350</v>
      </c>
      <c r="E1387" t="s">
        <v>986</v>
      </c>
      <c r="F1387">
        <v>70904</v>
      </c>
      <c r="G1387" t="s">
        <v>2879</v>
      </c>
      <c r="H1387" t="s">
        <v>2988</v>
      </c>
      <c r="J1387" t="s">
        <v>1089</v>
      </c>
      <c r="K1387" t="s">
        <v>446</v>
      </c>
      <c r="L1387" t="s">
        <v>446</v>
      </c>
      <c r="Q1387" t="b">
        <v>1</v>
      </c>
      <c r="R1387" t="b">
        <v>1</v>
      </c>
      <c r="S1387" t="s">
        <v>2160</v>
      </c>
      <c r="T1387" t="s">
        <v>446</v>
      </c>
      <c r="U1387" t="s">
        <v>1951</v>
      </c>
      <c r="V1387" t="s">
        <v>1093</v>
      </c>
      <c r="W1387" t="s">
        <v>1952</v>
      </c>
      <c r="X1387" t="s">
        <v>446</v>
      </c>
    </row>
    <row r="1388" spans="1:24" x14ac:dyDescent="0.25">
      <c r="A1388" t="s">
        <v>42</v>
      </c>
      <c r="B1388" t="s">
        <v>2999</v>
      </c>
      <c r="C1388" t="s">
        <v>358</v>
      </c>
      <c r="E1388" t="s">
        <v>986</v>
      </c>
      <c r="F1388">
        <v>98456</v>
      </c>
      <c r="G1388" t="s">
        <v>2879</v>
      </c>
      <c r="H1388" t="s">
        <v>2990</v>
      </c>
      <c r="J1388" t="s">
        <v>1089</v>
      </c>
      <c r="K1388" t="s">
        <v>990</v>
      </c>
      <c r="L1388" t="s">
        <v>446</v>
      </c>
      <c r="Q1388" t="b">
        <v>1</v>
      </c>
      <c r="R1388" t="b">
        <v>1</v>
      </c>
      <c r="S1388" t="s">
        <v>2160</v>
      </c>
      <c r="T1388" t="s">
        <v>446</v>
      </c>
      <c r="U1388" t="s">
        <v>1951</v>
      </c>
      <c r="V1388" t="s">
        <v>1093</v>
      </c>
      <c r="W1388" t="s">
        <v>1952</v>
      </c>
      <c r="X1388" t="s">
        <v>446</v>
      </c>
    </row>
    <row r="1389" spans="1:24" x14ac:dyDescent="0.25">
      <c r="A1389" t="s">
        <v>42</v>
      </c>
      <c r="B1389" t="s">
        <v>3000</v>
      </c>
      <c r="C1389" t="s">
        <v>340</v>
      </c>
      <c r="E1389" t="s">
        <v>992</v>
      </c>
      <c r="F1389">
        <v>97578</v>
      </c>
      <c r="G1389" t="s">
        <v>2879</v>
      </c>
      <c r="H1389" t="s">
        <v>488</v>
      </c>
      <c r="J1389" t="s">
        <v>1089</v>
      </c>
      <c r="K1389" t="s">
        <v>996</v>
      </c>
      <c r="L1389" t="s">
        <v>446</v>
      </c>
      <c r="Q1389" t="b">
        <v>1</v>
      </c>
      <c r="R1389" t="b">
        <v>1</v>
      </c>
      <c r="S1389" t="s">
        <v>2160</v>
      </c>
      <c r="T1389" t="s">
        <v>446</v>
      </c>
      <c r="U1389" t="s">
        <v>1951</v>
      </c>
      <c r="V1389" t="s">
        <v>1093</v>
      </c>
      <c r="W1389" t="s">
        <v>1952</v>
      </c>
      <c r="X1389" t="s">
        <v>446</v>
      </c>
    </row>
    <row r="1390" spans="1:24" x14ac:dyDescent="0.25">
      <c r="A1390" t="s">
        <v>42</v>
      </c>
      <c r="B1390" t="s">
        <v>3001</v>
      </c>
      <c r="C1390" t="s">
        <v>334</v>
      </c>
      <c r="E1390" t="s">
        <v>992</v>
      </c>
      <c r="F1390">
        <v>27867</v>
      </c>
      <c r="G1390" t="s">
        <v>2879</v>
      </c>
      <c r="H1390" t="s">
        <v>2976</v>
      </c>
      <c r="J1390" t="s">
        <v>1089</v>
      </c>
      <c r="K1390" t="s">
        <v>996</v>
      </c>
      <c r="L1390" t="s">
        <v>446</v>
      </c>
      <c r="Q1390" t="b">
        <v>1</v>
      </c>
      <c r="R1390" t="b">
        <v>1</v>
      </c>
      <c r="S1390" t="s">
        <v>2160</v>
      </c>
      <c r="T1390" t="s">
        <v>446</v>
      </c>
      <c r="U1390" t="s">
        <v>1951</v>
      </c>
      <c r="V1390" t="s">
        <v>1093</v>
      </c>
      <c r="W1390" t="s">
        <v>1952</v>
      </c>
      <c r="X1390" t="s">
        <v>446</v>
      </c>
    </row>
    <row r="1391" spans="1:24" x14ac:dyDescent="0.25">
      <c r="A1391" t="s">
        <v>42</v>
      </c>
      <c r="B1391" t="s">
        <v>3002</v>
      </c>
      <c r="C1391" t="s">
        <v>339</v>
      </c>
      <c r="E1391" t="s">
        <v>992</v>
      </c>
      <c r="F1391">
        <v>69711</v>
      </c>
      <c r="G1391" t="s">
        <v>2879</v>
      </c>
      <c r="H1391" t="s">
        <v>2978</v>
      </c>
      <c r="J1391" t="s">
        <v>1089</v>
      </c>
      <c r="K1391" t="s">
        <v>446</v>
      </c>
      <c r="L1391" t="s">
        <v>446</v>
      </c>
      <c r="Q1391" t="b">
        <v>1</v>
      </c>
      <c r="R1391" t="b">
        <v>1</v>
      </c>
      <c r="S1391" t="s">
        <v>2160</v>
      </c>
      <c r="T1391" t="s">
        <v>446</v>
      </c>
      <c r="U1391" t="s">
        <v>1951</v>
      </c>
      <c r="V1391" t="s">
        <v>1093</v>
      </c>
      <c r="W1391" t="s">
        <v>1952</v>
      </c>
      <c r="X1391" t="s">
        <v>446</v>
      </c>
    </row>
    <row r="1392" spans="1:24" x14ac:dyDescent="0.25">
      <c r="A1392" t="s">
        <v>42</v>
      </c>
      <c r="B1392" t="s">
        <v>3003</v>
      </c>
      <c r="C1392" t="s">
        <v>344</v>
      </c>
      <c r="E1392" t="s">
        <v>992</v>
      </c>
      <c r="F1392">
        <v>18631</v>
      </c>
      <c r="G1392" t="s">
        <v>2879</v>
      </c>
      <c r="H1392" t="s">
        <v>2980</v>
      </c>
      <c r="J1392" t="s">
        <v>1089</v>
      </c>
      <c r="K1392" t="s">
        <v>446</v>
      </c>
      <c r="L1392" t="s">
        <v>446</v>
      </c>
      <c r="Q1392" t="b">
        <v>1</v>
      </c>
      <c r="R1392" t="b">
        <v>1</v>
      </c>
      <c r="S1392" t="s">
        <v>2160</v>
      </c>
      <c r="T1392" t="s">
        <v>446</v>
      </c>
      <c r="U1392" t="s">
        <v>1951</v>
      </c>
      <c r="V1392" t="s">
        <v>1093</v>
      </c>
      <c r="W1392" t="s">
        <v>1952</v>
      </c>
      <c r="X1392" t="s">
        <v>446</v>
      </c>
    </row>
    <row r="1393" spans="1:24" x14ac:dyDescent="0.25">
      <c r="A1393" t="s">
        <v>42</v>
      </c>
      <c r="B1393" t="s">
        <v>3004</v>
      </c>
      <c r="C1393" t="s">
        <v>349</v>
      </c>
      <c r="E1393" t="s">
        <v>992</v>
      </c>
      <c r="F1393">
        <v>51114</v>
      </c>
      <c r="G1393" t="s">
        <v>2879</v>
      </c>
      <c r="H1393" t="s">
        <v>2982</v>
      </c>
      <c r="J1393" t="s">
        <v>1089</v>
      </c>
      <c r="K1393" t="s">
        <v>446</v>
      </c>
      <c r="L1393" t="s">
        <v>446</v>
      </c>
      <c r="Q1393" t="b">
        <v>1</v>
      </c>
      <c r="R1393" t="b">
        <v>1</v>
      </c>
      <c r="S1393" t="s">
        <v>2160</v>
      </c>
      <c r="T1393" t="s">
        <v>446</v>
      </c>
      <c r="U1393" t="s">
        <v>1951</v>
      </c>
      <c r="V1393" t="s">
        <v>1093</v>
      </c>
      <c r="W1393" t="s">
        <v>1952</v>
      </c>
      <c r="X1393" t="s">
        <v>446</v>
      </c>
    </row>
    <row r="1394" spans="1:24" x14ac:dyDescent="0.25">
      <c r="A1394" t="s">
        <v>42</v>
      </c>
      <c r="B1394" t="s">
        <v>3005</v>
      </c>
      <c r="C1394" t="s">
        <v>355</v>
      </c>
      <c r="E1394" t="s">
        <v>992</v>
      </c>
      <c r="F1394">
        <v>26325</v>
      </c>
      <c r="G1394" t="s">
        <v>2879</v>
      </c>
      <c r="H1394" t="s">
        <v>2984</v>
      </c>
      <c r="J1394" t="s">
        <v>1089</v>
      </c>
      <c r="K1394" t="s">
        <v>996</v>
      </c>
      <c r="L1394" t="s">
        <v>446</v>
      </c>
      <c r="Q1394" t="b">
        <v>1</v>
      </c>
      <c r="R1394" t="b">
        <v>1</v>
      </c>
      <c r="S1394" t="s">
        <v>2160</v>
      </c>
      <c r="T1394" t="s">
        <v>446</v>
      </c>
      <c r="U1394" t="s">
        <v>1951</v>
      </c>
      <c r="V1394" t="s">
        <v>1093</v>
      </c>
      <c r="W1394" t="s">
        <v>1952</v>
      </c>
      <c r="X1394" t="s">
        <v>446</v>
      </c>
    </row>
    <row r="1395" spans="1:24" x14ac:dyDescent="0.25">
      <c r="A1395" t="s">
        <v>42</v>
      </c>
      <c r="B1395" t="s">
        <v>3006</v>
      </c>
      <c r="C1395" t="s">
        <v>357</v>
      </c>
      <c r="E1395" t="s">
        <v>992</v>
      </c>
      <c r="F1395">
        <v>27833</v>
      </c>
      <c r="G1395" t="s">
        <v>2879</v>
      </c>
      <c r="H1395" t="s">
        <v>2986</v>
      </c>
      <c r="J1395" t="s">
        <v>1089</v>
      </c>
      <c r="K1395" t="s">
        <v>996</v>
      </c>
      <c r="L1395" t="s">
        <v>446</v>
      </c>
      <c r="Q1395" t="b">
        <v>1</v>
      </c>
      <c r="R1395" t="b">
        <v>1</v>
      </c>
      <c r="S1395" t="s">
        <v>2160</v>
      </c>
      <c r="T1395" t="s">
        <v>446</v>
      </c>
      <c r="U1395" t="s">
        <v>1951</v>
      </c>
      <c r="V1395" t="s">
        <v>1093</v>
      </c>
      <c r="W1395" t="s">
        <v>1952</v>
      </c>
      <c r="X1395" t="s">
        <v>446</v>
      </c>
    </row>
    <row r="1396" spans="1:24" x14ac:dyDescent="0.25">
      <c r="A1396" t="s">
        <v>42</v>
      </c>
      <c r="B1396" t="s">
        <v>3007</v>
      </c>
      <c r="C1396" t="s">
        <v>350</v>
      </c>
      <c r="E1396" t="s">
        <v>992</v>
      </c>
      <c r="F1396">
        <v>69745</v>
      </c>
      <c r="G1396" t="s">
        <v>2879</v>
      </c>
      <c r="H1396" t="s">
        <v>2988</v>
      </c>
      <c r="J1396" t="s">
        <v>1089</v>
      </c>
      <c r="K1396" t="s">
        <v>446</v>
      </c>
      <c r="L1396" t="s">
        <v>446</v>
      </c>
      <c r="Q1396" t="b">
        <v>1</v>
      </c>
      <c r="R1396" t="b">
        <v>1</v>
      </c>
      <c r="S1396" t="s">
        <v>2160</v>
      </c>
      <c r="T1396" t="s">
        <v>446</v>
      </c>
      <c r="U1396" t="s">
        <v>1951</v>
      </c>
      <c r="V1396" t="s">
        <v>1093</v>
      </c>
      <c r="W1396" t="s">
        <v>1952</v>
      </c>
      <c r="X1396" t="s">
        <v>446</v>
      </c>
    </row>
    <row r="1397" spans="1:24" x14ac:dyDescent="0.25">
      <c r="A1397" t="s">
        <v>42</v>
      </c>
      <c r="B1397" t="s">
        <v>3008</v>
      </c>
      <c r="C1397" t="s">
        <v>358</v>
      </c>
      <c r="E1397" t="s">
        <v>992</v>
      </c>
      <c r="F1397">
        <v>97578</v>
      </c>
      <c r="G1397" t="s">
        <v>2879</v>
      </c>
      <c r="H1397" t="s">
        <v>2990</v>
      </c>
      <c r="J1397" t="s">
        <v>1089</v>
      </c>
      <c r="K1397" t="s">
        <v>996</v>
      </c>
      <c r="L1397" t="s">
        <v>446</v>
      </c>
      <c r="Q1397" t="b">
        <v>1</v>
      </c>
      <c r="R1397" t="b">
        <v>1</v>
      </c>
      <c r="S1397" t="s">
        <v>2160</v>
      </c>
      <c r="T1397" t="s">
        <v>446</v>
      </c>
      <c r="U1397" t="s">
        <v>1951</v>
      </c>
      <c r="V1397" t="s">
        <v>1093</v>
      </c>
      <c r="W1397" t="s">
        <v>1952</v>
      </c>
      <c r="X1397" t="s">
        <v>446</v>
      </c>
    </row>
    <row r="1398" spans="1:24" x14ac:dyDescent="0.25">
      <c r="A1398" t="s">
        <v>42</v>
      </c>
      <c r="B1398" t="s">
        <v>3009</v>
      </c>
      <c r="C1398" t="s">
        <v>340</v>
      </c>
      <c r="E1398" t="s">
        <v>998</v>
      </c>
      <c r="F1398">
        <v>97703</v>
      </c>
      <c r="G1398" t="s">
        <v>2879</v>
      </c>
      <c r="H1398" t="s">
        <v>488</v>
      </c>
      <c r="J1398" t="s">
        <v>1089</v>
      </c>
      <c r="K1398" t="s">
        <v>1003</v>
      </c>
      <c r="L1398" t="s">
        <v>446</v>
      </c>
      <c r="Q1398" t="b">
        <v>1</v>
      </c>
      <c r="R1398" t="b">
        <v>1</v>
      </c>
      <c r="S1398" t="s">
        <v>2160</v>
      </c>
      <c r="T1398" t="s">
        <v>446</v>
      </c>
      <c r="U1398" t="s">
        <v>1951</v>
      </c>
      <c r="V1398" t="s">
        <v>1093</v>
      </c>
      <c r="W1398" t="s">
        <v>1952</v>
      </c>
      <c r="X1398" t="s">
        <v>446</v>
      </c>
    </row>
    <row r="1399" spans="1:24" x14ac:dyDescent="0.25">
      <c r="A1399" t="s">
        <v>42</v>
      </c>
      <c r="B1399" t="s">
        <v>3010</v>
      </c>
      <c r="C1399" t="s">
        <v>334</v>
      </c>
      <c r="E1399" t="s">
        <v>998</v>
      </c>
      <c r="F1399">
        <v>26732</v>
      </c>
      <c r="G1399" t="s">
        <v>2879</v>
      </c>
      <c r="H1399" t="s">
        <v>2976</v>
      </c>
      <c r="J1399" t="s">
        <v>1089</v>
      </c>
      <c r="K1399" t="s">
        <v>1003</v>
      </c>
      <c r="L1399" t="s">
        <v>446</v>
      </c>
      <c r="Q1399" t="b">
        <v>1</v>
      </c>
      <c r="R1399" t="b">
        <v>1</v>
      </c>
      <c r="S1399" t="s">
        <v>2160</v>
      </c>
      <c r="T1399" t="s">
        <v>446</v>
      </c>
      <c r="U1399" t="s">
        <v>1951</v>
      </c>
      <c r="V1399" t="s">
        <v>1093</v>
      </c>
      <c r="W1399" t="s">
        <v>1952</v>
      </c>
      <c r="X1399" t="s">
        <v>446</v>
      </c>
    </row>
    <row r="1400" spans="1:24" x14ac:dyDescent="0.25">
      <c r="A1400" t="s">
        <v>42</v>
      </c>
      <c r="B1400" t="s">
        <v>3011</v>
      </c>
      <c r="C1400" t="s">
        <v>339</v>
      </c>
      <c r="E1400" t="s">
        <v>998</v>
      </c>
      <c r="F1400">
        <v>70971</v>
      </c>
      <c r="G1400" t="s">
        <v>2879</v>
      </c>
      <c r="H1400" t="s">
        <v>2978</v>
      </c>
      <c r="J1400" t="s">
        <v>1089</v>
      </c>
      <c r="K1400" t="s">
        <v>446</v>
      </c>
      <c r="L1400" t="s">
        <v>446</v>
      </c>
      <c r="Q1400" t="b">
        <v>1</v>
      </c>
      <c r="R1400" t="b">
        <v>1</v>
      </c>
      <c r="S1400" t="s">
        <v>2160</v>
      </c>
      <c r="T1400" t="s">
        <v>446</v>
      </c>
      <c r="U1400" t="s">
        <v>1951</v>
      </c>
      <c r="V1400" t="s">
        <v>1093</v>
      </c>
      <c r="W1400" t="s">
        <v>1952</v>
      </c>
      <c r="X1400" t="s">
        <v>446</v>
      </c>
    </row>
    <row r="1401" spans="1:24" x14ac:dyDescent="0.25">
      <c r="A1401" t="s">
        <v>42</v>
      </c>
      <c r="B1401" t="s">
        <v>3012</v>
      </c>
      <c r="C1401" t="s">
        <v>344</v>
      </c>
      <c r="E1401" t="s">
        <v>998</v>
      </c>
      <c r="F1401">
        <v>21263</v>
      </c>
      <c r="G1401" t="s">
        <v>2879</v>
      </c>
      <c r="H1401" t="s">
        <v>2980</v>
      </c>
      <c r="J1401" t="s">
        <v>1089</v>
      </c>
      <c r="K1401" t="s">
        <v>446</v>
      </c>
      <c r="L1401" t="s">
        <v>446</v>
      </c>
      <c r="Q1401" t="b">
        <v>1</v>
      </c>
      <c r="R1401" t="b">
        <v>1</v>
      </c>
      <c r="S1401" t="s">
        <v>2160</v>
      </c>
      <c r="T1401" t="s">
        <v>446</v>
      </c>
      <c r="U1401" t="s">
        <v>1951</v>
      </c>
      <c r="V1401" t="s">
        <v>1093</v>
      </c>
      <c r="W1401" t="s">
        <v>1952</v>
      </c>
      <c r="X1401" t="s">
        <v>446</v>
      </c>
    </row>
    <row r="1402" spans="1:24" x14ac:dyDescent="0.25">
      <c r="A1402" t="s">
        <v>42</v>
      </c>
      <c r="B1402" t="s">
        <v>3013</v>
      </c>
      <c r="C1402" t="s">
        <v>349</v>
      </c>
      <c r="E1402" t="s">
        <v>998</v>
      </c>
      <c r="F1402">
        <v>48960</v>
      </c>
      <c r="G1402" t="s">
        <v>2879</v>
      </c>
      <c r="H1402" t="s">
        <v>2982</v>
      </c>
      <c r="J1402" t="s">
        <v>1089</v>
      </c>
      <c r="K1402" t="s">
        <v>446</v>
      </c>
      <c r="L1402" t="s">
        <v>446</v>
      </c>
      <c r="Q1402" t="b">
        <v>1</v>
      </c>
      <c r="R1402" t="b">
        <v>1</v>
      </c>
      <c r="S1402" t="s">
        <v>2160</v>
      </c>
      <c r="T1402" t="s">
        <v>446</v>
      </c>
      <c r="U1402" t="s">
        <v>1951</v>
      </c>
      <c r="V1402" t="s">
        <v>1093</v>
      </c>
      <c r="W1402" t="s">
        <v>1952</v>
      </c>
      <c r="X1402" t="s">
        <v>446</v>
      </c>
    </row>
    <row r="1403" spans="1:24" x14ac:dyDescent="0.25">
      <c r="A1403" t="s">
        <v>42</v>
      </c>
      <c r="B1403" t="s">
        <v>3014</v>
      </c>
      <c r="C1403" t="s">
        <v>355</v>
      </c>
      <c r="E1403" t="s">
        <v>998</v>
      </c>
      <c r="F1403">
        <v>25941</v>
      </c>
      <c r="G1403" t="s">
        <v>2879</v>
      </c>
      <c r="H1403" t="s">
        <v>2984</v>
      </c>
      <c r="J1403" t="s">
        <v>1089</v>
      </c>
      <c r="K1403" t="s">
        <v>1003</v>
      </c>
      <c r="L1403" t="s">
        <v>446</v>
      </c>
      <c r="Q1403" t="b">
        <v>1</v>
      </c>
      <c r="R1403" t="b">
        <v>1</v>
      </c>
      <c r="S1403" t="s">
        <v>2160</v>
      </c>
      <c r="T1403" t="s">
        <v>446</v>
      </c>
      <c r="U1403" t="s">
        <v>1951</v>
      </c>
      <c r="V1403" t="s">
        <v>1093</v>
      </c>
      <c r="W1403" t="s">
        <v>1952</v>
      </c>
      <c r="X1403" t="s">
        <v>446</v>
      </c>
    </row>
    <row r="1404" spans="1:24" x14ac:dyDescent="0.25">
      <c r="A1404" t="s">
        <v>42</v>
      </c>
      <c r="B1404" t="s">
        <v>3015</v>
      </c>
      <c r="C1404" t="s">
        <v>357</v>
      </c>
      <c r="E1404" t="s">
        <v>998</v>
      </c>
      <c r="F1404">
        <v>27480</v>
      </c>
      <c r="G1404" t="s">
        <v>2879</v>
      </c>
      <c r="H1404" t="s">
        <v>2986</v>
      </c>
      <c r="J1404" t="s">
        <v>1089</v>
      </c>
      <c r="K1404" t="s">
        <v>1003</v>
      </c>
      <c r="L1404" t="s">
        <v>446</v>
      </c>
      <c r="Q1404" t="b">
        <v>1</v>
      </c>
      <c r="R1404" t="b">
        <v>1</v>
      </c>
      <c r="S1404" t="s">
        <v>2160</v>
      </c>
      <c r="T1404" t="s">
        <v>446</v>
      </c>
      <c r="U1404" t="s">
        <v>1951</v>
      </c>
      <c r="V1404" t="s">
        <v>1093</v>
      </c>
      <c r="W1404" t="s">
        <v>1952</v>
      </c>
      <c r="X1404" t="s">
        <v>446</v>
      </c>
    </row>
    <row r="1405" spans="1:24" x14ac:dyDescent="0.25">
      <c r="A1405" t="s">
        <v>42</v>
      </c>
      <c r="B1405" t="s">
        <v>3016</v>
      </c>
      <c r="C1405" t="s">
        <v>350</v>
      </c>
      <c r="E1405" t="s">
        <v>998</v>
      </c>
      <c r="F1405">
        <v>70223</v>
      </c>
      <c r="G1405" t="s">
        <v>2879</v>
      </c>
      <c r="H1405" t="s">
        <v>2988</v>
      </c>
      <c r="J1405" t="s">
        <v>1089</v>
      </c>
      <c r="K1405" t="s">
        <v>446</v>
      </c>
      <c r="L1405" t="s">
        <v>446</v>
      </c>
      <c r="Q1405" t="b">
        <v>1</v>
      </c>
      <c r="R1405" t="b">
        <v>1</v>
      </c>
      <c r="S1405" t="s">
        <v>2160</v>
      </c>
      <c r="T1405" t="s">
        <v>446</v>
      </c>
      <c r="U1405" t="s">
        <v>1951</v>
      </c>
      <c r="V1405" t="s">
        <v>1093</v>
      </c>
      <c r="W1405" t="s">
        <v>1952</v>
      </c>
      <c r="X1405" t="s">
        <v>446</v>
      </c>
    </row>
    <row r="1406" spans="1:24" x14ac:dyDescent="0.25">
      <c r="A1406" t="s">
        <v>42</v>
      </c>
      <c r="B1406" t="s">
        <v>3017</v>
      </c>
      <c r="C1406" t="s">
        <v>358</v>
      </c>
      <c r="E1406" t="s">
        <v>998</v>
      </c>
      <c r="F1406">
        <v>97703</v>
      </c>
      <c r="G1406" t="s">
        <v>2879</v>
      </c>
      <c r="H1406" t="s">
        <v>2990</v>
      </c>
      <c r="J1406" t="s">
        <v>1089</v>
      </c>
      <c r="K1406" t="s">
        <v>1003</v>
      </c>
      <c r="L1406" t="s">
        <v>446</v>
      </c>
      <c r="Q1406" t="b">
        <v>1</v>
      </c>
      <c r="R1406" t="b">
        <v>1</v>
      </c>
      <c r="S1406" t="s">
        <v>2160</v>
      </c>
      <c r="T1406" t="s">
        <v>446</v>
      </c>
      <c r="U1406" t="s">
        <v>1951</v>
      </c>
      <c r="V1406" t="s">
        <v>1093</v>
      </c>
      <c r="W1406" t="s">
        <v>1952</v>
      </c>
      <c r="X1406" t="s">
        <v>446</v>
      </c>
    </row>
    <row r="1407" spans="1:24" x14ac:dyDescent="0.25">
      <c r="A1407" t="s">
        <v>42</v>
      </c>
      <c r="B1407" t="s">
        <v>3018</v>
      </c>
      <c r="C1407" t="s">
        <v>340</v>
      </c>
      <c r="E1407" t="s">
        <v>982</v>
      </c>
      <c r="F1407">
        <v>97703</v>
      </c>
      <c r="G1407" t="s">
        <v>2879</v>
      </c>
      <c r="H1407" t="s">
        <v>488</v>
      </c>
      <c r="J1407" t="s">
        <v>1089</v>
      </c>
      <c r="K1407" t="s">
        <v>1003</v>
      </c>
      <c r="L1407" t="s">
        <v>446</v>
      </c>
      <c r="Q1407" t="b">
        <v>1</v>
      </c>
      <c r="R1407" t="b">
        <v>1</v>
      </c>
      <c r="S1407" t="s">
        <v>2160</v>
      </c>
      <c r="T1407" t="s">
        <v>446</v>
      </c>
      <c r="U1407" t="s">
        <v>1951</v>
      </c>
      <c r="V1407" t="s">
        <v>1093</v>
      </c>
      <c r="W1407" t="s">
        <v>1952</v>
      </c>
      <c r="X1407" t="s">
        <v>446</v>
      </c>
    </row>
    <row r="1408" spans="1:24" x14ac:dyDescent="0.25">
      <c r="A1408" t="s">
        <v>42</v>
      </c>
      <c r="B1408" t="s">
        <v>3019</v>
      </c>
      <c r="C1408" t="s">
        <v>334</v>
      </c>
      <c r="E1408" t="s">
        <v>982</v>
      </c>
      <c r="F1408">
        <v>26732</v>
      </c>
      <c r="G1408" t="s">
        <v>2879</v>
      </c>
      <c r="H1408" t="s">
        <v>2976</v>
      </c>
      <c r="J1408" t="s">
        <v>1089</v>
      </c>
      <c r="K1408" t="s">
        <v>1003</v>
      </c>
      <c r="L1408" t="s">
        <v>446</v>
      </c>
      <c r="Q1408" t="b">
        <v>1</v>
      </c>
      <c r="R1408" t="b">
        <v>1</v>
      </c>
      <c r="S1408" t="s">
        <v>2160</v>
      </c>
      <c r="T1408" t="s">
        <v>446</v>
      </c>
      <c r="U1408" t="s">
        <v>1951</v>
      </c>
      <c r="V1408" t="s">
        <v>1093</v>
      </c>
      <c r="W1408" t="s">
        <v>1952</v>
      </c>
      <c r="X1408" t="s">
        <v>446</v>
      </c>
    </row>
    <row r="1409" spans="1:24" x14ac:dyDescent="0.25">
      <c r="A1409" t="s">
        <v>42</v>
      </c>
      <c r="B1409" t="s">
        <v>3020</v>
      </c>
      <c r="C1409" t="s">
        <v>339</v>
      </c>
      <c r="E1409" t="s">
        <v>982</v>
      </c>
      <c r="F1409">
        <v>70971</v>
      </c>
      <c r="G1409" t="s">
        <v>2879</v>
      </c>
      <c r="H1409" t="s">
        <v>2978</v>
      </c>
      <c r="J1409" t="s">
        <v>1089</v>
      </c>
      <c r="K1409" t="s">
        <v>446</v>
      </c>
      <c r="L1409" t="s">
        <v>446</v>
      </c>
      <c r="Q1409" t="b">
        <v>1</v>
      </c>
      <c r="R1409" t="b">
        <v>1</v>
      </c>
      <c r="S1409" t="s">
        <v>2160</v>
      </c>
      <c r="T1409" t="s">
        <v>446</v>
      </c>
      <c r="U1409" t="s">
        <v>1951</v>
      </c>
      <c r="V1409" t="s">
        <v>1093</v>
      </c>
      <c r="W1409" t="s">
        <v>1952</v>
      </c>
      <c r="X1409" t="s">
        <v>446</v>
      </c>
    </row>
    <row r="1410" spans="1:24" x14ac:dyDescent="0.25">
      <c r="A1410" t="s">
        <v>42</v>
      </c>
      <c r="B1410" t="s">
        <v>3021</v>
      </c>
      <c r="C1410" t="s">
        <v>344</v>
      </c>
      <c r="E1410" t="s">
        <v>982</v>
      </c>
      <c r="F1410">
        <v>21263</v>
      </c>
      <c r="G1410" t="s">
        <v>2879</v>
      </c>
      <c r="H1410" t="s">
        <v>2980</v>
      </c>
      <c r="J1410" t="s">
        <v>1089</v>
      </c>
      <c r="K1410" t="s">
        <v>446</v>
      </c>
      <c r="L1410" t="s">
        <v>446</v>
      </c>
      <c r="Q1410" t="b">
        <v>1</v>
      </c>
      <c r="R1410" t="b">
        <v>1</v>
      </c>
      <c r="S1410" t="s">
        <v>2160</v>
      </c>
      <c r="T1410" t="s">
        <v>446</v>
      </c>
      <c r="U1410" t="s">
        <v>1951</v>
      </c>
      <c r="V1410" t="s">
        <v>1093</v>
      </c>
      <c r="W1410" t="s">
        <v>1952</v>
      </c>
      <c r="X1410" t="s">
        <v>446</v>
      </c>
    </row>
    <row r="1411" spans="1:24" x14ac:dyDescent="0.25">
      <c r="A1411" t="s">
        <v>42</v>
      </c>
      <c r="B1411" t="s">
        <v>3022</v>
      </c>
      <c r="C1411" t="s">
        <v>349</v>
      </c>
      <c r="E1411" t="s">
        <v>982</v>
      </c>
      <c r="F1411">
        <v>48960</v>
      </c>
      <c r="G1411" t="s">
        <v>2879</v>
      </c>
      <c r="H1411" t="s">
        <v>2982</v>
      </c>
      <c r="J1411" t="s">
        <v>1089</v>
      </c>
      <c r="K1411" t="s">
        <v>446</v>
      </c>
      <c r="L1411" t="s">
        <v>446</v>
      </c>
      <c r="Q1411" t="b">
        <v>1</v>
      </c>
      <c r="R1411" t="b">
        <v>1</v>
      </c>
      <c r="S1411" t="s">
        <v>2160</v>
      </c>
      <c r="T1411" t="s">
        <v>446</v>
      </c>
      <c r="U1411" t="s">
        <v>1951</v>
      </c>
      <c r="V1411" t="s">
        <v>1093</v>
      </c>
      <c r="W1411" t="s">
        <v>1952</v>
      </c>
      <c r="X1411" t="s">
        <v>446</v>
      </c>
    </row>
    <row r="1412" spans="1:24" x14ac:dyDescent="0.25">
      <c r="A1412" t="s">
        <v>42</v>
      </c>
      <c r="B1412" t="s">
        <v>3023</v>
      </c>
      <c r="C1412" t="s">
        <v>355</v>
      </c>
      <c r="E1412" t="s">
        <v>982</v>
      </c>
      <c r="F1412">
        <v>25941</v>
      </c>
      <c r="G1412" t="s">
        <v>2879</v>
      </c>
      <c r="H1412" t="s">
        <v>2984</v>
      </c>
      <c r="J1412" t="s">
        <v>1089</v>
      </c>
      <c r="K1412" t="s">
        <v>1003</v>
      </c>
      <c r="L1412" t="s">
        <v>446</v>
      </c>
      <c r="Q1412" t="b">
        <v>1</v>
      </c>
      <c r="R1412" t="b">
        <v>1</v>
      </c>
      <c r="S1412" t="s">
        <v>2160</v>
      </c>
      <c r="T1412" t="s">
        <v>446</v>
      </c>
      <c r="U1412" t="s">
        <v>1951</v>
      </c>
      <c r="V1412" t="s">
        <v>1093</v>
      </c>
      <c r="W1412" t="s">
        <v>1952</v>
      </c>
      <c r="X1412" t="s">
        <v>446</v>
      </c>
    </row>
    <row r="1413" spans="1:24" x14ac:dyDescent="0.25">
      <c r="A1413" t="s">
        <v>42</v>
      </c>
      <c r="B1413" t="s">
        <v>3024</v>
      </c>
      <c r="C1413" t="s">
        <v>357</v>
      </c>
      <c r="E1413" t="s">
        <v>982</v>
      </c>
      <c r="F1413">
        <v>27480</v>
      </c>
      <c r="G1413" t="s">
        <v>2879</v>
      </c>
      <c r="H1413" t="s">
        <v>2986</v>
      </c>
      <c r="J1413" t="s">
        <v>1089</v>
      </c>
      <c r="K1413" t="s">
        <v>1003</v>
      </c>
      <c r="L1413" t="s">
        <v>446</v>
      </c>
      <c r="Q1413" t="b">
        <v>1</v>
      </c>
      <c r="R1413" t="b">
        <v>1</v>
      </c>
      <c r="S1413" t="s">
        <v>2160</v>
      </c>
      <c r="T1413" t="s">
        <v>446</v>
      </c>
      <c r="U1413" t="s">
        <v>1951</v>
      </c>
      <c r="V1413" t="s">
        <v>1093</v>
      </c>
      <c r="W1413" t="s">
        <v>1952</v>
      </c>
      <c r="X1413" t="s">
        <v>446</v>
      </c>
    </row>
    <row r="1414" spans="1:24" x14ac:dyDescent="0.25">
      <c r="A1414" t="s">
        <v>42</v>
      </c>
      <c r="B1414" t="s">
        <v>3025</v>
      </c>
      <c r="C1414" t="s">
        <v>350</v>
      </c>
      <c r="E1414" t="s">
        <v>982</v>
      </c>
      <c r="F1414">
        <v>70223</v>
      </c>
      <c r="G1414" t="s">
        <v>2879</v>
      </c>
      <c r="H1414" t="s">
        <v>2988</v>
      </c>
      <c r="J1414" t="s">
        <v>1089</v>
      </c>
      <c r="K1414" t="s">
        <v>446</v>
      </c>
      <c r="L1414" t="s">
        <v>446</v>
      </c>
      <c r="Q1414" t="b">
        <v>1</v>
      </c>
      <c r="R1414" t="b">
        <v>1</v>
      </c>
      <c r="S1414" t="s">
        <v>2160</v>
      </c>
      <c r="T1414" t="s">
        <v>446</v>
      </c>
      <c r="U1414" t="s">
        <v>1951</v>
      </c>
      <c r="V1414" t="s">
        <v>1093</v>
      </c>
      <c r="W1414" t="s">
        <v>1952</v>
      </c>
      <c r="X1414" t="s">
        <v>446</v>
      </c>
    </row>
    <row r="1415" spans="1:24" x14ac:dyDescent="0.25">
      <c r="A1415" t="s">
        <v>42</v>
      </c>
      <c r="B1415" t="s">
        <v>3026</v>
      </c>
      <c r="C1415" t="s">
        <v>358</v>
      </c>
      <c r="E1415" t="s">
        <v>982</v>
      </c>
      <c r="F1415">
        <v>97703</v>
      </c>
      <c r="G1415" t="s">
        <v>2879</v>
      </c>
      <c r="H1415" t="s">
        <v>2990</v>
      </c>
      <c r="J1415" t="s">
        <v>1089</v>
      </c>
      <c r="K1415" t="s">
        <v>1003</v>
      </c>
      <c r="L1415" t="s">
        <v>446</v>
      </c>
      <c r="Q1415" t="b">
        <v>1</v>
      </c>
      <c r="R1415" t="b">
        <v>1</v>
      </c>
      <c r="S1415" t="s">
        <v>2160</v>
      </c>
      <c r="T1415" t="s">
        <v>446</v>
      </c>
      <c r="U1415" t="s">
        <v>1951</v>
      </c>
      <c r="V1415" t="s">
        <v>1093</v>
      </c>
      <c r="W1415" t="s">
        <v>1952</v>
      </c>
      <c r="X1415" t="s">
        <v>446</v>
      </c>
    </row>
    <row r="1416" spans="1:24" x14ac:dyDescent="0.25">
      <c r="A1416" t="s">
        <v>42</v>
      </c>
      <c r="B1416" t="s">
        <v>3027</v>
      </c>
      <c r="C1416" t="s">
        <v>340</v>
      </c>
      <c r="E1416" t="s">
        <v>1006</v>
      </c>
      <c r="F1416">
        <v>99392</v>
      </c>
      <c r="G1416" t="s">
        <v>2879</v>
      </c>
      <c r="H1416" t="s">
        <v>488</v>
      </c>
      <c r="J1416" t="s">
        <v>1089</v>
      </c>
      <c r="K1416" t="s">
        <v>1967</v>
      </c>
      <c r="L1416" t="s">
        <v>446</v>
      </c>
      <c r="Q1416" t="b">
        <v>1</v>
      </c>
      <c r="R1416" t="b">
        <v>1</v>
      </c>
      <c r="S1416" t="s">
        <v>2160</v>
      </c>
      <c r="T1416" t="s">
        <v>446</v>
      </c>
      <c r="U1416" t="s">
        <v>1951</v>
      </c>
      <c r="V1416" t="s">
        <v>1093</v>
      </c>
      <c r="W1416" t="s">
        <v>1952</v>
      </c>
      <c r="X1416" t="s">
        <v>446</v>
      </c>
    </row>
    <row r="1417" spans="1:24" x14ac:dyDescent="0.25">
      <c r="A1417" t="s">
        <v>42</v>
      </c>
      <c r="B1417" t="s">
        <v>3028</v>
      </c>
      <c r="C1417" t="s">
        <v>334</v>
      </c>
      <c r="E1417" t="s">
        <v>1006</v>
      </c>
      <c r="F1417">
        <v>29462</v>
      </c>
      <c r="G1417" t="s">
        <v>2879</v>
      </c>
      <c r="H1417" t="s">
        <v>2976</v>
      </c>
      <c r="J1417" t="s">
        <v>1089</v>
      </c>
      <c r="K1417" t="s">
        <v>1967</v>
      </c>
      <c r="L1417" t="s">
        <v>446</v>
      </c>
      <c r="Q1417" t="b">
        <v>1</v>
      </c>
      <c r="R1417" t="b">
        <v>1</v>
      </c>
      <c r="S1417" t="s">
        <v>2160</v>
      </c>
      <c r="T1417" t="s">
        <v>446</v>
      </c>
      <c r="U1417" t="s">
        <v>1951</v>
      </c>
      <c r="V1417" t="s">
        <v>1093</v>
      </c>
      <c r="W1417" t="s">
        <v>1952</v>
      </c>
      <c r="X1417" t="s">
        <v>446</v>
      </c>
    </row>
    <row r="1418" spans="1:24" x14ac:dyDescent="0.25">
      <c r="A1418" t="s">
        <v>42</v>
      </c>
      <c r="B1418" t="s">
        <v>3029</v>
      </c>
      <c r="C1418" t="s">
        <v>339</v>
      </c>
      <c r="E1418" t="s">
        <v>1006</v>
      </c>
      <c r="F1418">
        <v>69930</v>
      </c>
      <c r="G1418" t="s">
        <v>2879</v>
      </c>
      <c r="H1418" t="s">
        <v>2978</v>
      </c>
      <c r="J1418" t="s">
        <v>1089</v>
      </c>
      <c r="K1418" t="s">
        <v>446</v>
      </c>
      <c r="L1418" t="s">
        <v>446</v>
      </c>
      <c r="Q1418" t="b">
        <v>1</v>
      </c>
      <c r="R1418" t="b">
        <v>1</v>
      </c>
      <c r="S1418" t="s">
        <v>2160</v>
      </c>
      <c r="T1418" t="s">
        <v>446</v>
      </c>
      <c r="U1418" t="s">
        <v>1951</v>
      </c>
      <c r="V1418" t="s">
        <v>1093</v>
      </c>
      <c r="W1418" t="s">
        <v>1952</v>
      </c>
      <c r="X1418" t="s">
        <v>446</v>
      </c>
    </row>
    <row r="1419" spans="1:24" x14ac:dyDescent="0.25">
      <c r="A1419" t="s">
        <v>42</v>
      </c>
      <c r="B1419" t="s">
        <v>3030</v>
      </c>
      <c r="C1419" t="s">
        <v>344</v>
      </c>
      <c r="E1419" t="s">
        <v>1006</v>
      </c>
      <c r="F1419">
        <v>21242</v>
      </c>
      <c r="G1419" t="s">
        <v>2879</v>
      </c>
      <c r="H1419" t="s">
        <v>2980</v>
      </c>
      <c r="J1419" t="s">
        <v>1089</v>
      </c>
      <c r="K1419" t="s">
        <v>446</v>
      </c>
      <c r="L1419" t="s">
        <v>446</v>
      </c>
      <c r="Q1419" t="b">
        <v>1</v>
      </c>
      <c r="R1419" t="b">
        <v>1</v>
      </c>
      <c r="S1419" t="s">
        <v>2160</v>
      </c>
      <c r="T1419" t="s">
        <v>446</v>
      </c>
      <c r="U1419" t="s">
        <v>1951</v>
      </c>
      <c r="V1419" t="s">
        <v>1093</v>
      </c>
      <c r="W1419" t="s">
        <v>1952</v>
      </c>
      <c r="X1419" t="s">
        <v>446</v>
      </c>
    </row>
    <row r="1420" spans="1:24" x14ac:dyDescent="0.25">
      <c r="A1420" t="s">
        <v>42</v>
      </c>
      <c r="B1420" t="s">
        <v>3031</v>
      </c>
      <c r="C1420" t="s">
        <v>349</v>
      </c>
      <c r="E1420" t="s">
        <v>1006</v>
      </c>
      <c r="F1420">
        <v>50204</v>
      </c>
      <c r="G1420" t="s">
        <v>2879</v>
      </c>
      <c r="H1420" t="s">
        <v>2982</v>
      </c>
      <c r="J1420" t="s">
        <v>1089</v>
      </c>
      <c r="K1420" t="s">
        <v>446</v>
      </c>
      <c r="L1420" t="s">
        <v>446</v>
      </c>
      <c r="Q1420" t="b">
        <v>1</v>
      </c>
      <c r="R1420" t="b">
        <v>1</v>
      </c>
      <c r="S1420" t="s">
        <v>2160</v>
      </c>
      <c r="T1420" t="s">
        <v>446</v>
      </c>
      <c r="U1420" t="s">
        <v>1951</v>
      </c>
      <c r="V1420" t="s">
        <v>1093</v>
      </c>
      <c r="W1420" t="s">
        <v>1952</v>
      </c>
      <c r="X1420" t="s">
        <v>446</v>
      </c>
    </row>
    <row r="1421" spans="1:24" x14ac:dyDescent="0.25">
      <c r="A1421" t="s">
        <v>42</v>
      </c>
      <c r="B1421" t="s">
        <v>3032</v>
      </c>
      <c r="C1421" t="s">
        <v>355</v>
      </c>
      <c r="E1421" t="s">
        <v>1006</v>
      </c>
      <c r="F1421">
        <v>26429</v>
      </c>
      <c r="G1421" t="s">
        <v>2879</v>
      </c>
      <c r="H1421" t="s">
        <v>2984</v>
      </c>
      <c r="J1421" t="s">
        <v>1089</v>
      </c>
      <c r="K1421" t="s">
        <v>1967</v>
      </c>
      <c r="L1421" t="s">
        <v>446</v>
      </c>
      <c r="Q1421" t="b">
        <v>1</v>
      </c>
      <c r="R1421" t="b">
        <v>1</v>
      </c>
      <c r="S1421" t="s">
        <v>2160</v>
      </c>
      <c r="T1421" t="s">
        <v>446</v>
      </c>
      <c r="U1421" t="s">
        <v>1951</v>
      </c>
      <c r="V1421" t="s">
        <v>1093</v>
      </c>
      <c r="W1421" t="s">
        <v>1952</v>
      </c>
      <c r="X1421" t="s">
        <v>446</v>
      </c>
    </row>
    <row r="1422" spans="1:24" x14ac:dyDescent="0.25">
      <c r="A1422" t="s">
        <v>42</v>
      </c>
      <c r="B1422" t="s">
        <v>3033</v>
      </c>
      <c r="C1422" t="s">
        <v>357</v>
      </c>
      <c r="E1422" t="s">
        <v>1006</v>
      </c>
      <c r="F1422">
        <v>27946</v>
      </c>
      <c r="G1422" t="s">
        <v>2879</v>
      </c>
      <c r="H1422" t="s">
        <v>2986</v>
      </c>
      <c r="J1422" t="s">
        <v>1089</v>
      </c>
      <c r="K1422" t="s">
        <v>1967</v>
      </c>
      <c r="L1422" t="s">
        <v>446</v>
      </c>
      <c r="Q1422" t="b">
        <v>1</v>
      </c>
      <c r="R1422" t="b">
        <v>1</v>
      </c>
      <c r="S1422" t="s">
        <v>2160</v>
      </c>
      <c r="T1422" t="s">
        <v>446</v>
      </c>
      <c r="U1422" t="s">
        <v>1951</v>
      </c>
      <c r="V1422" t="s">
        <v>1093</v>
      </c>
      <c r="W1422" t="s">
        <v>1952</v>
      </c>
      <c r="X1422" t="s">
        <v>446</v>
      </c>
    </row>
    <row r="1423" spans="1:24" x14ac:dyDescent="0.25">
      <c r="A1423" t="s">
        <v>42</v>
      </c>
      <c r="B1423" t="s">
        <v>3034</v>
      </c>
      <c r="C1423" t="s">
        <v>350</v>
      </c>
      <c r="E1423" t="s">
        <v>1006</v>
      </c>
      <c r="F1423">
        <v>71446</v>
      </c>
      <c r="G1423" t="s">
        <v>2879</v>
      </c>
      <c r="H1423" t="s">
        <v>2988</v>
      </c>
      <c r="J1423" t="s">
        <v>1089</v>
      </c>
      <c r="K1423" t="s">
        <v>446</v>
      </c>
      <c r="L1423" t="s">
        <v>446</v>
      </c>
      <c r="Q1423" t="b">
        <v>1</v>
      </c>
      <c r="R1423" t="b">
        <v>1</v>
      </c>
      <c r="S1423" t="s">
        <v>2160</v>
      </c>
      <c r="T1423" t="s">
        <v>446</v>
      </c>
      <c r="U1423" t="s">
        <v>1951</v>
      </c>
      <c r="V1423" t="s">
        <v>1093</v>
      </c>
      <c r="W1423" t="s">
        <v>1952</v>
      </c>
      <c r="X1423" t="s">
        <v>446</v>
      </c>
    </row>
    <row r="1424" spans="1:24" x14ac:dyDescent="0.25">
      <c r="A1424" t="s">
        <v>42</v>
      </c>
      <c r="B1424" t="s">
        <v>3035</v>
      </c>
      <c r="C1424" t="s">
        <v>358</v>
      </c>
      <c r="E1424" t="s">
        <v>1006</v>
      </c>
      <c r="F1424">
        <v>99392</v>
      </c>
      <c r="G1424" t="s">
        <v>2879</v>
      </c>
      <c r="H1424" t="s">
        <v>2990</v>
      </c>
      <c r="J1424" t="s">
        <v>1089</v>
      </c>
      <c r="K1424" t="s">
        <v>1967</v>
      </c>
      <c r="L1424" t="s">
        <v>446</v>
      </c>
      <c r="Q1424" t="b">
        <v>1</v>
      </c>
      <c r="R1424" t="b">
        <v>1</v>
      </c>
      <c r="S1424" t="s">
        <v>2160</v>
      </c>
      <c r="T1424" t="s">
        <v>446</v>
      </c>
      <c r="U1424" t="s">
        <v>1951</v>
      </c>
      <c r="V1424" t="s">
        <v>1093</v>
      </c>
      <c r="W1424" t="s">
        <v>1952</v>
      </c>
      <c r="X1424" t="s">
        <v>446</v>
      </c>
    </row>
    <row r="1425" spans="1:24" x14ac:dyDescent="0.25">
      <c r="A1425" t="s">
        <v>42</v>
      </c>
      <c r="B1425" t="s">
        <v>3036</v>
      </c>
      <c r="C1425" t="s">
        <v>340</v>
      </c>
      <c r="E1425" t="s">
        <v>1013</v>
      </c>
      <c r="F1425">
        <v>101202</v>
      </c>
      <c r="G1425" t="s">
        <v>2879</v>
      </c>
      <c r="H1425" t="s">
        <v>488</v>
      </c>
      <c r="J1425" t="s">
        <v>1089</v>
      </c>
      <c r="K1425" t="s">
        <v>1016</v>
      </c>
      <c r="L1425" t="s">
        <v>446</v>
      </c>
      <c r="Q1425" t="b">
        <v>1</v>
      </c>
      <c r="R1425" t="b">
        <v>1</v>
      </c>
      <c r="S1425" t="s">
        <v>2160</v>
      </c>
      <c r="T1425" t="s">
        <v>446</v>
      </c>
      <c r="U1425" t="s">
        <v>1951</v>
      </c>
      <c r="V1425" t="s">
        <v>1093</v>
      </c>
      <c r="W1425" t="s">
        <v>1952</v>
      </c>
      <c r="X1425" t="s">
        <v>446</v>
      </c>
    </row>
    <row r="1426" spans="1:24" x14ac:dyDescent="0.25">
      <c r="A1426" t="s">
        <v>42</v>
      </c>
      <c r="B1426" t="s">
        <v>3037</v>
      </c>
      <c r="C1426" t="s">
        <v>334</v>
      </c>
      <c r="E1426" t="s">
        <v>1013</v>
      </c>
      <c r="F1426">
        <v>31599</v>
      </c>
      <c r="G1426" t="s">
        <v>2879</v>
      </c>
      <c r="H1426" t="s">
        <v>2976</v>
      </c>
      <c r="J1426" t="s">
        <v>1089</v>
      </c>
      <c r="K1426" t="s">
        <v>1016</v>
      </c>
      <c r="L1426" t="s">
        <v>446</v>
      </c>
      <c r="Q1426" t="b">
        <v>1</v>
      </c>
      <c r="R1426" t="b">
        <v>1</v>
      </c>
      <c r="S1426" t="s">
        <v>2160</v>
      </c>
      <c r="T1426" t="s">
        <v>446</v>
      </c>
      <c r="U1426" t="s">
        <v>1951</v>
      </c>
      <c r="V1426" t="s">
        <v>1093</v>
      </c>
      <c r="W1426" t="s">
        <v>1952</v>
      </c>
      <c r="X1426" t="s">
        <v>446</v>
      </c>
    </row>
    <row r="1427" spans="1:24" x14ac:dyDescent="0.25">
      <c r="A1427" t="s">
        <v>42</v>
      </c>
      <c r="B1427" t="s">
        <v>3038</v>
      </c>
      <c r="C1427" t="s">
        <v>339</v>
      </c>
      <c r="E1427" t="s">
        <v>1013</v>
      </c>
      <c r="F1427">
        <v>69603</v>
      </c>
      <c r="G1427" t="s">
        <v>2879</v>
      </c>
      <c r="H1427" t="s">
        <v>2978</v>
      </c>
      <c r="J1427" t="s">
        <v>1089</v>
      </c>
      <c r="K1427" t="s">
        <v>446</v>
      </c>
      <c r="L1427" t="s">
        <v>446</v>
      </c>
      <c r="Q1427" t="b">
        <v>1</v>
      </c>
      <c r="R1427" t="b">
        <v>1</v>
      </c>
      <c r="S1427" t="s">
        <v>2160</v>
      </c>
      <c r="T1427" t="s">
        <v>446</v>
      </c>
      <c r="U1427" t="s">
        <v>1951</v>
      </c>
      <c r="V1427" t="s">
        <v>1093</v>
      </c>
      <c r="W1427" t="s">
        <v>1952</v>
      </c>
      <c r="X1427" t="s">
        <v>446</v>
      </c>
    </row>
    <row r="1428" spans="1:24" x14ac:dyDescent="0.25">
      <c r="A1428" t="s">
        <v>42</v>
      </c>
      <c r="B1428" t="s">
        <v>3039</v>
      </c>
      <c r="C1428" t="s">
        <v>344</v>
      </c>
      <c r="E1428" t="s">
        <v>1013</v>
      </c>
      <c r="F1428">
        <v>23822</v>
      </c>
      <c r="G1428" t="s">
        <v>2879</v>
      </c>
      <c r="H1428" t="s">
        <v>2980</v>
      </c>
      <c r="J1428" t="s">
        <v>1089</v>
      </c>
      <c r="K1428" t="s">
        <v>446</v>
      </c>
      <c r="L1428" t="s">
        <v>446</v>
      </c>
      <c r="Q1428" t="b">
        <v>1</v>
      </c>
      <c r="R1428" t="b">
        <v>1</v>
      </c>
      <c r="S1428" t="s">
        <v>2160</v>
      </c>
      <c r="T1428" t="s">
        <v>446</v>
      </c>
      <c r="U1428" t="s">
        <v>1951</v>
      </c>
      <c r="V1428" t="s">
        <v>1093</v>
      </c>
      <c r="W1428" t="s">
        <v>1952</v>
      </c>
      <c r="X1428" t="s">
        <v>446</v>
      </c>
    </row>
    <row r="1429" spans="1:24" x14ac:dyDescent="0.25">
      <c r="A1429" t="s">
        <v>42</v>
      </c>
      <c r="B1429" t="s">
        <v>3040</v>
      </c>
      <c r="C1429" t="s">
        <v>349</v>
      </c>
      <c r="E1429" t="s">
        <v>1013</v>
      </c>
      <c r="F1429">
        <v>49969</v>
      </c>
      <c r="G1429" t="s">
        <v>2879</v>
      </c>
      <c r="H1429" t="s">
        <v>2982</v>
      </c>
      <c r="J1429" t="s">
        <v>1089</v>
      </c>
      <c r="K1429" t="s">
        <v>446</v>
      </c>
      <c r="L1429" t="s">
        <v>446</v>
      </c>
      <c r="Q1429" t="b">
        <v>1</v>
      </c>
      <c r="R1429" t="b">
        <v>1</v>
      </c>
      <c r="S1429" t="s">
        <v>2160</v>
      </c>
      <c r="T1429" t="s">
        <v>446</v>
      </c>
      <c r="U1429" t="s">
        <v>1951</v>
      </c>
      <c r="V1429" t="s">
        <v>1093</v>
      </c>
      <c r="W1429" t="s">
        <v>1952</v>
      </c>
      <c r="X1429" t="s">
        <v>446</v>
      </c>
    </row>
    <row r="1430" spans="1:24" x14ac:dyDescent="0.25">
      <c r="A1430" t="s">
        <v>42</v>
      </c>
      <c r="B1430" t="s">
        <v>3041</v>
      </c>
      <c r="C1430" t="s">
        <v>355</v>
      </c>
      <c r="E1430" t="s">
        <v>1013</v>
      </c>
      <c r="F1430">
        <v>25853</v>
      </c>
      <c r="G1430" t="s">
        <v>2879</v>
      </c>
      <c r="H1430" t="s">
        <v>2984</v>
      </c>
      <c r="J1430" t="s">
        <v>1089</v>
      </c>
      <c r="K1430" t="s">
        <v>1016</v>
      </c>
      <c r="L1430" t="s">
        <v>446</v>
      </c>
      <c r="Q1430" t="b">
        <v>1</v>
      </c>
      <c r="R1430" t="b">
        <v>1</v>
      </c>
      <c r="S1430" t="s">
        <v>2160</v>
      </c>
      <c r="T1430" t="s">
        <v>446</v>
      </c>
      <c r="U1430" t="s">
        <v>1951</v>
      </c>
      <c r="V1430" t="s">
        <v>1093</v>
      </c>
      <c r="W1430" t="s">
        <v>1952</v>
      </c>
      <c r="X1430" t="s">
        <v>446</v>
      </c>
    </row>
    <row r="1431" spans="1:24" x14ac:dyDescent="0.25">
      <c r="A1431" t="s">
        <v>42</v>
      </c>
      <c r="B1431" t="s">
        <v>3042</v>
      </c>
      <c r="C1431" t="s">
        <v>357</v>
      </c>
      <c r="E1431" t="s">
        <v>1013</v>
      </c>
      <c r="F1431">
        <v>27411</v>
      </c>
      <c r="G1431" t="s">
        <v>2879</v>
      </c>
      <c r="H1431" t="s">
        <v>2986</v>
      </c>
      <c r="J1431" t="s">
        <v>1089</v>
      </c>
      <c r="K1431" t="s">
        <v>1016</v>
      </c>
      <c r="L1431" t="s">
        <v>446</v>
      </c>
      <c r="Q1431" t="b">
        <v>1</v>
      </c>
      <c r="R1431" t="b">
        <v>1</v>
      </c>
      <c r="S1431" t="s">
        <v>2160</v>
      </c>
      <c r="T1431" t="s">
        <v>446</v>
      </c>
      <c r="U1431" t="s">
        <v>1951</v>
      </c>
      <c r="V1431" t="s">
        <v>1093</v>
      </c>
      <c r="W1431" t="s">
        <v>1952</v>
      </c>
      <c r="X1431" t="s">
        <v>446</v>
      </c>
    </row>
    <row r="1432" spans="1:24" x14ac:dyDescent="0.25">
      <c r="A1432" t="s">
        <v>42</v>
      </c>
      <c r="B1432" t="s">
        <v>3043</v>
      </c>
      <c r="C1432" t="s">
        <v>350</v>
      </c>
      <c r="E1432" t="s">
        <v>1013</v>
      </c>
      <c r="F1432">
        <v>73791</v>
      </c>
      <c r="G1432" t="s">
        <v>2879</v>
      </c>
      <c r="H1432" t="s">
        <v>2988</v>
      </c>
      <c r="J1432" t="s">
        <v>1089</v>
      </c>
      <c r="K1432" t="s">
        <v>446</v>
      </c>
      <c r="L1432" t="s">
        <v>446</v>
      </c>
      <c r="Q1432" t="b">
        <v>1</v>
      </c>
      <c r="R1432" t="b">
        <v>1</v>
      </c>
      <c r="S1432" t="s">
        <v>2160</v>
      </c>
      <c r="T1432" t="s">
        <v>446</v>
      </c>
      <c r="U1432" t="s">
        <v>1951</v>
      </c>
      <c r="V1432" t="s">
        <v>1093</v>
      </c>
      <c r="W1432" t="s">
        <v>1952</v>
      </c>
      <c r="X1432" t="s">
        <v>446</v>
      </c>
    </row>
    <row r="1433" spans="1:24" x14ac:dyDescent="0.25">
      <c r="A1433" t="s">
        <v>42</v>
      </c>
      <c r="B1433" t="s">
        <v>3044</v>
      </c>
      <c r="C1433" t="s">
        <v>358</v>
      </c>
      <c r="E1433" t="s">
        <v>1013</v>
      </c>
      <c r="F1433">
        <v>101202</v>
      </c>
      <c r="G1433" t="s">
        <v>2879</v>
      </c>
      <c r="H1433" t="s">
        <v>2990</v>
      </c>
      <c r="J1433" t="s">
        <v>1089</v>
      </c>
      <c r="K1433" t="s">
        <v>1016</v>
      </c>
      <c r="L1433" t="s">
        <v>446</v>
      </c>
      <c r="Q1433" t="b">
        <v>1</v>
      </c>
      <c r="R1433" t="b">
        <v>1</v>
      </c>
      <c r="S1433" t="s">
        <v>2160</v>
      </c>
      <c r="T1433" t="s">
        <v>446</v>
      </c>
      <c r="U1433" t="s">
        <v>1951</v>
      </c>
      <c r="V1433" t="s">
        <v>1093</v>
      </c>
      <c r="W1433" t="s">
        <v>1952</v>
      </c>
      <c r="X1433" t="s">
        <v>446</v>
      </c>
    </row>
    <row r="1434" spans="1:24" x14ac:dyDescent="0.25">
      <c r="A1434" t="s">
        <v>42</v>
      </c>
      <c r="B1434" t="s">
        <v>3045</v>
      </c>
      <c r="C1434" t="s">
        <v>340</v>
      </c>
      <c r="E1434" t="s">
        <v>1018</v>
      </c>
      <c r="F1434">
        <v>106266</v>
      </c>
      <c r="G1434" t="s">
        <v>2879</v>
      </c>
      <c r="H1434" t="s">
        <v>488</v>
      </c>
      <c r="J1434" t="s">
        <v>1089</v>
      </c>
      <c r="K1434" t="s">
        <v>1021</v>
      </c>
      <c r="L1434" t="s">
        <v>446</v>
      </c>
      <c r="Q1434" t="b">
        <v>1</v>
      </c>
      <c r="R1434" t="b">
        <v>1</v>
      </c>
      <c r="S1434" t="s">
        <v>2160</v>
      </c>
      <c r="T1434" t="s">
        <v>446</v>
      </c>
      <c r="U1434" t="s">
        <v>1951</v>
      </c>
      <c r="V1434" t="s">
        <v>1093</v>
      </c>
      <c r="W1434" t="s">
        <v>1952</v>
      </c>
      <c r="X1434" t="s">
        <v>446</v>
      </c>
    </row>
    <row r="1435" spans="1:24" x14ac:dyDescent="0.25">
      <c r="A1435" t="s">
        <v>42</v>
      </c>
      <c r="B1435" t="s">
        <v>3046</v>
      </c>
      <c r="C1435" t="s">
        <v>334</v>
      </c>
      <c r="E1435" t="s">
        <v>1018</v>
      </c>
      <c r="F1435">
        <v>30288</v>
      </c>
      <c r="G1435" t="s">
        <v>2879</v>
      </c>
      <c r="H1435" t="s">
        <v>2976</v>
      </c>
      <c r="J1435" t="s">
        <v>1089</v>
      </c>
      <c r="K1435" t="s">
        <v>1021</v>
      </c>
      <c r="L1435" t="s">
        <v>446</v>
      </c>
      <c r="Q1435" t="b">
        <v>1</v>
      </c>
      <c r="R1435" t="b">
        <v>1</v>
      </c>
      <c r="S1435" t="s">
        <v>2160</v>
      </c>
      <c r="T1435" t="s">
        <v>446</v>
      </c>
      <c r="U1435" t="s">
        <v>1951</v>
      </c>
      <c r="V1435" t="s">
        <v>1093</v>
      </c>
      <c r="W1435" t="s">
        <v>1952</v>
      </c>
      <c r="X1435" t="s">
        <v>446</v>
      </c>
    </row>
    <row r="1436" spans="1:24" x14ac:dyDescent="0.25">
      <c r="A1436" t="s">
        <v>42</v>
      </c>
      <c r="B1436" t="s">
        <v>3047</v>
      </c>
      <c r="C1436" t="s">
        <v>339</v>
      </c>
      <c r="E1436" t="s">
        <v>1018</v>
      </c>
      <c r="F1436">
        <v>75978</v>
      </c>
      <c r="G1436" t="s">
        <v>2879</v>
      </c>
      <c r="H1436" t="s">
        <v>2978</v>
      </c>
      <c r="J1436" t="s">
        <v>1089</v>
      </c>
      <c r="K1436" t="s">
        <v>446</v>
      </c>
      <c r="L1436" t="s">
        <v>446</v>
      </c>
      <c r="Q1436" t="b">
        <v>1</v>
      </c>
      <c r="R1436" t="b">
        <v>1</v>
      </c>
      <c r="S1436" t="s">
        <v>2160</v>
      </c>
      <c r="T1436" t="s">
        <v>446</v>
      </c>
      <c r="U1436" t="s">
        <v>1951</v>
      </c>
      <c r="V1436" t="s">
        <v>1093</v>
      </c>
      <c r="W1436" t="s">
        <v>1952</v>
      </c>
      <c r="X1436" t="s">
        <v>446</v>
      </c>
    </row>
    <row r="1437" spans="1:24" x14ac:dyDescent="0.25">
      <c r="A1437" t="s">
        <v>42</v>
      </c>
      <c r="B1437" t="s">
        <v>3048</v>
      </c>
      <c r="C1437" t="s">
        <v>344</v>
      </c>
      <c r="E1437" t="s">
        <v>1018</v>
      </c>
      <c r="F1437">
        <v>25685</v>
      </c>
      <c r="G1437" t="s">
        <v>2879</v>
      </c>
      <c r="H1437" t="s">
        <v>2980</v>
      </c>
      <c r="J1437" t="s">
        <v>1089</v>
      </c>
      <c r="K1437" t="s">
        <v>446</v>
      </c>
      <c r="L1437" t="s">
        <v>446</v>
      </c>
      <c r="Q1437" t="b">
        <v>1</v>
      </c>
      <c r="R1437" t="b">
        <v>1</v>
      </c>
      <c r="S1437" t="s">
        <v>2160</v>
      </c>
      <c r="T1437" t="s">
        <v>446</v>
      </c>
      <c r="U1437" t="s">
        <v>1951</v>
      </c>
      <c r="V1437" t="s">
        <v>1093</v>
      </c>
      <c r="W1437" t="s">
        <v>1952</v>
      </c>
      <c r="X1437" t="s">
        <v>446</v>
      </c>
    </row>
    <row r="1438" spans="1:24" x14ac:dyDescent="0.25">
      <c r="A1438" t="s">
        <v>42</v>
      </c>
      <c r="B1438" t="s">
        <v>3049</v>
      </c>
      <c r="C1438" t="s">
        <v>349</v>
      </c>
      <c r="E1438" t="s">
        <v>1018</v>
      </c>
      <c r="F1438">
        <v>52427</v>
      </c>
      <c r="G1438" t="s">
        <v>2879</v>
      </c>
      <c r="H1438" t="s">
        <v>2982</v>
      </c>
      <c r="J1438" t="s">
        <v>1089</v>
      </c>
      <c r="K1438" t="s">
        <v>446</v>
      </c>
      <c r="L1438" t="s">
        <v>446</v>
      </c>
      <c r="Q1438" t="b">
        <v>1</v>
      </c>
      <c r="R1438" t="b">
        <v>1</v>
      </c>
      <c r="S1438" t="s">
        <v>2160</v>
      </c>
      <c r="T1438" t="s">
        <v>446</v>
      </c>
      <c r="U1438" t="s">
        <v>1951</v>
      </c>
      <c r="V1438" t="s">
        <v>1093</v>
      </c>
      <c r="W1438" t="s">
        <v>1952</v>
      </c>
      <c r="X1438" t="s">
        <v>446</v>
      </c>
    </row>
    <row r="1439" spans="1:24" x14ac:dyDescent="0.25">
      <c r="A1439" t="s">
        <v>42</v>
      </c>
      <c r="B1439" t="s">
        <v>3050</v>
      </c>
      <c r="C1439" t="s">
        <v>355</v>
      </c>
      <c r="E1439" t="s">
        <v>1018</v>
      </c>
      <c r="F1439">
        <v>26518</v>
      </c>
      <c r="G1439" t="s">
        <v>2879</v>
      </c>
      <c r="H1439" t="s">
        <v>2984</v>
      </c>
      <c r="J1439" t="s">
        <v>1089</v>
      </c>
      <c r="K1439" t="s">
        <v>1021</v>
      </c>
      <c r="L1439" t="s">
        <v>446</v>
      </c>
      <c r="Q1439" t="b">
        <v>1</v>
      </c>
      <c r="R1439" t="b">
        <v>1</v>
      </c>
      <c r="S1439" t="s">
        <v>2160</v>
      </c>
      <c r="T1439" t="s">
        <v>446</v>
      </c>
      <c r="U1439" t="s">
        <v>1951</v>
      </c>
      <c r="V1439" t="s">
        <v>1093</v>
      </c>
      <c r="W1439" t="s">
        <v>1952</v>
      </c>
      <c r="X1439" t="s">
        <v>446</v>
      </c>
    </row>
    <row r="1440" spans="1:24" x14ac:dyDescent="0.25">
      <c r="A1440" t="s">
        <v>42</v>
      </c>
      <c r="B1440" t="s">
        <v>3051</v>
      </c>
      <c r="C1440" t="s">
        <v>357</v>
      </c>
      <c r="E1440" t="s">
        <v>1018</v>
      </c>
      <c r="F1440">
        <v>28154</v>
      </c>
      <c r="G1440" t="s">
        <v>2879</v>
      </c>
      <c r="H1440" t="s">
        <v>2986</v>
      </c>
      <c r="J1440" t="s">
        <v>1089</v>
      </c>
      <c r="K1440" t="s">
        <v>1021</v>
      </c>
      <c r="L1440" t="s">
        <v>446</v>
      </c>
      <c r="Q1440" t="b">
        <v>1</v>
      </c>
      <c r="R1440" t="b">
        <v>1</v>
      </c>
      <c r="S1440" t="s">
        <v>2160</v>
      </c>
      <c r="T1440" t="s">
        <v>446</v>
      </c>
      <c r="U1440" t="s">
        <v>1951</v>
      </c>
      <c r="V1440" t="s">
        <v>1093</v>
      </c>
      <c r="W1440" t="s">
        <v>1952</v>
      </c>
      <c r="X1440" t="s">
        <v>446</v>
      </c>
    </row>
    <row r="1441" spans="1:24" x14ac:dyDescent="0.25">
      <c r="A1441" t="s">
        <v>42</v>
      </c>
      <c r="B1441" t="s">
        <v>3052</v>
      </c>
      <c r="C1441" t="s">
        <v>350</v>
      </c>
      <c r="E1441" t="s">
        <v>1018</v>
      </c>
      <c r="F1441">
        <v>78112</v>
      </c>
      <c r="G1441" t="s">
        <v>2879</v>
      </c>
      <c r="H1441" t="s">
        <v>2988</v>
      </c>
      <c r="J1441" t="s">
        <v>1089</v>
      </c>
      <c r="K1441" t="s">
        <v>446</v>
      </c>
      <c r="L1441" t="s">
        <v>446</v>
      </c>
      <c r="Q1441" t="b">
        <v>1</v>
      </c>
      <c r="R1441" t="b">
        <v>1</v>
      </c>
      <c r="S1441" t="s">
        <v>2160</v>
      </c>
      <c r="T1441" t="s">
        <v>446</v>
      </c>
      <c r="U1441" t="s">
        <v>1951</v>
      </c>
      <c r="V1441" t="s">
        <v>1093</v>
      </c>
      <c r="W1441" t="s">
        <v>1952</v>
      </c>
      <c r="X1441" t="s">
        <v>446</v>
      </c>
    </row>
    <row r="1442" spans="1:24" x14ac:dyDescent="0.25">
      <c r="A1442" t="s">
        <v>42</v>
      </c>
      <c r="B1442" t="s">
        <v>3053</v>
      </c>
      <c r="C1442" t="s">
        <v>358</v>
      </c>
      <c r="E1442" t="s">
        <v>1018</v>
      </c>
      <c r="F1442">
        <v>106266</v>
      </c>
      <c r="G1442" t="s">
        <v>2879</v>
      </c>
      <c r="H1442" t="s">
        <v>2990</v>
      </c>
      <c r="J1442" t="s">
        <v>1089</v>
      </c>
      <c r="K1442" t="s">
        <v>1021</v>
      </c>
      <c r="L1442" t="s">
        <v>446</v>
      </c>
      <c r="Q1442" t="b">
        <v>1</v>
      </c>
      <c r="R1442" t="b">
        <v>1</v>
      </c>
      <c r="S1442" t="s">
        <v>2160</v>
      </c>
      <c r="T1442" t="s">
        <v>446</v>
      </c>
      <c r="U1442" t="s">
        <v>1951</v>
      </c>
      <c r="V1442" t="s">
        <v>1093</v>
      </c>
      <c r="W1442" t="s">
        <v>1952</v>
      </c>
      <c r="X1442" t="s">
        <v>446</v>
      </c>
    </row>
    <row r="1443" spans="1:24" x14ac:dyDescent="0.25">
      <c r="A1443" t="s">
        <v>42</v>
      </c>
      <c r="B1443" t="s">
        <v>3054</v>
      </c>
      <c r="C1443" t="s">
        <v>340</v>
      </c>
      <c r="E1443" t="s">
        <v>1023</v>
      </c>
      <c r="F1443">
        <v>100549</v>
      </c>
      <c r="G1443" t="s">
        <v>2879</v>
      </c>
      <c r="H1443" t="s">
        <v>488</v>
      </c>
      <c r="J1443" t="s">
        <v>1089</v>
      </c>
      <c r="K1443" t="s">
        <v>1026</v>
      </c>
      <c r="L1443" t="s">
        <v>446</v>
      </c>
      <c r="Q1443" t="b">
        <v>1</v>
      </c>
      <c r="R1443" t="b">
        <v>1</v>
      </c>
      <c r="S1443" t="s">
        <v>2160</v>
      </c>
      <c r="T1443" t="s">
        <v>446</v>
      </c>
      <c r="U1443" t="s">
        <v>1951</v>
      </c>
      <c r="V1443" t="s">
        <v>1093</v>
      </c>
      <c r="W1443" t="s">
        <v>1952</v>
      </c>
      <c r="X1443" t="s">
        <v>446</v>
      </c>
    </row>
    <row r="1444" spans="1:24" x14ac:dyDescent="0.25">
      <c r="A1444" t="s">
        <v>42</v>
      </c>
      <c r="B1444" t="s">
        <v>3055</v>
      </c>
      <c r="C1444" t="s">
        <v>334</v>
      </c>
      <c r="E1444" t="s">
        <v>1023</v>
      </c>
      <c r="F1444">
        <v>25997</v>
      </c>
      <c r="G1444" t="s">
        <v>2879</v>
      </c>
      <c r="H1444" t="s">
        <v>2976</v>
      </c>
      <c r="J1444" t="s">
        <v>1089</v>
      </c>
      <c r="K1444" t="s">
        <v>1026</v>
      </c>
      <c r="L1444" t="s">
        <v>446</v>
      </c>
      <c r="Q1444" t="b">
        <v>1</v>
      </c>
      <c r="R1444" t="b">
        <v>1</v>
      </c>
      <c r="S1444" t="s">
        <v>2160</v>
      </c>
      <c r="T1444" t="s">
        <v>446</v>
      </c>
      <c r="U1444" t="s">
        <v>1951</v>
      </c>
      <c r="V1444" t="s">
        <v>1093</v>
      </c>
      <c r="W1444" t="s">
        <v>1952</v>
      </c>
      <c r="X1444" t="s">
        <v>446</v>
      </c>
    </row>
    <row r="1445" spans="1:24" x14ac:dyDescent="0.25">
      <c r="A1445" t="s">
        <v>42</v>
      </c>
      <c r="B1445" t="s">
        <v>3056</v>
      </c>
      <c r="C1445" t="s">
        <v>339</v>
      </c>
      <c r="E1445" t="s">
        <v>1023</v>
      </c>
      <c r="F1445">
        <v>74552</v>
      </c>
      <c r="G1445" t="s">
        <v>2879</v>
      </c>
      <c r="H1445" t="s">
        <v>2978</v>
      </c>
      <c r="J1445" t="s">
        <v>1089</v>
      </c>
      <c r="K1445" t="s">
        <v>446</v>
      </c>
      <c r="L1445" t="s">
        <v>446</v>
      </c>
      <c r="Q1445" t="b">
        <v>1</v>
      </c>
      <c r="R1445" t="b">
        <v>1</v>
      </c>
      <c r="S1445" t="s">
        <v>2160</v>
      </c>
      <c r="T1445" t="s">
        <v>446</v>
      </c>
      <c r="U1445" t="s">
        <v>1951</v>
      </c>
      <c r="V1445" t="s">
        <v>1093</v>
      </c>
      <c r="W1445" t="s">
        <v>1952</v>
      </c>
      <c r="X1445" t="s">
        <v>446</v>
      </c>
    </row>
    <row r="1446" spans="1:24" x14ac:dyDescent="0.25">
      <c r="A1446" t="s">
        <v>42</v>
      </c>
      <c r="B1446" t="s">
        <v>3057</v>
      </c>
      <c r="C1446" t="s">
        <v>344</v>
      </c>
      <c r="E1446" t="s">
        <v>1023</v>
      </c>
      <c r="F1446">
        <v>24241</v>
      </c>
      <c r="G1446" t="s">
        <v>2879</v>
      </c>
      <c r="H1446" t="s">
        <v>2980</v>
      </c>
      <c r="J1446" t="s">
        <v>1089</v>
      </c>
      <c r="K1446" t="s">
        <v>446</v>
      </c>
      <c r="L1446" t="s">
        <v>446</v>
      </c>
      <c r="Q1446" t="b">
        <v>1</v>
      </c>
      <c r="R1446" t="b">
        <v>1</v>
      </c>
      <c r="S1446" t="s">
        <v>2160</v>
      </c>
      <c r="T1446" t="s">
        <v>446</v>
      </c>
      <c r="U1446" t="s">
        <v>1951</v>
      </c>
      <c r="V1446" t="s">
        <v>1093</v>
      </c>
      <c r="W1446" t="s">
        <v>1952</v>
      </c>
      <c r="X1446" t="s">
        <v>446</v>
      </c>
    </row>
    <row r="1447" spans="1:24" x14ac:dyDescent="0.25">
      <c r="A1447" t="s">
        <v>42</v>
      </c>
      <c r="B1447" t="s">
        <v>3058</v>
      </c>
      <c r="C1447" t="s">
        <v>349</v>
      </c>
      <c r="E1447" t="s">
        <v>1023</v>
      </c>
      <c r="F1447">
        <v>49936</v>
      </c>
      <c r="G1447" t="s">
        <v>2879</v>
      </c>
      <c r="H1447" t="s">
        <v>2982</v>
      </c>
      <c r="J1447" t="s">
        <v>1089</v>
      </c>
      <c r="K1447" t="s">
        <v>446</v>
      </c>
      <c r="L1447" t="s">
        <v>446</v>
      </c>
      <c r="Q1447" t="b">
        <v>1</v>
      </c>
      <c r="R1447" t="b">
        <v>1</v>
      </c>
      <c r="S1447" t="s">
        <v>2160</v>
      </c>
      <c r="T1447" t="s">
        <v>446</v>
      </c>
      <c r="U1447" t="s">
        <v>1951</v>
      </c>
      <c r="V1447" t="s">
        <v>1093</v>
      </c>
      <c r="W1447" t="s">
        <v>1952</v>
      </c>
      <c r="X1447" t="s">
        <v>446</v>
      </c>
    </row>
    <row r="1448" spans="1:24" x14ac:dyDescent="0.25">
      <c r="A1448" t="s">
        <v>42</v>
      </c>
      <c r="B1448" t="s">
        <v>3059</v>
      </c>
      <c r="C1448" t="s">
        <v>355</v>
      </c>
      <c r="E1448" t="s">
        <v>1023</v>
      </c>
      <c r="F1448">
        <v>24856</v>
      </c>
      <c r="G1448" t="s">
        <v>2879</v>
      </c>
      <c r="H1448" t="s">
        <v>2984</v>
      </c>
      <c r="J1448" t="s">
        <v>1089</v>
      </c>
      <c r="K1448" t="s">
        <v>1026</v>
      </c>
      <c r="L1448" t="s">
        <v>446</v>
      </c>
      <c r="Q1448" t="b">
        <v>1</v>
      </c>
      <c r="R1448" t="b">
        <v>1</v>
      </c>
      <c r="S1448" t="s">
        <v>2160</v>
      </c>
      <c r="T1448" t="s">
        <v>446</v>
      </c>
      <c r="U1448" t="s">
        <v>1951</v>
      </c>
      <c r="V1448" t="s">
        <v>1093</v>
      </c>
      <c r="W1448" t="s">
        <v>1952</v>
      </c>
      <c r="X1448" t="s">
        <v>446</v>
      </c>
    </row>
    <row r="1449" spans="1:24" x14ac:dyDescent="0.25">
      <c r="A1449" t="s">
        <v>42</v>
      </c>
      <c r="B1449" t="s">
        <v>3060</v>
      </c>
      <c r="C1449" t="s">
        <v>357</v>
      </c>
      <c r="E1449" t="s">
        <v>1023</v>
      </c>
      <c r="F1449">
        <v>26372</v>
      </c>
      <c r="G1449" t="s">
        <v>2879</v>
      </c>
      <c r="H1449" t="s">
        <v>2986</v>
      </c>
      <c r="J1449" t="s">
        <v>1089</v>
      </c>
      <c r="K1449" t="s">
        <v>1026</v>
      </c>
      <c r="L1449" t="s">
        <v>446</v>
      </c>
      <c r="Q1449" t="b">
        <v>1</v>
      </c>
      <c r="R1449" t="b">
        <v>1</v>
      </c>
      <c r="S1449" t="s">
        <v>2160</v>
      </c>
      <c r="T1449" t="s">
        <v>446</v>
      </c>
      <c r="U1449" t="s">
        <v>1951</v>
      </c>
      <c r="V1449" t="s">
        <v>1093</v>
      </c>
      <c r="W1449" t="s">
        <v>1952</v>
      </c>
      <c r="X1449" t="s">
        <v>446</v>
      </c>
    </row>
    <row r="1450" spans="1:24" x14ac:dyDescent="0.25">
      <c r="A1450" t="s">
        <v>42</v>
      </c>
      <c r="B1450" t="s">
        <v>3061</v>
      </c>
      <c r="C1450" t="s">
        <v>350</v>
      </c>
      <c r="E1450" t="s">
        <v>1023</v>
      </c>
      <c r="F1450">
        <v>74177</v>
      </c>
      <c r="G1450" t="s">
        <v>2879</v>
      </c>
      <c r="H1450" t="s">
        <v>2988</v>
      </c>
      <c r="J1450" t="s">
        <v>1089</v>
      </c>
      <c r="K1450" t="s">
        <v>446</v>
      </c>
      <c r="L1450" t="s">
        <v>446</v>
      </c>
      <c r="Q1450" t="b">
        <v>1</v>
      </c>
      <c r="R1450" t="b">
        <v>1</v>
      </c>
      <c r="S1450" t="s">
        <v>2160</v>
      </c>
      <c r="T1450" t="s">
        <v>446</v>
      </c>
      <c r="U1450" t="s">
        <v>1951</v>
      </c>
      <c r="V1450" t="s">
        <v>1093</v>
      </c>
      <c r="W1450" t="s">
        <v>1952</v>
      </c>
      <c r="X1450" t="s">
        <v>446</v>
      </c>
    </row>
    <row r="1451" spans="1:24" x14ac:dyDescent="0.25">
      <c r="A1451" t="s">
        <v>42</v>
      </c>
      <c r="B1451" t="s">
        <v>3062</v>
      </c>
      <c r="C1451" t="s">
        <v>358</v>
      </c>
      <c r="E1451" t="s">
        <v>1023</v>
      </c>
      <c r="F1451">
        <v>100549</v>
      </c>
      <c r="G1451" t="s">
        <v>2879</v>
      </c>
      <c r="H1451" t="s">
        <v>2990</v>
      </c>
      <c r="J1451" t="s">
        <v>1089</v>
      </c>
      <c r="K1451" t="s">
        <v>1026</v>
      </c>
      <c r="L1451" t="s">
        <v>446</v>
      </c>
      <c r="Q1451" t="b">
        <v>1</v>
      </c>
      <c r="R1451" t="b">
        <v>1</v>
      </c>
      <c r="S1451" t="s">
        <v>2160</v>
      </c>
      <c r="T1451" t="s">
        <v>446</v>
      </c>
      <c r="U1451" t="s">
        <v>1951</v>
      </c>
      <c r="V1451" t="s">
        <v>1093</v>
      </c>
      <c r="W1451" t="s">
        <v>1952</v>
      </c>
      <c r="X1451" t="s">
        <v>446</v>
      </c>
    </row>
    <row r="1452" spans="1:24" x14ac:dyDescent="0.25">
      <c r="A1452" t="s">
        <v>42</v>
      </c>
      <c r="B1452" t="s">
        <v>3063</v>
      </c>
      <c r="C1452" t="s">
        <v>340</v>
      </c>
      <c r="E1452" t="s">
        <v>1010</v>
      </c>
      <c r="F1452">
        <v>100549</v>
      </c>
      <c r="G1452" t="s">
        <v>2879</v>
      </c>
      <c r="H1452" t="s">
        <v>488</v>
      </c>
      <c r="J1452" t="s">
        <v>1089</v>
      </c>
      <c r="K1452" t="s">
        <v>1026</v>
      </c>
      <c r="L1452" t="s">
        <v>446</v>
      </c>
      <c r="Q1452" t="b">
        <v>1</v>
      </c>
      <c r="R1452" t="b">
        <v>1</v>
      </c>
      <c r="S1452" t="s">
        <v>2160</v>
      </c>
      <c r="T1452" t="s">
        <v>446</v>
      </c>
      <c r="U1452" t="s">
        <v>1951</v>
      </c>
      <c r="V1452" t="s">
        <v>1093</v>
      </c>
      <c r="W1452" t="s">
        <v>1952</v>
      </c>
      <c r="X1452" t="s">
        <v>446</v>
      </c>
    </row>
    <row r="1453" spans="1:24" x14ac:dyDescent="0.25">
      <c r="A1453" t="s">
        <v>42</v>
      </c>
      <c r="B1453" t="s">
        <v>3064</v>
      </c>
      <c r="C1453" t="s">
        <v>334</v>
      </c>
      <c r="E1453" t="s">
        <v>1010</v>
      </c>
      <c r="F1453">
        <v>25997</v>
      </c>
      <c r="G1453" t="s">
        <v>2879</v>
      </c>
      <c r="H1453" t="s">
        <v>2976</v>
      </c>
      <c r="J1453" t="s">
        <v>1089</v>
      </c>
      <c r="K1453" t="s">
        <v>1026</v>
      </c>
      <c r="L1453" t="s">
        <v>446</v>
      </c>
      <c r="Q1453" t="b">
        <v>1</v>
      </c>
      <c r="R1453" t="b">
        <v>1</v>
      </c>
      <c r="S1453" t="s">
        <v>2160</v>
      </c>
      <c r="T1453" t="s">
        <v>446</v>
      </c>
      <c r="U1453" t="s">
        <v>1951</v>
      </c>
      <c r="V1453" t="s">
        <v>1093</v>
      </c>
      <c r="W1453" t="s">
        <v>1952</v>
      </c>
      <c r="X1453" t="s">
        <v>446</v>
      </c>
    </row>
    <row r="1454" spans="1:24" x14ac:dyDescent="0.25">
      <c r="A1454" t="s">
        <v>42</v>
      </c>
      <c r="B1454" t="s">
        <v>3065</v>
      </c>
      <c r="C1454" t="s">
        <v>339</v>
      </c>
      <c r="E1454" t="s">
        <v>1010</v>
      </c>
      <c r="F1454">
        <v>74552</v>
      </c>
      <c r="G1454" t="s">
        <v>2879</v>
      </c>
      <c r="H1454" t="s">
        <v>2978</v>
      </c>
      <c r="J1454" t="s">
        <v>1089</v>
      </c>
      <c r="K1454" t="s">
        <v>446</v>
      </c>
      <c r="L1454" t="s">
        <v>446</v>
      </c>
      <c r="Q1454" t="b">
        <v>1</v>
      </c>
      <c r="R1454" t="b">
        <v>1</v>
      </c>
      <c r="S1454" t="s">
        <v>2160</v>
      </c>
      <c r="T1454" t="s">
        <v>446</v>
      </c>
      <c r="U1454" t="s">
        <v>1951</v>
      </c>
      <c r="V1454" t="s">
        <v>1093</v>
      </c>
      <c r="W1454" t="s">
        <v>1952</v>
      </c>
      <c r="X1454" t="s">
        <v>446</v>
      </c>
    </row>
    <row r="1455" spans="1:24" x14ac:dyDescent="0.25">
      <c r="A1455" t="s">
        <v>42</v>
      </c>
      <c r="B1455" t="s">
        <v>3066</v>
      </c>
      <c r="C1455" t="s">
        <v>344</v>
      </c>
      <c r="E1455" t="s">
        <v>1010</v>
      </c>
      <c r="F1455">
        <v>24241</v>
      </c>
      <c r="G1455" t="s">
        <v>2879</v>
      </c>
      <c r="H1455" t="s">
        <v>2980</v>
      </c>
      <c r="J1455" t="s">
        <v>1089</v>
      </c>
      <c r="K1455" t="s">
        <v>446</v>
      </c>
      <c r="L1455" t="s">
        <v>446</v>
      </c>
      <c r="Q1455" t="b">
        <v>1</v>
      </c>
      <c r="R1455" t="b">
        <v>1</v>
      </c>
      <c r="S1455" t="s">
        <v>2160</v>
      </c>
      <c r="T1455" t="s">
        <v>446</v>
      </c>
      <c r="U1455" t="s">
        <v>1951</v>
      </c>
      <c r="V1455" t="s">
        <v>1093</v>
      </c>
      <c r="W1455" t="s">
        <v>1952</v>
      </c>
      <c r="X1455" t="s">
        <v>446</v>
      </c>
    </row>
    <row r="1456" spans="1:24" x14ac:dyDescent="0.25">
      <c r="A1456" t="s">
        <v>42</v>
      </c>
      <c r="B1456" t="s">
        <v>3067</v>
      </c>
      <c r="C1456" t="s">
        <v>349</v>
      </c>
      <c r="E1456" t="s">
        <v>1010</v>
      </c>
      <c r="F1456">
        <v>49936</v>
      </c>
      <c r="G1456" t="s">
        <v>2879</v>
      </c>
      <c r="H1456" t="s">
        <v>2982</v>
      </c>
      <c r="J1456" t="s">
        <v>1089</v>
      </c>
      <c r="K1456" t="s">
        <v>446</v>
      </c>
      <c r="L1456" t="s">
        <v>446</v>
      </c>
      <c r="Q1456" t="b">
        <v>1</v>
      </c>
      <c r="R1456" t="b">
        <v>1</v>
      </c>
      <c r="S1456" t="s">
        <v>2160</v>
      </c>
      <c r="T1456" t="s">
        <v>446</v>
      </c>
      <c r="U1456" t="s">
        <v>1951</v>
      </c>
      <c r="V1456" t="s">
        <v>1093</v>
      </c>
      <c r="W1456" t="s">
        <v>1952</v>
      </c>
      <c r="X1456" t="s">
        <v>446</v>
      </c>
    </row>
    <row r="1457" spans="1:24" x14ac:dyDescent="0.25">
      <c r="A1457" t="s">
        <v>42</v>
      </c>
      <c r="B1457" t="s">
        <v>3068</v>
      </c>
      <c r="C1457" t="s">
        <v>355</v>
      </c>
      <c r="E1457" t="s">
        <v>1010</v>
      </c>
      <c r="F1457">
        <v>24856</v>
      </c>
      <c r="G1457" t="s">
        <v>2879</v>
      </c>
      <c r="H1457" t="s">
        <v>2984</v>
      </c>
      <c r="J1457" t="s">
        <v>1089</v>
      </c>
      <c r="K1457" t="s">
        <v>1026</v>
      </c>
      <c r="L1457" t="s">
        <v>446</v>
      </c>
      <c r="Q1457" t="b">
        <v>1</v>
      </c>
      <c r="R1457" t="b">
        <v>1</v>
      </c>
      <c r="S1457" t="s">
        <v>2160</v>
      </c>
      <c r="T1457" t="s">
        <v>446</v>
      </c>
      <c r="U1457" t="s">
        <v>1951</v>
      </c>
      <c r="V1457" t="s">
        <v>1093</v>
      </c>
      <c r="W1457" t="s">
        <v>1952</v>
      </c>
      <c r="X1457" t="s">
        <v>446</v>
      </c>
    </row>
    <row r="1458" spans="1:24" x14ac:dyDescent="0.25">
      <c r="A1458" t="s">
        <v>42</v>
      </c>
      <c r="B1458" t="s">
        <v>3069</v>
      </c>
      <c r="C1458" t="s">
        <v>357</v>
      </c>
      <c r="E1458" t="s">
        <v>1010</v>
      </c>
      <c r="F1458">
        <v>26372</v>
      </c>
      <c r="G1458" t="s">
        <v>2879</v>
      </c>
      <c r="H1458" t="s">
        <v>2986</v>
      </c>
      <c r="J1458" t="s">
        <v>1089</v>
      </c>
      <c r="K1458" t="s">
        <v>1026</v>
      </c>
      <c r="L1458" t="s">
        <v>446</v>
      </c>
      <c r="Q1458" t="b">
        <v>1</v>
      </c>
      <c r="R1458" t="b">
        <v>1</v>
      </c>
      <c r="S1458" t="s">
        <v>2160</v>
      </c>
      <c r="T1458" t="s">
        <v>446</v>
      </c>
      <c r="U1458" t="s">
        <v>1951</v>
      </c>
      <c r="V1458" t="s">
        <v>1093</v>
      </c>
      <c r="W1458" t="s">
        <v>1952</v>
      </c>
      <c r="X1458" t="s">
        <v>446</v>
      </c>
    </row>
    <row r="1459" spans="1:24" x14ac:dyDescent="0.25">
      <c r="A1459" t="s">
        <v>42</v>
      </c>
      <c r="B1459" t="s">
        <v>3070</v>
      </c>
      <c r="C1459" t="s">
        <v>350</v>
      </c>
      <c r="E1459" t="s">
        <v>1010</v>
      </c>
      <c r="F1459">
        <v>74177</v>
      </c>
      <c r="G1459" t="s">
        <v>2879</v>
      </c>
      <c r="H1459" t="s">
        <v>2988</v>
      </c>
      <c r="J1459" t="s">
        <v>1089</v>
      </c>
      <c r="K1459" t="s">
        <v>446</v>
      </c>
      <c r="L1459" t="s">
        <v>446</v>
      </c>
      <c r="Q1459" t="b">
        <v>1</v>
      </c>
      <c r="R1459" t="b">
        <v>1</v>
      </c>
      <c r="S1459" t="s">
        <v>2160</v>
      </c>
      <c r="T1459" t="s">
        <v>446</v>
      </c>
      <c r="U1459" t="s">
        <v>1951</v>
      </c>
      <c r="V1459" t="s">
        <v>1093</v>
      </c>
      <c r="W1459" t="s">
        <v>1952</v>
      </c>
      <c r="X1459" t="s">
        <v>446</v>
      </c>
    </row>
    <row r="1460" spans="1:24" x14ac:dyDescent="0.25">
      <c r="A1460" t="s">
        <v>42</v>
      </c>
      <c r="B1460" t="s">
        <v>3071</v>
      </c>
      <c r="C1460" t="s">
        <v>358</v>
      </c>
      <c r="E1460" t="s">
        <v>1010</v>
      </c>
      <c r="F1460">
        <v>100549</v>
      </c>
      <c r="G1460" t="s">
        <v>2879</v>
      </c>
      <c r="H1460" t="s">
        <v>2990</v>
      </c>
      <c r="J1460" t="s">
        <v>1089</v>
      </c>
      <c r="K1460" t="s">
        <v>1026</v>
      </c>
      <c r="L1460" t="s">
        <v>446</v>
      </c>
      <c r="Q1460" t="b">
        <v>1</v>
      </c>
      <c r="R1460" t="b">
        <v>1</v>
      </c>
      <c r="S1460" t="s">
        <v>2160</v>
      </c>
      <c r="T1460" t="s">
        <v>446</v>
      </c>
      <c r="U1460" t="s">
        <v>1951</v>
      </c>
      <c r="V1460" t="s">
        <v>1093</v>
      </c>
      <c r="W1460" t="s">
        <v>1952</v>
      </c>
      <c r="X1460" t="s">
        <v>446</v>
      </c>
    </row>
    <row r="1461" spans="1:24" x14ac:dyDescent="0.25">
      <c r="A1461" t="s">
        <v>42</v>
      </c>
      <c r="B1461" t="s">
        <v>3072</v>
      </c>
      <c r="C1461" t="s">
        <v>340</v>
      </c>
      <c r="E1461" t="s">
        <v>1029</v>
      </c>
      <c r="F1461">
        <v>101716</v>
      </c>
      <c r="G1461" t="s">
        <v>2879</v>
      </c>
      <c r="H1461" t="s">
        <v>488</v>
      </c>
      <c r="J1461" t="s">
        <v>1089</v>
      </c>
      <c r="K1461" t="s">
        <v>1033</v>
      </c>
      <c r="L1461" t="s">
        <v>446</v>
      </c>
      <c r="Q1461" t="b">
        <v>1</v>
      </c>
      <c r="R1461" t="b">
        <v>1</v>
      </c>
      <c r="S1461" t="s">
        <v>2160</v>
      </c>
      <c r="T1461" t="s">
        <v>446</v>
      </c>
      <c r="U1461" t="s">
        <v>1951</v>
      </c>
      <c r="V1461" t="s">
        <v>1093</v>
      </c>
      <c r="W1461" t="s">
        <v>1952</v>
      </c>
      <c r="X1461" t="s">
        <v>446</v>
      </c>
    </row>
    <row r="1462" spans="1:24" x14ac:dyDescent="0.25">
      <c r="A1462" t="s">
        <v>42</v>
      </c>
      <c r="B1462" t="s">
        <v>3073</v>
      </c>
      <c r="C1462" t="s">
        <v>334</v>
      </c>
      <c r="E1462" t="s">
        <v>1029</v>
      </c>
      <c r="F1462">
        <v>26178</v>
      </c>
      <c r="G1462" t="s">
        <v>2879</v>
      </c>
      <c r="H1462" t="s">
        <v>2976</v>
      </c>
      <c r="J1462" t="s">
        <v>1089</v>
      </c>
      <c r="K1462" t="s">
        <v>1033</v>
      </c>
      <c r="L1462" t="s">
        <v>446</v>
      </c>
      <c r="Q1462" t="b">
        <v>1</v>
      </c>
      <c r="R1462" t="b">
        <v>1</v>
      </c>
      <c r="S1462" t="s">
        <v>2160</v>
      </c>
      <c r="T1462" t="s">
        <v>446</v>
      </c>
      <c r="U1462" t="s">
        <v>1951</v>
      </c>
      <c r="V1462" t="s">
        <v>1093</v>
      </c>
      <c r="W1462" t="s">
        <v>1952</v>
      </c>
      <c r="X1462" t="s">
        <v>446</v>
      </c>
    </row>
    <row r="1463" spans="1:24" x14ac:dyDescent="0.25">
      <c r="A1463" t="s">
        <v>42</v>
      </c>
      <c r="B1463" t="s">
        <v>3074</v>
      </c>
      <c r="C1463" t="s">
        <v>339</v>
      </c>
      <c r="E1463" t="s">
        <v>1029</v>
      </c>
      <c r="F1463">
        <v>75538</v>
      </c>
      <c r="G1463" t="s">
        <v>2879</v>
      </c>
      <c r="H1463" t="s">
        <v>2978</v>
      </c>
      <c r="J1463" t="s">
        <v>1089</v>
      </c>
      <c r="K1463" t="s">
        <v>446</v>
      </c>
      <c r="L1463" t="s">
        <v>446</v>
      </c>
      <c r="Q1463" t="b">
        <v>1</v>
      </c>
      <c r="R1463" t="b">
        <v>1</v>
      </c>
      <c r="S1463" t="s">
        <v>2160</v>
      </c>
      <c r="T1463" t="s">
        <v>446</v>
      </c>
      <c r="U1463" t="s">
        <v>1951</v>
      </c>
      <c r="V1463" t="s">
        <v>1093</v>
      </c>
      <c r="W1463" t="s">
        <v>1952</v>
      </c>
      <c r="X1463" t="s">
        <v>446</v>
      </c>
    </row>
    <row r="1464" spans="1:24" x14ac:dyDescent="0.25">
      <c r="A1464" t="s">
        <v>42</v>
      </c>
      <c r="B1464" t="s">
        <v>3075</v>
      </c>
      <c r="C1464" t="s">
        <v>344</v>
      </c>
      <c r="E1464" t="s">
        <v>1029</v>
      </c>
      <c r="F1464">
        <v>18600</v>
      </c>
      <c r="G1464" t="s">
        <v>2879</v>
      </c>
      <c r="H1464" t="s">
        <v>2980</v>
      </c>
      <c r="J1464" t="s">
        <v>1089</v>
      </c>
      <c r="K1464" t="s">
        <v>446</v>
      </c>
      <c r="L1464" t="s">
        <v>446</v>
      </c>
      <c r="Q1464" t="b">
        <v>1</v>
      </c>
      <c r="R1464" t="b">
        <v>1</v>
      </c>
      <c r="S1464" t="s">
        <v>2160</v>
      </c>
      <c r="T1464" t="s">
        <v>446</v>
      </c>
      <c r="U1464" t="s">
        <v>1951</v>
      </c>
      <c r="V1464" t="s">
        <v>1093</v>
      </c>
      <c r="W1464" t="s">
        <v>1952</v>
      </c>
      <c r="X1464" t="s">
        <v>446</v>
      </c>
    </row>
    <row r="1465" spans="1:24" x14ac:dyDescent="0.25">
      <c r="A1465" t="s">
        <v>42</v>
      </c>
      <c r="B1465" t="s">
        <v>3076</v>
      </c>
      <c r="C1465" t="s">
        <v>349</v>
      </c>
      <c r="E1465" t="s">
        <v>1029</v>
      </c>
      <c r="F1465">
        <v>55362</v>
      </c>
      <c r="G1465" t="s">
        <v>2879</v>
      </c>
      <c r="H1465" t="s">
        <v>2982</v>
      </c>
      <c r="J1465" t="s">
        <v>1089</v>
      </c>
      <c r="K1465" t="s">
        <v>446</v>
      </c>
      <c r="L1465" t="s">
        <v>446</v>
      </c>
      <c r="Q1465" t="b">
        <v>1</v>
      </c>
      <c r="R1465" t="b">
        <v>1</v>
      </c>
      <c r="S1465" t="s">
        <v>2160</v>
      </c>
      <c r="T1465" t="s">
        <v>446</v>
      </c>
      <c r="U1465" t="s">
        <v>1951</v>
      </c>
      <c r="V1465" t="s">
        <v>1093</v>
      </c>
      <c r="W1465" t="s">
        <v>1952</v>
      </c>
      <c r="X1465" t="s">
        <v>446</v>
      </c>
    </row>
    <row r="1466" spans="1:24" x14ac:dyDescent="0.25">
      <c r="A1466" t="s">
        <v>42</v>
      </c>
      <c r="B1466" t="s">
        <v>3077</v>
      </c>
      <c r="C1466" t="s">
        <v>355</v>
      </c>
      <c r="E1466" t="s">
        <v>1029</v>
      </c>
      <c r="F1466">
        <v>26202</v>
      </c>
      <c r="G1466" t="s">
        <v>2879</v>
      </c>
      <c r="H1466" t="s">
        <v>2984</v>
      </c>
      <c r="J1466" t="s">
        <v>1089</v>
      </c>
      <c r="K1466" t="s">
        <v>1033</v>
      </c>
      <c r="L1466" t="s">
        <v>446</v>
      </c>
      <c r="Q1466" t="b">
        <v>1</v>
      </c>
      <c r="R1466" t="b">
        <v>1</v>
      </c>
      <c r="S1466" t="s">
        <v>2160</v>
      </c>
      <c r="T1466" t="s">
        <v>446</v>
      </c>
      <c r="U1466" t="s">
        <v>1951</v>
      </c>
      <c r="V1466" t="s">
        <v>1093</v>
      </c>
      <c r="W1466" t="s">
        <v>1952</v>
      </c>
      <c r="X1466" t="s">
        <v>446</v>
      </c>
    </row>
    <row r="1467" spans="1:24" x14ac:dyDescent="0.25">
      <c r="A1467" t="s">
        <v>42</v>
      </c>
      <c r="B1467" t="s">
        <v>3078</v>
      </c>
      <c r="C1467" t="s">
        <v>357</v>
      </c>
      <c r="E1467" t="s">
        <v>1029</v>
      </c>
      <c r="F1467">
        <v>27754</v>
      </c>
      <c r="G1467" t="s">
        <v>2879</v>
      </c>
      <c r="H1467" t="s">
        <v>2986</v>
      </c>
      <c r="J1467" t="s">
        <v>1089</v>
      </c>
      <c r="K1467" t="s">
        <v>1033</v>
      </c>
      <c r="L1467" t="s">
        <v>446</v>
      </c>
      <c r="Q1467" t="b">
        <v>1</v>
      </c>
      <c r="R1467" t="b">
        <v>1</v>
      </c>
      <c r="S1467" t="s">
        <v>2160</v>
      </c>
      <c r="T1467" t="s">
        <v>446</v>
      </c>
      <c r="U1467" t="s">
        <v>1951</v>
      </c>
      <c r="V1467" t="s">
        <v>1093</v>
      </c>
      <c r="W1467" t="s">
        <v>1952</v>
      </c>
      <c r="X1467" t="s">
        <v>446</v>
      </c>
    </row>
    <row r="1468" spans="1:24" x14ac:dyDescent="0.25">
      <c r="A1468" t="s">
        <v>42</v>
      </c>
      <c r="B1468" t="s">
        <v>3079</v>
      </c>
      <c r="C1468" t="s">
        <v>350</v>
      </c>
      <c r="E1468" t="s">
        <v>1029</v>
      </c>
      <c r="F1468">
        <v>73962</v>
      </c>
      <c r="G1468" t="s">
        <v>2879</v>
      </c>
      <c r="H1468" t="s">
        <v>2988</v>
      </c>
      <c r="J1468" t="s">
        <v>1089</v>
      </c>
      <c r="K1468" t="s">
        <v>446</v>
      </c>
      <c r="L1468" t="s">
        <v>446</v>
      </c>
      <c r="Q1468" t="b">
        <v>1</v>
      </c>
      <c r="R1468" t="b">
        <v>1</v>
      </c>
      <c r="S1468" t="s">
        <v>2160</v>
      </c>
      <c r="T1468" t="s">
        <v>446</v>
      </c>
      <c r="U1468" t="s">
        <v>1951</v>
      </c>
      <c r="V1468" t="s">
        <v>1093</v>
      </c>
      <c r="W1468" t="s">
        <v>1952</v>
      </c>
      <c r="X1468" t="s">
        <v>446</v>
      </c>
    </row>
    <row r="1469" spans="1:24" x14ac:dyDescent="0.25">
      <c r="A1469" t="s">
        <v>42</v>
      </c>
      <c r="B1469" t="s">
        <v>3080</v>
      </c>
      <c r="C1469" t="s">
        <v>358</v>
      </c>
      <c r="E1469" t="s">
        <v>1029</v>
      </c>
      <c r="F1469">
        <v>101716</v>
      </c>
      <c r="G1469" t="s">
        <v>2879</v>
      </c>
      <c r="H1469" t="s">
        <v>2990</v>
      </c>
      <c r="J1469" t="s">
        <v>1089</v>
      </c>
      <c r="K1469" t="s">
        <v>1033</v>
      </c>
      <c r="L1469" t="s">
        <v>446</v>
      </c>
      <c r="Q1469" t="b">
        <v>1</v>
      </c>
      <c r="R1469" t="b">
        <v>1</v>
      </c>
      <c r="S1469" t="s">
        <v>2160</v>
      </c>
      <c r="T1469" t="s">
        <v>446</v>
      </c>
      <c r="U1469" t="s">
        <v>1951</v>
      </c>
      <c r="V1469" t="s">
        <v>1093</v>
      </c>
      <c r="W1469" t="s">
        <v>1952</v>
      </c>
      <c r="X1469" t="s">
        <v>446</v>
      </c>
    </row>
    <row r="1470" spans="1:24" x14ac:dyDescent="0.25">
      <c r="A1470" t="s">
        <v>42</v>
      </c>
      <c r="B1470" t="s">
        <v>3081</v>
      </c>
      <c r="C1470" t="s">
        <v>340</v>
      </c>
      <c r="E1470" t="s">
        <v>1035</v>
      </c>
      <c r="F1470">
        <v>104333</v>
      </c>
      <c r="G1470" t="s">
        <v>2879</v>
      </c>
      <c r="H1470" t="s">
        <v>488</v>
      </c>
      <c r="J1470" t="s">
        <v>1089</v>
      </c>
      <c r="K1470" t="s">
        <v>1038</v>
      </c>
      <c r="L1470" t="s">
        <v>446</v>
      </c>
      <c r="Q1470" t="b">
        <v>1</v>
      </c>
      <c r="R1470" t="b">
        <v>1</v>
      </c>
      <c r="S1470" t="s">
        <v>2160</v>
      </c>
      <c r="T1470" t="s">
        <v>446</v>
      </c>
      <c r="U1470" t="s">
        <v>1951</v>
      </c>
      <c r="V1470" t="s">
        <v>1093</v>
      </c>
      <c r="W1470" t="s">
        <v>1952</v>
      </c>
      <c r="X1470" t="s">
        <v>446</v>
      </c>
    </row>
    <row r="1471" spans="1:24" x14ac:dyDescent="0.25">
      <c r="A1471" t="s">
        <v>42</v>
      </c>
      <c r="B1471" t="s">
        <v>3082</v>
      </c>
      <c r="C1471" t="s">
        <v>334</v>
      </c>
      <c r="E1471" t="s">
        <v>1035</v>
      </c>
      <c r="F1471">
        <v>26609</v>
      </c>
      <c r="G1471" t="s">
        <v>2879</v>
      </c>
      <c r="H1471" t="s">
        <v>2976</v>
      </c>
      <c r="J1471" t="s">
        <v>1089</v>
      </c>
      <c r="K1471" t="s">
        <v>1038</v>
      </c>
      <c r="L1471" t="s">
        <v>446</v>
      </c>
      <c r="Q1471" t="b">
        <v>1</v>
      </c>
      <c r="R1471" t="b">
        <v>1</v>
      </c>
      <c r="S1471" t="s">
        <v>2160</v>
      </c>
      <c r="T1471" t="s">
        <v>446</v>
      </c>
      <c r="U1471" t="s">
        <v>1951</v>
      </c>
      <c r="V1471" t="s">
        <v>1093</v>
      </c>
      <c r="W1471" t="s">
        <v>1952</v>
      </c>
      <c r="X1471" t="s">
        <v>446</v>
      </c>
    </row>
    <row r="1472" spans="1:24" x14ac:dyDescent="0.25">
      <c r="A1472" t="s">
        <v>42</v>
      </c>
      <c r="B1472" t="s">
        <v>3083</v>
      </c>
      <c r="C1472" t="s">
        <v>339</v>
      </c>
      <c r="E1472" t="s">
        <v>1035</v>
      </c>
      <c r="F1472">
        <v>77724</v>
      </c>
      <c r="G1472" t="s">
        <v>2879</v>
      </c>
      <c r="H1472" t="s">
        <v>2978</v>
      </c>
      <c r="J1472" t="s">
        <v>1089</v>
      </c>
      <c r="K1472" t="s">
        <v>446</v>
      </c>
      <c r="L1472" t="s">
        <v>446</v>
      </c>
      <c r="Q1472" t="b">
        <v>1</v>
      </c>
      <c r="R1472" t="b">
        <v>1</v>
      </c>
      <c r="S1472" t="s">
        <v>2160</v>
      </c>
      <c r="T1472" t="s">
        <v>446</v>
      </c>
      <c r="U1472" t="s">
        <v>1951</v>
      </c>
      <c r="V1472" t="s">
        <v>1093</v>
      </c>
      <c r="W1472" t="s">
        <v>1952</v>
      </c>
      <c r="X1472" t="s">
        <v>446</v>
      </c>
    </row>
    <row r="1473" spans="1:24" x14ac:dyDescent="0.25">
      <c r="A1473" t="s">
        <v>42</v>
      </c>
      <c r="B1473" t="s">
        <v>3084</v>
      </c>
      <c r="C1473" t="s">
        <v>344</v>
      </c>
      <c r="E1473" t="s">
        <v>1035</v>
      </c>
      <c r="F1473">
        <v>17813</v>
      </c>
      <c r="G1473" t="s">
        <v>2879</v>
      </c>
      <c r="H1473" t="s">
        <v>2980</v>
      </c>
      <c r="J1473" t="s">
        <v>1089</v>
      </c>
      <c r="K1473" t="s">
        <v>446</v>
      </c>
      <c r="L1473" t="s">
        <v>446</v>
      </c>
      <c r="Q1473" t="b">
        <v>1</v>
      </c>
      <c r="R1473" t="b">
        <v>1</v>
      </c>
      <c r="S1473" t="s">
        <v>2160</v>
      </c>
      <c r="T1473" t="s">
        <v>446</v>
      </c>
      <c r="U1473" t="s">
        <v>1951</v>
      </c>
      <c r="V1473" t="s">
        <v>1093</v>
      </c>
      <c r="W1473" t="s">
        <v>1952</v>
      </c>
      <c r="X1473" t="s">
        <v>446</v>
      </c>
    </row>
    <row r="1474" spans="1:24" x14ac:dyDescent="0.25">
      <c r="A1474" t="s">
        <v>42</v>
      </c>
      <c r="B1474" t="s">
        <v>3085</v>
      </c>
      <c r="C1474" t="s">
        <v>349</v>
      </c>
      <c r="E1474" t="s">
        <v>1035</v>
      </c>
      <c r="F1474">
        <v>56338</v>
      </c>
      <c r="G1474" t="s">
        <v>2879</v>
      </c>
      <c r="H1474" t="s">
        <v>2982</v>
      </c>
      <c r="J1474" t="s">
        <v>1089</v>
      </c>
      <c r="K1474" t="s">
        <v>446</v>
      </c>
      <c r="L1474" t="s">
        <v>446</v>
      </c>
      <c r="Q1474" t="b">
        <v>1</v>
      </c>
      <c r="R1474" t="b">
        <v>1</v>
      </c>
      <c r="S1474" t="s">
        <v>2160</v>
      </c>
      <c r="T1474" t="s">
        <v>446</v>
      </c>
      <c r="U1474" t="s">
        <v>1951</v>
      </c>
      <c r="V1474" t="s">
        <v>1093</v>
      </c>
      <c r="W1474" t="s">
        <v>1952</v>
      </c>
      <c r="X1474" t="s">
        <v>446</v>
      </c>
    </row>
    <row r="1475" spans="1:24" x14ac:dyDescent="0.25">
      <c r="A1475" t="s">
        <v>42</v>
      </c>
      <c r="B1475" t="s">
        <v>3086</v>
      </c>
      <c r="C1475" t="s">
        <v>355</v>
      </c>
      <c r="E1475" t="s">
        <v>1035</v>
      </c>
      <c r="F1475">
        <v>28585</v>
      </c>
      <c r="G1475" t="s">
        <v>2879</v>
      </c>
      <c r="H1475" t="s">
        <v>2984</v>
      </c>
      <c r="J1475" t="s">
        <v>1089</v>
      </c>
      <c r="K1475" t="s">
        <v>1038</v>
      </c>
      <c r="L1475" t="s">
        <v>446</v>
      </c>
      <c r="Q1475" t="b">
        <v>1</v>
      </c>
      <c r="R1475" t="b">
        <v>1</v>
      </c>
      <c r="S1475" t="s">
        <v>2160</v>
      </c>
      <c r="T1475" t="s">
        <v>446</v>
      </c>
      <c r="U1475" t="s">
        <v>1951</v>
      </c>
      <c r="V1475" t="s">
        <v>1093</v>
      </c>
      <c r="W1475" t="s">
        <v>1952</v>
      </c>
      <c r="X1475" t="s">
        <v>446</v>
      </c>
    </row>
    <row r="1476" spans="1:24" x14ac:dyDescent="0.25">
      <c r="A1476" t="s">
        <v>42</v>
      </c>
      <c r="B1476" t="s">
        <v>3087</v>
      </c>
      <c r="C1476" t="s">
        <v>357</v>
      </c>
      <c r="E1476" t="s">
        <v>1035</v>
      </c>
      <c r="F1476">
        <v>30182</v>
      </c>
      <c r="G1476" t="s">
        <v>2879</v>
      </c>
      <c r="H1476" t="s">
        <v>2986</v>
      </c>
      <c r="J1476" t="s">
        <v>1089</v>
      </c>
      <c r="K1476" t="s">
        <v>1038</v>
      </c>
      <c r="L1476" t="s">
        <v>446</v>
      </c>
      <c r="Q1476" t="b">
        <v>1</v>
      </c>
      <c r="R1476" t="b">
        <v>1</v>
      </c>
      <c r="S1476" t="s">
        <v>2160</v>
      </c>
      <c r="T1476" t="s">
        <v>446</v>
      </c>
      <c r="U1476" t="s">
        <v>1951</v>
      </c>
      <c r="V1476" t="s">
        <v>1093</v>
      </c>
      <c r="W1476" t="s">
        <v>1952</v>
      </c>
      <c r="X1476" t="s">
        <v>446</v>
      </c>
    </row>
    <row r="1477" spans="1:24" x14ac:dyDescent="0.25">
      <c r="A1477" t="s">
        <v>42</v>
      </c>
      <c r="B1477" t="s">
        <v>3088</v>
      </c>
      <c r="C1477" t="s">
        <v>350</v>
      </c>
      <c r="E1477" t="s">
        <v>1035</v>
      </c>
      <c r="F1477">
        <v>74151</v>
      </c>
      <c r="G1477" t="s">
        <v>2879</v>
      </c>
      <c r="H1477" t="s">
        <v>2988</v>
      </c>
      <c r="J1477" t="s">
        <v>1089</v>
      </c>
      <c r="K1477" t="s">
        <v>446</v>
      </c>
      <c r="L1477" t="s">
        <v>446</v>
      </c>
      <c r="Q1477" t="b">
        <v>1</v>
      </c>
      <c r="R1477" t="b">
        <v>1</v>
      </c>
      <c r="S1477" t="s">
        <v>2160</v>
      </c>
      <c r="T1477" t="s">
        <v>446</v>
      </c>
      <c r="U1477" t="s">
        <v>1951</v>
      </c>
      <c r="V1477" t="s">
        <v>1093</v>
      </c>
      <c r="W1477" t="s">
        <v>1952</v>
      </c>
      <c r="X1477" t="s">
        <v>446</v>
      </c>
    </row>
    <row r="1478" spans="1:24" x14ac:dyDescent="0.25">
      <c r="A1478" t="s">
        <v>42</v>
      </c>
      <c r="B1478" t="s">
        <v>3089</v>
      </c>
      <c r="C1478" t="s">
        <v>358</v>
      </c>
      <c r="E1478" t="s">
        <v>1035</v>
      </c>
      <c r="F1478">
        <v>104333</v>
      </c>
      <c r="G1478" t="s">
        <v>2879</v>
      </c>
      <c r="H1478" t="s">
        <v>2990</v>
      </c>
      <c r="J1478" t="s">
        <v>1089</v>
      </c>
      <c r="K1478" t="s">
        <v>1038</v>
      </c>
      <c r="L1478" t="s">
        <v>446</v>
      </c>
      <c r="Q1478" t="b">
        <v>1</v>
      </c>
      <c r="R1478" t="b">
        <v>1</v>
      </c>
      <c r="S1478" t="s">
        <v>2160</v>
      </c>
      <c r="T1478" t="s">
        <v>446</v>
      </c>
      <c r="U1478" t="s">
        <v>1951</v>
      </c>
      <c r="V1478" t="s">
        <v>1093</v>
      </c>
      <c r="W1478" t="s">
        <v>1952</v>
      </c>
      <c r="X1478" t="s">
        <v>446</v>
      </c>
    </row>
    <row r="1479" spans="1:24" x14ac:dyDescent="0.25">
      <c r="A1479" t="s">
        <v>42</v>
      </c>
      <c r="B1479" t="s">
        <v>3090</v>
      </c>
      <c r="C1479" t="s">
        <v>340</v>
      </c>
      <c r="E1479" t="s">
        <v>1040</v>
      </c>
      <c r="F1479">
        <v>106045</v>
      </c>
      <c r="G1479" t="s">
        <v>2879</v>
      </c>
      <c r="H1479" t="s">
        <v>488</v>
      </c>
      <c r="J1479" t="s">
        <v>1089</v>
      </c>
      <c r="K1479" t="s">
        <v>1043</v>
      </c>
      <c r="L1479" t="s">
        <v>446</v>
      </c>
      <c r="Q1479" t="b">
        <v>1</v>
      </c>
      <c r="R1479" t="b">
        <v>1</v>
      </c>
      <c r="S1479" t="s">
        <v>2160</v>
      </c>
      <c r="T1479" t="s">
        <v>446</v>
      </c>
      <c r="U1479" t="s">
        <v>1951</v>
      </c>
      <c r="V1479" t="s">
        <v>1093</v>
      </c>
      <c r="W1479" t="s">
        <v>1952</v>
      </c>
      <c r="X1479" t="s">
        <v>446</v>
      </c>
    </row>
    <row r="1480" spans="1:24" x14ac:dyDescent="0.25">
      <c r="A1480" t="s">
        <v>42</v>
      </c>
      <c r="B1480" t="s">
        <v>3091</v>
      </c>
      <c r="C1480" t="s">
        <v>334</v>
      </c>
      <c r="E1480" t="s">
        <v>1040</v>
      </c>
      <c r="F1480">
        <v>27247</v>
      </c>
      <c r="G1480" t="s">
        <v>2879</v>
      </c>
      <c r="H1480" t="s">
        <v>2976</v>
      </c>
      <c r="J1480" t="s">
        <v>1089</v>
      </c>
      <c r="K1480" t="s">
        <v>1043</v>
      </c>
      <c r="L1480" t="s">
        <v>446</v>
      </c>
      <c r="Q1480" t="b">
        <v>1</v>
      </c>
      <c r="R1480" t="b">
        <v>1</v>
      </c>
      <c r="S1480" t="s">
        <v>2160</v>
      </c>
      <c r="T1480" t="s">
        <v>446</v>
      </c>
      <c r="U1480" t="s">
        <v>1951</v>
      </c>
      <c r="V1480" t="s">
        <v>1093</v>
      </c>
      <c r="W1480" t="s">
        <v>1952</v>
      </c>
      <c r="X1480" t="s">
        <v>446</v>
      </c>
    </row>
    <row r="1481" spans="1:24" x14ac:dyDescent="0.25">
      <c r="A1481" t="s">
        <v>42</v>
      </c>
      <c r="B1481" t="s">
        <v>3092</v>
      </c>
      <c r="C1481" t="s">
        <v>339</v>
      </c>
      <c r="E1481" t="s">
        <v>1040</v>
      </c>
      <c r="F1481">
        <v>78798</v>
      </c>
      <c r="G1481" t="s">
        <v>2879</v>
      </c>
      <c r="H1481" t="s">
        <v>2978</v>
      </c>
      <c r="J1481" t="s">
        <v>1089</v>
      </c>
      <c r="K1481" t="s">
        <v>446</v>
      </c>
      <c r="L1481" t="s">
        <v>446</v>
      </c>
      <c r="Q1481" t="b">
        <v>1</v>
      </c>
      <c r="R1481" t="b">
        <v>1</v>
      </c>
      <c r="S1481" t="s">
        <v>2160</v>
      </c>
      <c r="T1481" t="s">
        <v>446</v>
      </c>
      <c r="U1481" t="s">
        <v>1951</v>
      </c>
      <c r="V1481" t="s">
        <v>1093</v>
      </c>
      <c r="W1481" t="s">
        <v>1952</v>
      </c>
      <c r="X1481" t="s">
        <v>446</v>
      </c>
    </row>
    <row r="1482" spans="1:24" x14ac:dyDescent="0.25">
      <c r="A1482" t="s">
        <v>42</v>
      </c>
      <c r="B1482" t="s">
        <v>3093</v>
      </c>
      <c r="C1482" t="s">
        <v>344</v>
      </c>
      <c r="E1482" t="s">
        <v>1040</v>
      </c>
      <c r="F1482">
        <v>18587</v>
      </c>
      <c r="G1482" t="s">
        <v>2879</v>
      </c>
      <c r="H1482" t="s">
        <v>2980</v>
      </c>
      <c r="J1482" t="s">
        <v>1089</v>
      </c>
      <c r="K1482" t="s">
        <v>446</v>
      </c>
      <c r="L1482" t="s">
        <v>446</v>
      </c>
      <c r="Q1482" t="b">
        <v>1</v>
      </c>
      <c r="R1482" t="b">
        <v>1</v>
      </c>
      <c r="S1482" t="s">
        <v>2160</v>
      </c>
      <c r="T1482" t="s">
        <v>446</v>
      </c>
      <c r="U1482" t="s">
        <v>1951</v>
      </c>
      <c r="V1482" t="s">
        <v>1093</v>
      </c>
      <c r="W1482" t="s">
        <v>1952</v>
      </c>
      <c r="X1482" t="s">
        <v>446</v>
      </c>
    </row>
    <row r="1483" spans="1:24" x14ac:dyDescent="0.25">
      <c r="A1483" t="s">
        <v>42</v>
      </c>
      <c r="B1483" t="s">
        <v>3094</v>
      </c>
      <c r="C1483" t="s">
        <v>349</v>
      </c>
      <c r="E1483" t="s">
        <v>1040</v>
      </c>
      <c r="F1483">
        <v>54191</v>
      </c>
      <c r="G1483" t="s">
        <v>2879</v>
      </c>
      <c r="H1483" t="s">
        <v>2982</v>
      </c>
      <c r="J1483" t="s">
        <v>1089</v>
      </c>
      <c r="K1483" t="s">
        <v>446</v>
      </c>
      <c r="L1483" t="s">
        <v>446</v>
      </c>
      <c r="Q1483" t="b">
        <v>1</v>
      </c>
      <c r="R1483" t="b">
        <v>1</v>
      </c>
      <c r="S1483" t="s">
        <v>2160</v>
      </c>
      <c r="T1483" t="s">
        <v>446</v>
      </c>
      <c r="U1483" t="s">
        <v>1951</v>
      </c>
      <c r="V1483" t="s">
        <v>1093</v>
      </c>
      <c r="W1483" t="s">
        <v>1952</v>
      </c>
      <c r="X1483" t="s">
        <v>446</v>
      </c>
    </row>
    <row r="1484" spans="1:24" x14ac:dyDescent="0.25">
      <c r="A1484" t="s">
        <v>42</v>
      </c>
      <c r="B1484" t="s">
        <v>3095</v>
      </c>
      <c r="C1484" t="s">
        <v>355</v>
      </c>
      <c r="E1484" t="s">
        <v>1040</v>
      </c>
      <c r="F1484">
        <v>31247</v>
      </c>
      <c r="G1484" t="s">
        <v>2879</v>
      </c>
      <c r="H1484" t="s">
        <v>2984</v>
      </c>
      <c r="J1484" t="s">
        <v>1089</v>
      </c>
      <c r="K1484" t="s">
        <v>1043</v>
      </c>
      <c r="L1484" t="s">
        <v>446</v>
      </c>
      <c r="Q1484" t="b">
        <v>1</v>
      </c>
      <c r="R1484" t="b">
        <v>1</v>
      </c>
      <c r="S1484" t="s">
        <v>2160</v>
      </c>
      <c r="T1484" t="s">
        <v>446</v>
      </c>
      <c r="U1484" t="s">
        <v>1951</v>
      </c>
      <c r="V1484" t="s">
        <v>1093</v>
      </c>
      <c r="W1484" t="s">
        <v>1952</v>
      </c>
      <c r="X1484" t="s">
        <v>446</v>
      </c>
    </row>
    <row r="1485" spans="1:24" x14ac:dyDescent="0.25">
      <c r="A1485" t="s">
        <v>42</v>
      </c>
      <c r="B1485" t="s">
        <v>3096</v>
      </c>
      <c r="C1485" t="s">
        <v>357</v>
      </c>
      <c r="E1485" t="s">
        <v>1040</v>
      </c>
      <c r="F1485">
        <v>33267</v>
      </c>
      <c r="G1485" t="s">
        <v>2879</v>
      </c>
      <c r="H1485" t="s">
        <v>2986</v>
      </c>
      <c r="J1485" t="s">
        <v>1089</v>
      </c>
      <c r="K1485" t="s">
        <v>1043</v>
      </c>
      <c r="L1485" t="s">
        <v>446</v>
      </c>
      <c r="Q1485" t="b">
        <v>1</v>
      </c>
      <c r="R1485" t="b">
        <v>1</v>
      </c>
      <c r="S1485" t="s">
        <v>2160</v>
      </c>
      <c r="T1485" t="s">
        <v>446</v>
      </c>
      <c r="U1485" t="s">
        <v>1951</v>
      </c>
      <c r="V1485" t="s">
        <v>1093</v>
      </c>
      <c r="W1485" t="s">
        <v>1952</v>
      </c>
      <c r="X1485" t="s">
        <v>446</v>
      </c>
    </row>
    <row r="1486" spans="1:24" x14ac:dyDescent="0.25">
      <c r="A1486" t="s">
        <v>42</v>
      </c>
      <c r="B1486" t="s">
        <v>3097</v>
      </c>
      <c r="C1486" t="s">
        <v>350</v>
      </c>
      <c r="E1486" t="s">
        <v>1040</v>
      </c>
      <c r="F1486">
        <v>72778</v>
      </c>
      <c r="G1486" t="s">
        <v>2879</v>
      </c>
      <c r="H1486" t="s">
        <v>2988</v>
      </c>
      <c r="J1486" t="s">
        <v>1089</v>
      </c>
      <c r="K1486" t="s">
        <v>446</v>
      </c>
      <c r="L1486" t="s">
        <v>446</v>
      </c>
      <c r="Q1486" t="b">
        <v>1</v>
      </c>
      <c r="R1486" t="b">
        <v>1</v>
      </c>
      <c r="S1486" t="s">
        <v>2160</v>
      </c>
      <c r="T1486" t="s">
        <v>446</v>
      </c>
      <c r="U1486" t="s">
        <v>1951</v>
      </c>
      <c r="V1486" t="s">
        <v>1093</v>
      </c>
      <c r="W1486" t="s">
        <v>1952</v>
      </c>
      <c r="X1486" t="s">
        <v>446</v>
      </c>
    </row>
    <row r="1487" spans="1:24" x14ac:dyDescent="0.25">
      <c r="A1487" t="s">
        <v>42</v>
      </c>
      <c r="B1487" t="s">
        <v>3098</v>
      </c>
      <c r="C1487" t="s">
        <v>358</v>
      </c>
      <c r="E1487" t="s">
        <v>1040</v>
      </c>
      <c r="F1487">
        <v>106045</v>
      </c>
      <c r="G1487" t="s">
        <v>2879</v>
      </c>
      <c r="H1487" t="s">
        <v>2990</v>
      </c>
      <c r="J1487" t="s">
        <v>1089</v>
      </c>
      <c r="K1487" t="s">
        <v>1043</v>
      </c>
      <c r="L1487" t="s">
        <v>446</v>
      </c>
      <c r="Q1487" t="b">
        <v>1</v>
      </c>
      <c r="R1487" t="b">
        <v>1</v>
      </c>
      <c r="S1487" t="s">
        <v>2160</v>
      </c>
      <c r="T1487" t="s">
        <v>446</v>
      </c>
      <c r="U1487" t="s">
        <v>1951</v>
      </c>
      <c r="V1487" t="s">
        <v>1093</v>
      </c>
      <c r="W1487" t="s">
        <v>1952</v>
      </c>
      <c r="X1487" t="s">
        <v>446</v>
      </c>
    </row>
    <row r="1488" spans="1:24" x14ac:dyDescent="0.25">
      <c r="A1488" t="s">
        <v>42</v>
      </c>
      <c r="B1488" t="s">
        <v>3099</v>
      </c>
      <c r="C1488" t="s">
        <v>340</v>
      </c>
      <c r="E1488" t="s">
        <v>1045</v>
      </c>
      <c r="F1488">
        <v>104816</v>
      </c>
      <c r="G1488" t="s">
        <v>2879</v>
      </c>
      <c r="H1488" t="s">
        <v>488</v>
      </c>
      <c r="J1488" t="s">
        <v>1089</v>
      </c>
      <c r="K1488" t="s">
        <v>1048</v>
      </c>
      <c r="L1488" t="s">
        <v>446</v>
      </c>
      <c r="Q1488" t="b">
        <v>1</v>
      </c>
      <c r="R1488" t="b">
        <v>1</v>
      </c>
      <c r="S1488" t="s">
        <v>2160</v>
      </c>
      <c r="T1488" t="s">
        <v>446</v>
      </c>
      <c r="U1488" t="s">
        <v>1951</v>
      </c>
      <c r="V1488" t="s">
        <v>1093</v>
      </c>
      <c r="W1488" t="s">
        <v>1952</v>
      </c>
      <c r="X1488" t="s">
        <v>446</v>
      </c>
    </row>
    <row r="1489" spans="1:24" x14ac:dyDescent="0.25">
      <c r="A1489" t="s">
        <v>42</v>
      </c>
      <c r="B1489" t="s">
        <v>3100</v>
      </c>
      <c r="C1489" t="s">
        <v>334</v>
      </c>
      <c r="E1489" t="s">
        <v>1045</v>
      </c>
      <c r="F1489">
        <v>31044</v>
      </c>
      <c r="G1489" t="s">
        <v>2879</v>
      </c>
      <c r="H1489" t="s">
        <v>2976</v>
      </c>
      <c r="J1489" t="s">
        <v>1089</v>
      </c>
      <c r="K1489" t="s">
        <v>1048</v>
      </c>
      <c r="L1489" t="s">
        <v>446</v>
      </c>
      <c r="Q1489" t="b">
        <v>1</v>
      </c>
      <c r="R1489" t="b">
        <v>1</v>
      </c>
      <c r="S1489" t="s">
        <v>2160</v>
      </c>
      <c r="T1489" t="s">
        <v>446</v>
      </c>
      <c r="U1489" t="s">
        <v>1951</v>
      </c>
      <c r="V1489" t="s">
        <v>1093</v>
      </c>
      <c r="W1489" t="s">
        <v>1952</v>
      </c>
      <c r="X1489" t="s">
        <v>446</v>
      </c>
    </row>
    <row r="1490" spans="1:24" x14ac:dyDescent="0.25">
      <c r="A1490" t="s">
        <v>42</v>
      </c>
      <c r="B1490" t="s">
        <v>3101</v>
      </c>
      <c r="C1490" t="s">
        <v>339</v>
      </c>
      <c r="E1490" t="s">
        <v>1045</v>
      </c>
      <c r="F1490">
        <v>73772</v>
      </c>
      <c r="G1490" t="s">
        <v>2879</v>
      </c>
      <c r="H1490" t="s">
        <v>2978</v>
      </c>
      <c r="J1490" t="s">
        <v>1089</v>
      </c>
      <c r="K1490" t="s">
        <v>446</v>
      </c>
      <c r="L1490" t="s">
        <v>446</v>
      </c>
      <c r="Q1490" t="b">
        <v>1</v>
      </c>
      <c r="R1490" t="b">
        <v>1</v>
      </c>
      <c r="S1490" t="s">
        <v>2160</v>
      </c>
      <c r="T1490" t="s">
        <v>446</v>
      </c>
      <c r="U1490" t="s">
        <v>1951</v>
      </c>
      <c r="V1490" t="s">
        <v>1093</v>
      </c>
      <c r="W1490" t="s">
        <v>1952</v>
      </c>
      <c r="X1490" t="s">
        <v>446</v>
      </c>
    </row>
    <row r="1491" spans="1:24" x14ac:dyDescent="0.25">
      <c r="A1491" t="s">
        <v>42</v>
      </c>
      <c r="B1491" t="s">
        <v>3102</v>
      </c>
      <c r="C1491" t="s">
        <v>344</v>
      </c>
      <c r="E1491" t="s">
        <v>1045</v>
      </c>
      <c r="F1491">
        <v>19403</v>
      </c>
      <c r="G1491" t="s">
        <v>2879</v>
      </c>
      <c r="H1491" t="s">
        <v>2980</v>
      </c>
      <c r="J1491" t="s">
        <v>1089</v>
      </c>
      <c r="K1491" t="s">
        <v>446</v>
      </c>
      <c r="L1491" t="s">
        <v>446</v>
      </c>
      <c r="Q1491" t="b">
        <v>1</v>
      </c>
      <c r="R1491" t="b">
        <v>1</v>
      </c>
      <c r="S1491" t="s">
        <v>2160</v>
      </c>
      <c r="T1491" t="s">
        <v>446</v>
      </c>
      <c r="U1491" t="s">
        <v>1951</v>
      </c>
      <c r="V1491" t="s">
        <v>1093</v>
      </c>
      <c r="W1491" t="s">
        <v>1952</v>
      </c>
      <c r="X1491" t="s">
        <v>446</v>
      </c>
    </row>
    <row r="1492" spans="1:24" x14ac:dyDescent="0.25">
      <c r="A1492" t="s">
        <v>42</v>
      </c>
      <c r="B1492" t="s">
        <v>3103</v>
      </c>
      <c r="C1492" t="s">
        <v>349</v>
      </c>
      <c r="E1492" t="s">
        <v>1045</v>
      </c>
      <c r="F1492">
        <v>51138</v>
      </c>
      <c r="G1492" t="s">
        <v>2879</v>
      </c>
      <c r="H1492" t="s">
        <v>2982</v>
      </c>
      <c r="J1492" t="s">
        <v>1089</v>
      </c>
      <c r="K1492" t="s">
        <v>446</v>
      </c>
      <c r="L1492" t="s">
        <v>446</v>
      </c>
      <c r="Q1492" t="b">
        <v>1</v>
      </c>
      <c r="R1492" t="b">
        <v>1</v>
      </c>
      <c r="S1492" t="s">
        <v>2160</v>
      </c>
      <c r="T1492" t="s">
        <v>446</v>
      </c>
      <c r="U1492" t="s">
        <v>1951</v>
      </c>
      <c r="V1492" t="s">
        <v>1093</v>
      </c>
      <c r="W1492" t="s">
        <v>1952</v>
      </c>
      <c r="X1492" t="s">
        <v>446</v>
      </c>
    </row>
    <row r="1493" spans="1:24" x14ac:dyDescent="0.25">
      <c r="A1493" t="s">
        <v>42</v>
      </c>
      <c r="B1493" t="s">
        <v>3104</v>
      </c>
      <c r="C1493" t="s">
        <v>355</v>
      </c>
      <c r="E1493" t="s">
        <v>1045</v>
      </c>
      <c r="F1493">
        <v>32169</v>
      </c>
      <c r="G1493" t="s">
        <v>2879</v>
      </c>
      <c r="H1493" t="s">
        <v>2984</v>
      </c>
      <c r="J1493" t="s">
        <v>1089</v>
      </c>
      <c r="K1493" t="s">
        <v>1048</v>
      </c>
      <c r="L1493" t="s">
        <v>446</v>
      </c>
      <c r="Q1493" t="b">
        <v>1</v>
      </c>
      <c r="R1493" t="b">
        <v>1</v>
      </c>
      <c r="S1493" t="s">
        <v>2160</v>
      </c>
      <c r="T1493" t="s">
        <v>446</v>
      </c>
      <c r="U1493" t="s">
        <v>1951</v>
      </c>
      <c r="V1493" t="s">
        <v>1093</v>
      </c>
      <c r="W1493" t="s">
        <v>1952</v>
      </c>
      <c r="X1493" t="s">
        <v>446</v>
      </c>
    </row>
    <row r="1494" spans="1:24" x14ac:dyDescent="0.25">
      <c r="A1494" t="s">
        <v>42</v>
      </c>
      <c r="B1494" t="s">
        <v>3105</v>
      </c>
      <c r="C1494" t="s">
        <v>357</v>
      </c>
      <c r="E1494" t="s">
        <v>1045</v>
      </c>
      <c r="F1494">
        <v>34275</v>
      </c>
      <c r="G1494" t="s">
        <v>2879</v>
      </c>
      <c r="H1494" t="s">
        <v>2986</v>
      </c>
      <c r="J1494" t="s">
        <v>1089</v>
      </c>
      <c r="K1494" t="s">
        <v>1048</v>
      </c>
      <c r="L1494" t="s">
        <v>446</v>
      </c>
      <c r="Q1494" t="b">
        <v>1</v>
      </c>
      <c r="R1494" t="b">
        <v>1</v>
      </c>
      <c r="S1494" t="s">
        <v>2160</v>
      </c>
      <c r="T1494" t="s">
        <v>446</v>
      </c>
      <c r="U1494" t="s">
        <v>1951</v>
      </c>
      <c r="V1494" t="s">
        <v>1093</v>
      </c>
      <c r="W1494" t="s">
        <v>1952</v>
      </c>
      <c r="X1494" t="s">
        <v>446</v>
      </c>
    </row>
    <row r="1495" spans="1:24" x14ac:dyDescent="0.25">
      <c r="A1495" t="s">
        <v>42</v>
      </c>
      <c r="B1495" t="s">
        <v>3106</v>
      </c>
      <c r="C1495" t="s">
        <v>350</v>
      </c>
      <c r="E1495" t="s">
        <v>1045</v>
      </c>
      <c r="F1495">
        <v>70541</v>
      </c>
      <c r="G1495" t="s">
        <v>2879</v>
      </c>
      <c r="H1495" t="s">
        <v>2988</v>
      </c>
      <c r="J1495" t="s">
        <v>1089</v>
      </c>
      <c r="K1495" t="s">
        <v>446</v>
      </c>
      <c r="L1495" t="s">
        <v>446</v>
      </c>
      <c r="Q1495" t="b">
        <v>1</v>
      </c>
      <c r="R1495" t="b">
        <v>1</v>
      </c>
      <c r="S1495" t="s">
        <v>2160</v>
      </c>
      <c r="T1495" t="s">
        <v>446</v>
      </c>
      <c r="U1495" t="s">
        <v>1951</v>
      </c>
      <c r="V1495" t="s">
        <v>1093</v>
      </c>
      <c r="W1495" t="s">
        <v>1952</v>
      </c>
      <c r="X1495" t="s">
        <v>446</v>
      </c>
    </row>
    <row r="1496" spans="1:24" x14ac:dyDescent="0.25">
      <c r="A1496" t="s">
        <v>42</v>
      </c>
      <c r="B1496" t="s">
        <v>3107</v>
      </c>
      <c r="C1496" t="s">
        <v>358</v>
      </c>
      <c r="E1496" t="s">
        <v>1045</v>
      </c>
      <c r="F1496">
        <v>104816</v>
      </c>
      <c r="G1496" t="s">
        <v>2879</v>
      </c>
      <c r="H1496" t="s">
        <v>2990</v>
      </c>
      <c r="J1496" t="s">
        <v>1089</v>
      </c>
      <c r="K1496" t="s">
        <v>1048</v>
      </c>
      <c r="L1496" t="s">
        <v>446</v>
      </c>
      <c r="Q1496" t="b">
        <v>1</v>
      </c>
      <c r="R1496" t="b">
        <v>1</v>
      </c>
      <c r="S1496" t="s">
        <v>2160</v>
      </c>
      <c r="T1496" t="s">
        <v>446</v>
      </c>
      <c r="U1496" t="s">
        <v>1951</v>
      </c>
      <c r="V1496" t="s">
        <v>1093</v>
      </c>
      <c r="W1496" t="s">
        <v>1952</v>
      </c>
      <c r="X1496" t="s">
        <v>446</v>
      </c>
    </row>
    <row r="1497" spans="1:24" x14ac:dyDescent="0.25">
      <c r="A1497" t="s">
        <v>42</v>
      </c>
      <c r="B1497" t="s">
        <v>3108</v>
      </c>
      <c r="C1497" t="s">
        <v>340</v>
      </c>
      <c r="E1497" t="s">
        <v>1032</v>
      </c>
      <c r="F1497">
        <v>104816</v>
      </c>
      <c r="G1497" t="s">
        <v>2879</v>
      </c>
      <c r="H1497" t="s">
        <v>488</v>
      </c>
      <c r="J1497" t="s">
        <v>1089</v>
      </c>
      <c r="K1497" t="s">
        <v>1048</v>
      </c>
      <c r="L1497" t="s">
        <v>446</v>
      </c>
      <c r="Q1497" t="b">
        <v>1</v>
      </c>
      <c r="R1497" t="b">
        <v>1</v>
      </c>
      <c r="S1497" t="s">
        <v>2160</v>
      </c>
      <c r="T1497" t="s">
        <v>446</v>
      </c>
      <c r="U1497" t="s">
        <v>1951</v>
      </c>
      <c r="V1497" t="s">
        <v>1093</v>
      </c>
      <c r="W1497" t="s">
        <v>1952</v>
      </c>
      <c r="X1497" t="s">
        <v>446</v>
      </c>
    </row>
    <row r="1498" spans="1:24" x14ac:dyDescent="0.25">
      <c r="A1498" t="s">
        <v>42</v>
      </c>
      <c r="B1498" t="s">
        <v>3109</v>
      </c>
      <c r="C1498" t="s">
        <v>334</v>
      </c>
      <c r="E1498" t="s">
        <v>1032</v>
      </c>
      <c r="F1498">
        <v>31044</v>
      </c>
      <c r="G1498" t="s">
        <v>2879</v>
      </c>
      <c r="H1498" t="s">
        <v>2976</v>
      </c>
      <c r="J1498" t="s">
        <v>1089</v>
      </c>
      <c r="K1498" t="s">
        <v>1048</v>
      </c>
      <c r="L1498" t="s">
        <v>446</v>
      </c>
      <c r="Q1498" t="b">
        <v>1</v>
      </c>
      <c r="R1498" t="b">
        <v>1</v>
      </c>
      <c r="S1498" t="s">
        <v>2160</v>
      </c>
      <c r="T1498" t="s">
        <v>446</v>
      </c>
      <c r="U1498" t="s">
        <v>1951</v>
      </c>
      <c r="V1498" t="s">
        <v>1093</v>
      </c>
      <c r="W1498" t="s">
        <v>1952</v>
      </c>
      <c r="X1498" t="s">
        <v>446</v>
      </c>
    </row>
    <row r="1499" spans="1:24" x14ac:dyDescent="0.25">
      <c r="A1499" t="s">
        <v>42</v>
      </c>
      <c r="B1499" t="s">
        <v>3110</v>
      </c>
      <c r="C1499" t="s">
        <v>339</v>
      </c>
      <c r="E1499" t="s">
        <v>1032</v>
      </c>
      <c r="F1499">
        <v>73772</v>
      </c>
      <c r="G1499" t="s">
        <v>2879</v>
      </c>
      <c r="H1499" t="s">
        <v>2978</v>
      </c>
      <c r="J1499" t="s">
        <v>1089</v>
      </c>
      <c r="K1499" t="s">
        <v>446</v>
      </c>
      <c r="L1499" t="s">
        <v>446</v>
      </c>
      <c r="Q1499" t="b">
        <v>1</v>
      </c>
      <c r="R1499" t="b">
        <v>1</v>
      </c>
      <c r="S1499" t="s">
        <v>2160</v>
      </c>
      <c r="T1499" t="s">
        <v>446</v>
      </c>
      <c r="U1499" t="s">
        <v>1951</v>
      </c>
      <c r="V1499" t="s">
        <v>1093</v>
      </c>
      <c r="W1499" t="s">
        <v>1952</v>
      </c>
      <c r="X1499" t="s">
        <v>446</v>
      </c>
    </row>
    <row r="1500" spans="1:24" x14ac:dyDescent="0.25">
      <c r="A1500" t="s">
        <v>42</v>
      </c>
      <c r="B1500" t="s">
        <v>3111</v>
      </c>
      <c r="C1500" t="s">
        <v>344</v>
      </c>
      <c r="E1500" t="s">
        <v>1032</v>
      </c>
      <c r="F1500">
        <v>19403</v>
      </c>
      <c r="G1500" t="s">
        <v>2879</v>
      </c>
      <c r="H1500" t="s">
        <v>2980</v>
      </c>
      <c r="J1500" t="s">
        <v>1089</v>
      </c>
      <c r="K1500" t="s">
        <v>446</v>
      </c>
      <c r="L1500" t="s">
        <v>446</v>
      </c>
      <c r="Q1500" t="b">
        <v>1</v>
      </c>
      <c r="R1500" t="b">
        <v>1</v>
      </c>
      <c r="S1500" t="s">
        <v>2160</v>
      </c>
      <c r="T1500" t="s">
        <v>446</v>
      </c>
      <c r="U1500" t="s">
        <v>1951</v>
      </c>
      <c r="V1500" t="s">
        <v>1093</v>
      </c>
      <c r="W1500" t="s">
        <v>1952</v>
      </c>
      <c r="X1500" t="s">
        <v>446</v>
      </c>
    </row>
    <row r="1501" spans="1:24" x14ac:dyDescent="0.25">
      <c r="A1501" t="s">
        <v>42</v>
      </c>
      <c r="B1501" t="s">
        <v>3112</v>
      </c>
      <c r="C1501" t="s">
        <v>349</v>
      </c>
      <c r="E1501" t="s">
        <v>1032</v>
      </c>
      <c r="F1501">
        <v>51138</v>
      </c>
      <c r="G1501" t="s">
        <v>2879</v>
      </c>
      <c r="H1501" t="s">
        <v>2982</v>
      </c>
      <c r="J1501" t="s">
        <v>1089</v>
      </c>
      <c r="K1501" t="s">
        <v>446</v>
      </c>
      <c r="L1501" t="s">
        <v>446</v>
      </c>
      <c r="Q1501" t="b">
        <v>1</v>
      </c>
      <c r="R1501" t="b">
        <v>1</v>
      </c>
      <c r="S1501" t="s">
        <v>2160</v>
      </c>
      <c r="T1501" t="s">
        <v>446</v>
      </c>
      <c r="U1501" t="s">
        <v>1951</v>
      </c>
      <c r="V1501" t="s">
        <v>1093</v>
      </c>
      <c r="W1501" t="s">
        <v>1952</v>
      </c>
      <c r="X1501" t="s">
        <v>446</v>
      </c>
    </row>
    <row r="1502" spans="1:24" x14ac:dyDescent="0.25">
      <c r="A1502" t="s">
        <v>42</v>
      </c>
      <c r="B1502" t="s">
        <v>3113</v>
      </c>
      <c r="C1502" t="s">
        <v>355</v>
      </c>
      <c r="E1502" t="s">
        <v>1032</v>
      </c>
      <c r="F1502">
        <v>32169</v>
      </c>
      <c r="G1502" t="s">
        <v>2879</v>
      </c>
      <c r="H1502" t="s">
        <v>2984</v>
      </c>
      <c r="J1502" t="s">
        <v>1089</v>
      </c>
      <c r="K1502" t="s">
        <v>1048</v>
      </c>
      <c r="L1502" t="s">
        <v>446</v>
      </c>
      <c r="Q1502" t="b">
        <v>1</v>
      </c>
      <c r="R1502" t="b">
        <v>1</v>
      </c>
      <c r="S1502" t="s">
        <v>2160</v>
      </c>
      <c r="T1502" t="s">
        <v>446</v>
      </c>
      <c r="U1502" t="s">
        <v>1951</v>
      </c>
      <c r="V1502" t="s">
        <v>1093</v>
      </c>
      <c r="W1502" t="s">
        <v>1952</v>
      </c>
      <c r="X1502" t="s">
        <v>446</v>
      </c>
    </row>
    <row r="1503" spans="1:24" x14ac:dyDescent="0.25">
      <c r="A1503" t="s">
        <v>42</v>
      </c>
      <c r="B1503" t="s">
        <v>3114</v>
      </c>
      <c r="C1503" t="s">
        <v>357</v>
      </c>
      <c r="E1503" t="s">
        <v>1032</v>
      </c>
      <c r="F1503">
        <v>34275</v>
      </c>
      <c r="G1503" t="s">
        <v>2879</v>
      </c>
      <c r="H1503" t="s">
        <v>2986</v>
      </c>
      <c r="J1503" t="s">
        <v>1089</v>
      </c>
      <c r="K1503" t="s">
        <v>1048</v>
      </c>
      <c r="L1503" t="s">
        <v>446</v>
      </c>
      <c r="Q1503" t="b">
        <v>1</v>
      </c>
      <c r="R1503" t="b">
        <v>1</v>
      </c>
      <c r="S1503" t="s">
        <v>2160</v>
      </c>
      <c r="T1503" t="s">
        <v>446</v>
      </c>
      <c r="U1503" t="s">
        <v>1951</v>
      </c>
      <c r="V1503" t="s">
        <v>1093</v>
      </c>
      <c r="W1503" t="s">
        <v>1952</v>
      </c>
      <c r="X1503" t="s">
        <v>446</v>
      </c>
    </row>
    <row r="1504" spans="1:24" x14ac:dyDescent="0.25">
      <c r="A1504" t="s">
        <v>42</v>
      </c>
      <c r="B1504" t="s">
        <v>3115</v>
      </c>
      <c r="C1504" t="s">
        <v>350</v>
      </c>
      <c r="E1504" t="s">
        <v>1032</v>
      </c>
      <c r="F1504">
        <v>70541</v>
      </c>
      <c r="G1504" t="s">
        <v>2879</v>
      </c>
      <c r="H1504" t="s">
        <v>2988</v>
      </c>
      <c r="J1504" t="s">
        <v>1089</v>
      </c>
      <c r="K1504" t="s">
        <v>446</v>
      </c>
      <c r="L1504" t="s">
        <v>446</v>
      </c>
      <c r="Q1504" t="b">
        <v>1</v>
      </c>
      <c r="R1504" t="b">
        <v>1</v>
      </c>
      <c r="S1504" t="s">
        <v>2160</v>
      </c>
      <c r="T1504" t="s">
        <v>446</v>
      </c>
      <c r="U1504" t="s">
        <v>1951</v>
      </c>
      <c r="V1504" t="s">
        <v>1093</v>
      </c>
      <c r="W1504" t="s">
        <v>1952</v>
      </c>
      <c r="X1504" t="s">
        <v>446</v>
      </c>
    </row>
    <row r="1505" spans="1:24" x14ac:dyDescent="0.25">
      <c r="A1505" t="s">
        <v>42</v>
      </c>
      <c r="B1505" t="s">
        <v>3116</v>
      </c>
      <c r="C1505" t="s">
        <v>358</v>
      </c>
      <c r="E1505" t="s">
        <v>1032</v>
      </c>
      <c r="F1505">
        <v>104816</v>
      </c>
      <c r="G1505" t="s">
        <v>2879</v>
      </c>
      <c r="H1505" t="s">
        <v>2990</v>
      </c>
      <c r="J1505" t="s">
        <v>1089</v>
      </c>
      <c r="K1505" t="s">
        <v>1048</v>
      </c>
      <c r="L1505" t="s">
        <v>446</v>
      </c>
      <c r="Q1505" t="b">
        <v>1</v>
      </c>
      <c r="R1505" t="b">
        <v>1</v>
      </c>
      <c r="S1505" t="s">
        <v>2160</v>
      </c>
      <c r="T1505" t="s">
        <v>446</v>
      </c>
      <c r="U1505" t="s">
        <v>1951</v>
      </c>
      <c r="V1505" t="s">
        <v>1093</v>
      </c>
      <c r="W1505" t="s">
        <v>1952</v>
      </c>
      <c r="X1505" t="s">
        <v>446</v>
      </c>
    </row>
    <row r="1506" spans="1:24" x14ac:dyDescent="0.25">
      <c r="A1506" t="s">
        <v>42</v>
      </c>
      <c r="B1506" t="s">
        <v>3117</v>
      </c>
      <c r="C1506" t="s">
        <v>340</v>
      </c>
      <c r="E1506" t="s">
        <v>1051</v>
      </c>
      <c r="F1506">
        <v>104217</v>
      </c>
      <c r="G1506" t="s">
        <v>2879</v>
      </c>
      <c r="H1506" t="s">
        <v>488</v>
      </c>
      <c r="J1506" t="s">
        <v>1089</v>
      </c>
      <c r="K1506" t="s">
        <v>1055</v>
      </c>
      <c r="L1506" t="s">
        <v>446</v>
      </c>
      <c r="Q1506" t="b">
        <v>1</v>
      </c>
      <c r="R1506" t="b">
        <v>1</v>
      </c>
      <c r="S1506" t="s">
        <v>2160</v>
      </c>
      <c r="T1506" t="s">
        <v>446</v>
      </c>
      <c r="U1506" t="s">
        <v>1951</v>
      </c>
      <c r="V1506" t="s">
        <v>1093</v>
      </c>
      <c r="W1506" t="s">
        <v>1952</v>
      </c>
      <c r="X1506" t="s">
        <v>446</v>
      </c>
    </row>
    <row r="1507" spans="1:24" x14ac:dyDescent="0.25">
      <c r="A1507" t="s">
        <v>42</v>
      </c>
      <c r="B1507" t="s">
        <v>3118</v>
      </c>
      <c r="C1507" t="s">
        <v>334</v>
      </c>
      <c r="E1507" t="s">
        <v>1051</v>
      </c>
      <c r="F1507">
        <v>30390</v>
      </c>
      <c r="G1507" t="s">
        <v>2879</v>
      </c>
      <c r="H1507" t="s">
        <v>2976</v>
      </c>
      <c r="J1507" t="s">
        <v>1089</v>
      </c>
      <c r="K1507" t="s">
        <v>1055</v>
      </c>
      <c r="L1507" t="s">
        <v>446</v>
      </c>
      <c r="Q1507" t="b">
        <v>1</v>
      </c>
      <c r="R1507" t="b">
        <v>1</v>
      </c>
      <c r="S1507" t="s">
        <v>2160</v>
      </c>
      <c r="T1507" t="s">
        <v>446</v>
      </c>
      <c r="U1507" t="s">
        <v>1951</v>
      </c>
      <c r="V1507" t="s">
        <v>1093</v>
      </c>
      <c r="W1507" t="s">
        <v>1952</v>
      </c>
      <c r="X1507" t="s">
        <v>446</v>
      </c>
    </row>
    <row r="1508" spans="1:24" x14ac:dyDescent="0.25">
      <c r="A1508" t="s">
        <v>42</v>
      </c>
      <c r="B1508" t="s">
        <v>3119</v>
      </c>
      <c r="C1508" t="s">
        <v>339</v>
      </c>
      <c r="E1508" t="s">
        <v>1051</v>
      </c>
      <c r="F1508">
        <v>73827</v>
      </c>
      <c r="G1508" t="s">
        <v>2879</v>
      </c>
      <c r="H1508" t="s">
        <v>2978</v>
      </c>
      <c r="J1508" t="s">
        <v>1089</v>
      </c>
      <c r="K1508" t="s">
        <v>446</v>
      </c>
      <c r="L1508" t="s">
        <v>446</v>
      </c>
      <c r="Q1508" t="b">
        <v>1</v>
      </c>
      <c r="R1508" t="b">
        <v>1</v>
      </c>
      <c r="S1508" t="s">
        <v>2160</v>
      </c>
      <c r="T1508" t="s">
        <v>446</v>
      </c>
      <c r="U1508" t="s">
        <v>1951</v>
      </c>
      <c r="V1508" t="s">
        <v>1093</v>
      </c>
      <c r="W1508" t="s">
        <v>1952</v>
      </c>
      <c r="X1508" t="s">
        <v>446</v>
      </c>
    </row>
    <row r="1509" spans="1:24" x14ac:dyDescent="0.25">
      <c r="A1509" t="s">
        <v>42</v>
      </c>
      <c r="B1509" t="s">
        <v>3120</v>
      </c>
      <c r="C1509" t="s">
        <v>344</v>
      </c>
      <c r="E1509" t="s">
        <v>1051</v>
      </c>
      <c r="F1509">
        <v>17635</v>
      </c>
      <c r="G1509" t="s">
        <v>2879</v>
      </c>
      <c r="H1509" t="s">
        <v>2980</v>
      </c>
      <c r="J1509" t="s">
        <v>1089</v>
      </c>
      <c r="K1509" t="s">
        <v>446</v>
      </c>
      <c r="L1509" t="s">
        <v>446</v>
      </c>
      <c r="Q1509" t="b">
        <v>1</v>
      </c>
      <c r="R1509" t="b">
        <v>1</v>
      </c>
      <c r="S1509" t="s">
        <v>2160</v>
      </c>
      <c r="T1509" t="s">
        <v>446</v>
      </c>
      <c r="U1509" t="s">
        <v>1951</v>
      </c>
      <c r="V1509" t="s">
        <v>1093</v>
      </c>
      <c r="W1509" t="s">
        <v>1952</v>
      </c>
      <c r="X1509" t="s">
        <v>446</v>
      </c>
    </row>
    <row r="1510" spans="1:24" x14ac:dyDescent="0.25">
      <c r="A1510" t="s">
        <v>42</v>
      </c>
      <c r="B1510" t="s">
        <v>3121</v>
      </c>
      <c r="C1510" t="s">
        <v>349</v>
      </c>
      <c r="E1510" t="s">
        <v>1051</v>
      </c>
      <c r="F1510">
        <v>50848</v>
      </c>
      <c r="G1510" t="s">
        <v>2879</v>
      </c>
      <c r="H1510" t="s">
        <v>2982</v>
      </c>
      <c r="J1510" t="s">
        <v>1089</v>
      </c>
      <c r="K1510" t="s">
        <v>446</v>
      </c>
      <c r="L1510" t="s">
        <v>446</v>
      </c>
      <c r="Q1510" t="b">
        <v>1</v>
      </c>
      <c r="R1510" t="b">
        <v>1</v>
      </c>
      <c r="S1510" t="s">
        <v>2160</v>
      </c>
      <c r="T1510" t="s">
        <v>446</v>
      </c>
      <c r="U1510" t="s">
        <v>1951</v>
      </c>
      <c r="V1510" t="s">
        <v>1093</v>
      </c>
      <c r="W1510" t="s">
        <v>1952</v>
      </c>
      <c r="X1510" t="s">
        <v>446</v>
      </c>
    </row>
    <row r="1511" spans="1:24" x14ac:dyDescent="0.25">
      <c r="A1511" t="s">
        <v>42</v>
      </c>
      <c r="B1511" t="s">
        <v>3122</v>
      </c>
      <c r="C1511" t="s">
        <v>355</v>
      </c>
      <c r="E1511" t="s">
        <v>1051</v>
      </c>
      <c r="F1511">
        <v>33633</v>
      </c>
      <c r="G1511" t="s">
        <v>2879</v>
      </c>
      <c r="H1511" t="s">
        <v>2984</v>
      </c>
      <c r="J1511" t="s">
        <v>1089</v>
      </c>
      <c r="K1511" t="s">
        <v>1055</v>
      </c>
      <c r="L1511" t="s">
        <v>446</v>
      </c>
      <c r="Q1511" t="b">
        <v>1</v>
      </c>
      <c r="R1511" t="b">
        <v>1</v>
      </c>
      <c r="S1511" t="s">
        <v>2160</v>
      </c>
      <c r="T1511" t="s">
        <v>446</v>
      </c>
      <c r="U1511" t="s">
        <v>1951</v>
      </c>
      <c r="V1511" t="s">
        <v>1093</v>
      </c>
      <c r="W1511" t="s">
        <v>1952</v>
      </c>
      <c r="X1511" t="s">
        <v>446</v>
      </c>
    </row>
    <row r="1512" spans="1:24" x14ac:dyDescent="0.25">
      <c r="A1512" t="s">
        <v>42</v>
      </c>
      <c r="B1512" t="s">
        <v>3123</v>
      </c>
      <c r="C1512" t="s">
        <v>357</v>
      </c>
      <c r="E1512" t="s">
        <v>1051</v>
      </c>
      <c r="F1512">
        <v>35734</v>
      </c>
      <c r="G1512" t="s">
        <v>2879</v>
      </c>
      <c r="H1512" t="s">
        <v>2986</v>
      </c>
      <c r="J1512" t="s">
        <v>1089</v>
      </c>
      <c r="K1512" t="s">
        <v>1055</v>
      </c>
      <c r="L1512" t="s">
        <v>446</v>
      </c>
      <c r="Q1512" t="b">
        <v>1</v>
      </c>
      <c r="R1512" t="b">
        <v>1</v>
      </c>
      <c r="S1512" t="s">
        <v>2160</v>
      </c>
      <c r="T1512" t="s">
        <v>446</v>
      </c>
      <c r="U1512" t="s">
        <v>1951</v>
      </c>
      <c r="V1512" t="s">
        <v>1093</v>
      </c>
      <c r="W1512" t="s">
        <v>1952</v>
      </c>
      <c r="X1512" t="s">
        <v>446</v>
      </c>
    </row>
    <row r="1513" spans="1:24" x14ac:dyDescent="0.25">
      <c r="A1513" t="s">
        <v>42</v>
      </c>
      <c r="B1513" t="s">
        <v>3124</v>
      </c>
      <c r="C1513" t="s">
        <v>350</v>
      </c>
      <c r="E1513" t="s">
        <v>1051</v>
      </c>
      <c r="F1513">
        <v>68483</v>
      </c>
      <c r="G1513" t="s">
        <v>2879</v>
      </c>
      <c r="H1513" t="s">
        <v>2988</v>
      </c>
      <c r="J1513" t="s">
        <v>1089</v>
      </c>
      <c r="K1513" t="s">
        <v>446</v>
      </c>
      <c r="L1513" t="s">
        <v>446</v>
      </c>
      <c r="Q1513" t="b">
        <v>1</v>
      </c>
      <c r="R1513" t="b">
        <v>1</v>
      </c>
      <c r="S1513" t="s">
        <v>2160</v>
      </c>
      <c r="T1513" t="s">
        <v>446</v>
      </c>
      <c r="U1513" t="s">
        <v>1951</v>
      </c>
      <c r="V1513" t="s">
        <v>1093</v>
      </c>
      <c r="W1513" t="s">
        <v>1952</v>
      </c>
      <c r="X1513" t="s">
        <v>446</v>
      </c>
    </row>
    <row r="1514" spans="1:24" x14ac:dyDescent="0.25">
      <c r="A1514" t="s">
        <v>42</v>
      </c>
      <c r="B1514" t="s">
        <v>3125</v>
      </c>
      <c r="C1514" t="s">
        <v>358</v>
      </c>
      <c r="E1514" t="s">
        <v>1051</v>
      </c>
      <c r="F1514">
        <v>104217</v>
      </c>
      <c r="G1514" t="s">
        <v>2879</v>
      </c>
      <c r="H1514" t="s">
        <v>2990</v>
      </c>
      <c r="J1514" t="s">
        <v>1089</v>
      </c>
      <c r="K1514" t="s">
        <v>1055</v>
      </c>
      <c r="L1514" t="s">
        <v>446</v>
      </c>
      <c r="Q1514" t="b">
        <v>1</v>
      </c>
      <c r="R1514" t="b">
        <v>1</v>
      </c>
      <c r="S1514" t="s">
        <v>2160</v>
      </c>
      <c r="T1514" t="s">
        <v>446</v>
      </c>
      <c r="U1514" t="s">
        <v>1951</v>
      </c>
      <c r="V1514" t="s">
        <v>1093</v>
      </c>
      <c r="W1514" t="s">
        <v>1952</v>
      </c>
      <c r="X1514" t="s">
        <v>446</v>
      </c>
    </row>
    <row r="1515" spans="1:24" x14ac:dyDescent="0.25">
      <c r="A1515" t="s">
        <v>42</v>
      </c>
      <c r="B1515" t="s">
        <v>2902</v>
      </c>
      <c r="C1515" t="s">
        <v>270</v>
      </c>
      <c r="E1515" t="s">
        <v>998</v>
      </c>
      <c r="F1515">
        <v>6215</v>
      </c>
      <c r="G1515" t="s">
        <v>2879</v>
      </c>
      <c r="H1515" t="s">
        <v>2898</v>
      </c>
      <c r="J1515" t="s">
        <v>1110</v>
      </c>
      <c r="K1515" t="s">
        <v>1003</v>
      </c>
      <c r="L1515" t="s">
        <v>446</v>
      </c>
      <c r="Q1515" t="b">
        <v>1</v>
      </c>
      <c r="R1515" t="b">
        <v>1</v>
      </c>
      <c r="S1515" t="s">
        <v>2160</v>
      </c>
      <c r="T1515" t="s">
        <v>446</v>
      </c>
      <c r="U1515" t="s">
        <v>1951</v>
      </c>
      <c r="V1515" t="s">
        <v>1093</v>
      </c>
      <c r="W1515" t="s">
        <v>1952</v>
      </c>
      <c r="X1515" t="s">
        <v>446</v>
      </c>
    </row>
    <row r="1516" spans="1:24" x14ac:dyDescent="0.25">
      <c r="A1516" t="s">
        <v>42</v>
      </c>
      <c r="B1516" t="s">
        <v>2903</v>
      </c>
      <c r="C1516" t="s">
        <v>270</v>
      </c>
      <c r="E1516" t="s">
        <v>982</v>
      </c>
      <c r="F1516">
        <v>27234</v>
      </c>
      <c r="G1516" t="s">
        <v>2879</v>
      </c>
      <c r="H1516" t="s">
        <v>2898</v>
      </c>
      <c r="J1516" t="s">
        <v>1110</v>
      </c>
      <c r="K1516" t="s">
        <v>1003</v>
      </c>
      <c r="L1516" t="s">
        <v>446</v>
      </c>
      <c r="Q1516" t="b">
        <v>1</v>
      </c>
      <c r="R1516" t="b">
        <v>1</v>
      </c>
      <c r="S1516" t="s">
        <v>2160</v>
      </c>
      <c r="T1516" t="s">
        <v>446</v>
      </c>
      <c r="U1516" t="s">
        <v>1951</v>
      </c>
      <c r="V1516" t="s">
        <v>1093</v>
      </c>
      <c r="W1516" t="s">
        <v>1952</v>
      </c>
      <c r="X1516" t="s">
        <v>2899</v>
      </c>
    </row>
    <row r="1517" spans="1:24" x14ac:dyDescent="0.25">
      <c r="A1517" t="s">
        <v>42</v>
      </c>
      <c r="B1517" t="s">
        <v>2921</v>
      </c>
      <c r="C1517" t="s">
        <v>275</v>
      </c>
      <c r="E1517" t="s">
        <v>982</v>
      </c>
      <c r="F1517">
        <v>11311</v>
      </c>
      <c r="G1517" t="s">
        <v>2879</v>
      </c>
      <c r="H1517" t="s">
        <v>2916</v>
      </c>
      <c r="J1517" t="s">
        <v>1110</v>
      </c>
      <c r="K1517" t="s">
        <v>1003</v>
      </c>
      <c r="L1517" t="s">
        <v>446</v>
      </c>
      <c r="Q1517" t="b">
        <v>1</v>
      </c>
      <c r="R1517" t="b">
        <v>1</v>
      </c>
      <c r="S1517" t="s">
        <v>2160</v>
      </c>
      <c r="T1517" t="s">
        <v>446</v>
      </c>
      <c r="U1517" t="s">
        <v>1951</v>
      </c>
      <c r="V1517" t="s">
        <v>1093</v>
      </c>
      <c r="W1517" t="s">
        <v>1952</v>
      </c>
      <c r="X1517" t="s">
        <v>2917</v>
      </c>
    </row>
    <row r="1518" spans="1:24" x14ac:dyDescent="0.25">
      <c r="A1518" t="s">
        <v>42</v>
      </c>
      <c r="B1518" t="s">
        <v>2926</v>
      </c>
      <c r="C1518" t="s">
        <v>275</v>
      </c>
      <c r="E1518" t="s">
        <v>1010</v>
      </c>
      <c r="F1518">
        <v>9992</v>
      </c>
      <c r="G1518" t="s">
        <v>2879</v>
      </c>
      <c r="H1518" t="s">
        <v>2916</v>
      </c>
      <c r="J1518" t="s">
        <v>1110</v>
      </c>
      <c r="K1518" t="s">
        <v>1026</v>
      </c>
      <c r="L1518" t="s">
        <v>446</v>
      </c>
      <c r="Q1518" t="b">
        <v>1</v>
      </c>
      <c r="R1518" t="b">
        <v>1</v>
      </c>
      <c r="S1518" t="s">
        <v>2160</v>
      </c>
      <c r="T1518" t="s">
        <v>446</v>
      </c>
      <c r="U1518" t="s">
        <v>1951</v>
      </c>
      <c r="V1518" t="s">
        <v>1093</v>
      </c>
      <c r="W1518" t="s">
        <v>1952</v>
      </c>
      <c r="X1518" t="s">
        <v>2917</v>
      </c>
    </row>
    <row r="1519" spans="1:24" x14ac:dyDescent="0.25">
      <c r="A1519" t="s">
        <v>42</v>
      </c>
      <c r="B1519" t="s">
        <v>2931</v>
      </c>
      <c r="C1519" t="s">
        <v>275</v>
      </c>
      <c r="E1519" t="s">
        <v>1032</v>
      </c>
      <c r="F1519">
        <v>13762</v>
      </c>
      <c r="G1519" t="s">
        <v>2879</v>
      </c>
      <c r="H1519" t="s">
        <v>2916</v>
      </c>
      <c r="J1519" t="s">
        <v>1110</v>
      </c>
      <c r="K1519" t="s">
        <v>1048</v>
      </c>
      <c r="L1519" t="s">
        <v>446</v>
      </c>
      <c r="Q1519" t="b">
        <v>1</v>
      </c>
      <c r="R1519" t="b">
        <v>1</v>
      </c>
      <c r="S1519" t="s">
        <v>2160</v>
      </c>
      <c r="T1519" t="s">
        <v>446</v>
      </c>
      <c r="U1519" t="s">
        <v>1951</v>
      </c>
      <c r="V1519" t="s">
        <v>1093</v>
      </c>
      <c r="W1519" t="s">
        <v>1952</v>
      </c>
      <c r="X1519" t="s">
        <v>2917</v>
      </c>
    </row>
    <row r="1520" spans="1:24" x14ac:dyDescent="0.25">
      <c r="A1520" t="s">
        <v>42</v>
      </c>
      <c r="B1520" t="s">
        <v>2933</v>
      </c>
      <c r="C1520" t="s">
        <v>280</v>
      </c>
      <c r="E1520" t="s">
        <v>978</v>
      </c>
      <c r="F1520">
        <v>4053</v>
      </c>
      <c r="G1520" t="s">
        <v>2879</v>
      </c>
      <c r="H1520" t="s">
        <v>2934</v>
      </c>
      <c r="J1520" t="s">
        <v>1110</v>
      </c>
      <c r="K1520" t="s">
        <v>984</v>
      </c>
      <c r="L1520" t="s">
        <v>446</v>
      </c>
      <c r="Q1520" t="b">
        <v>1</v>
      </c>
      <c r="R1520" t="b">
        <v>1</v>
      </c>
      <c r="S1520" t="s">
        <v>2160</v>
      </c>
      <c r="T1520" t="s">
        <v>446</v>
      </c>
      <c r="U1520" t="s">
        <v>1951</v>
      </c>
      <c r="V1520" t="s">
        <v>1093</v>
      </c>
      <c r="W1520" t="s">
        <v>1952</v>
      </c>
      <c r="X1520" t="s">
        <v>2935</v>
      </c>
    </row>
    <row r="1521" spans="1:24" x14ac:dyDescent="0.25">
      <c r="A1521" t="s">
        <v>42</v>
      </c>
      <c r="B1521" t="s">
        <v>2936</v>
      </c>
      <c r="C1521" t="s">
        <v>280</v>
      </c>
      <c r="E1521" t="s">
        <v>986</v>
      </c>
      <c r="F1521">
        <v>2880</v>
      </c>
      <c r="G1521" t="s">
        <v>2879</v>
      </c>
      <c r="H1521" t="s">
        <v>2934</v>
      </c>
      <c r="J1521" t="s">
        <v>1110</v>
      </c>
      <c r="K1521" t="s">
        <v>990</v>
      </c>
      <c r="L1521" t="s">
        <v>446</v>
      </c>
      <c r="Q1521" t="b">
        <v>1</v>
      </c>
      <c r="R1521" t="b">
        <v>1</v>
      </c>
      <c r="S1521" t="s">
        <v>2160</v>
      </c>
      <c r="T1521" t="s">
        <v>446</v>
      </c>
      <c r="U1521" t="s">
        <v>1951</v>
      </c>
      <c r="V1521" t="s">
        <v>1093</v>
      </c>
      <c r="W1521" t="s">
        <v>1952</v>
      </c>
      <c r="X1521" t="s">
        <v>2935</v>
      </c>
    </row>
    <row r="1522" spans="1:24" x14ac:dyDescent="0.25">
      <c r="A1522" t="s">
        <v>42</v>
      </c>
      <c r="B1522" t="s">
        <v>2937</v>
      </c>
      <c r="C1522" t="s">
        <v>280</v>
      </c>
      <c r="E1522" t="s">
        <v>992</v>
      </c>
      <c r="F1522">
        <v>3537</v>
      </c>
      <c r="G1522" t="s">
        <v>2879</v>
      </c>
      <c r="H1522" t="s">
        <v>2934</v>
      </c>
      <c r="J1522" t="s">
        <v>1110</v>
      </c>
      <c r="K1522" t="s">
        <v>996</v>
      </c>
      <c r="L1522" t="s">
        <v>446</v>
      </c>
      <c r="Q1522" t="b">
        <v>1</v>
      </c>
      <c r="R1522" t="b">
        <v>1</v>
      </c>
      <c r="S1522" t="s">
        <v>2160</v>
      </c>
      <c r="T1522" t="s">
        <v>446</v>
      </c>
      <c r="U1522" t="s">
        <v>1951</v>
      </c>
      <c r="V1522" t="s">
        <v>1093</v>
      </c>
      <c r="W1522" t="s">
        <v>1952</v>
      </c>
      <c r="X1522" t="s">
        <v>2935</v>
      </c>
    </row>
    <row r="1523" spans="1:24" x14ac:dyDescent="0.25">
      <c r="A1523" t="s">
        <v>42</v>
      </c>
      <c r="B1523" t="s">
        <v>2938</v>
      </c>
      <c r="C1523" t="s">
        <v>280</v>
      </c>
      <c r="E1523" t="s">
        <v>998</v>
      </c>
      <c r="F1523">
        <v>2482</v>
      </c>
      <c r="G1523" t="s">
        <v>2879</v>
      </c>
      <c r="H1523" t="s">
        <v>2934</v>
      </c>
      <c r="J1523" t="s">
        <v>1110</v>
      </c>
      <c r="K1523" t="s">
        <v>1003</v>
      </c>
      <c r="L1523" t="s">
        <v>446</v>
      </c>
      <c r="Q1523" t="b">
        <v>1</v>
      </c>
      <c r="R1523" t="b">
        <v>1</v>
      </c>
      <c r="S1523" t="s">
        <v>2160</v>
      </c>
      <c r="T1523" t="s">
        <v>446</v>
      </c>
      <c r="U1523" t="s">
        <v>1951</v>
      </c>
      <c r="V1523" t="s">
        <v>1093</v>
      </c>
      <c r="W1523" t="s">
        <v>1952</v>
      </c>
      <c r="X1523" t="s">
        <v>446</v>
      </c>
    </row>
    <row r="1524" spans="1:24" x14ac:dyDescent="0.25">
      <c r="A1524" t="s">
        <v>42</v>
      </c>
      <c r="B1524" t="s">
        <v>2939</v>
      </c>
      <c r="C1524" t="s">
        <v>280</v>
      </c>
      <c r="E1524" t="s">
        <v>982</v>
      </c>
      <c r="F1524">
        <v>12952</v>
      </c>
      <c r="G1524" t="s">
        <v>2879</v>
      </c>
      <c r="H1524" t="s">
        <v>2934</v>
      </c>
      <c r="J1524" t="s">
        <v>1110</v>
      </c>
      <c r="K1524" t="s">
        <v>1003</v>
      </c>
      <c r="L1524" t="s">
        <v>446</v>
      </c>
      <c r="Q1524" t="b">
        <v>1</v>
      </c>
      <c r="R1524" t="b">
        <v>1</v>
      </c>
      <c r="S1524" t="s">
        <v>2160</v>
      </c>
      <c r="T1524" t="s">
        <v>446</v>
      </c>
      <c r="U1524" t="s">
        <v>1951</v>
      </c>
      <c r="V1524" t="s">
        <v>1093</v>
      </c>
      <c r="W1524" t="s">
        <v>1952</v>
      </c>
      <c r="X1524" t="s">
        <v>2935</v>
      </c>
    </row>
    <row r="1525" spans="1:24" x14ac:dyDescent="0.25">
      <c r="A1525" t="s">
        <v>42</v>
      </c>
      <c r="B1525" t="s">
        <v>2940</v>
      </c>
      <c r="C1525" t="s">
        <v>280</v>
      </c>
      <c r="E1525" t="s">
        <v>1006</v>
      </c>
      <c r="F1525">
        <v>3872</v>
      </c>
      <c r="G1525" t="s">
        <v>2879</v>
      </c>
      <c r="H1525" t="s">
        <v>2934</v>
      </c>
      <c r="J1525" t="s">
        <v>1110</v>
      </c>
      <c r="K1525" t="s">
        <v>1967</v>
      </c>
      <c r="L1525" t="s">
        <v>446</v>
      </c>
      <c r="Q1525" t="b">
        <v>1</v>
      </c>
      <c r="R1525" t="b">
        <v>1</v>
      </c>
      <c r="S1525" t="s">
        <v>2160</v>
      </c>
      <c r="T1525" t="s">
        <v>446</v>
      </c>
      <c r="U1525" t="s">
        <v>1951</v>
      </c>
      <c r="V1525" t="s">
        <v>1093</v>
      </c>
      <c r="W1525" t="s">
        <v>1952</v>
      </c>
      <c r="X1525" t="s">
        <v>2935</v>
      </c>
    </row>
    <row r="1526" spans="1:24" x14ac:dyDescent="0.25">
      <c r="A1526" t="s">
        <v>42</v>
      </c>
      <c r="B1526" t="s">
        <v>2941</v>
      </c>
      <c r="C1526" t="s">
        <v>280</v>
      </c>
      <c r="E1526" t="s">
        <v>1013</v>
      </c>
      <c r="F1526">
        <v>3028</v>
      </c>
      <c r="G1526" t="s">
        <v>2879</v>
      </c>
      <c r="H1526" t="s">
        <v>2934</v>
      </c>
      <c r="J1526" t="s">
        <v>1110</v>
      </c>
      <c r="K1526" t="s">
        <v>1016</v>
      </c>
      <c r="L1526" t="s">
        <v>446</v>
      </c>
      <c r="Q1526" t="b">
        <v>1</v>
      </c>
      <c r="R1526" t="b">
        <v>1</v>
      </c>
      <c r="S1526" t="s">
        <v>2160</v>
      </c>
      <c r="T1526" t="s">
        <v>446</v>
      </c>
      <c r="U1526" t="s">
        <v>1951</v>
      </c>
      <c r="V1526" t="s">
        <v>1093</v>
      </c>
      <c r="W1526" t="s">
        <v>1952</v>
      </c>
      <c r="X1526" t="s">
        <v>2935</v>
      </c>
    </row>
    <row r="1527" spans="1:24" x14ac:dyDescent="0.25">
      <c r="A1527" t="s">
        <v>42</v>
      </c>
      <c r="B1527" t="s">
        <v>2942</v>
      </c>
      <c r="C1527" t="s">
        <v>280</v>
      </c>
      <c r="E1527" t="s">
        <v>1018</v>
      </c>
      <c r="F1527">
        <v>3380</v>
      </c>
      <c r="G1527" t="s">
        <v>2879</v>
      </c>
      <c r="H1527" t="s">
        <v>2934</v>
      </c>
      <c r="J1527" t="s">
        <v>1110</v>
      </c>
      <c r="K1527" t="s">
        <v>1021</v>
      </c>
      <c r="L1527" t="s">
        <v>446</v>
      </c>
      <c r="Q1527" t="b">
        <v>1</v>
      </c>
      <c r="R1527" t="b">
        <v>1</v>
      </c>
      <c r="S1527" t="s">
        <v>2160</v>
      </c>
      <c r="T1527" t="s">
        <v>446</v>
      </c>
      <c r="U1527" t="s">
        <v>1951</v>
      </c>
      <c r="V1527" t="s">
        <v>1093</v>
      </c>
      <c r="W1527" t="s">
        <v>1952</v>
      </c>
      <c r="X1527" t="s">
        <v>2935</v>
      </c>
    </row>
    <row r="1528" spans="1:24" x14ac:dyDescent="0.25">
      <c r="A1528" t="s">
        <v>42</v>
      </c>
      <c r="B1528" t="s">
        <v>2943</v>
      </c>
      <c r="C1528" t="s">
        <v>280</v>
      </c>
      <c r="E1528" t="s">
        <v>1023</v>
      </c>
      <c r="F1528">
        <v>2806</v>
      </c>
      <c r="G1528" t="s">
        <v>2879</v>
      </c>
      <c r="H1528" t="s">
        <v>2934</v>
      </c>
      <c r="J1528" t="s">
        <v>1110</v>
      </c>
      <c r="K1528" t="s">
        <v>1026</v>
      </c>
      <c r="L1528" t="s">
        <v>446</v>
      </c>
      <c r="Q1528" t="b">
        <v>1</v>
      </c>
      <c r="R1528" t="b">
        <v>1</v>
      </c>
      <c r="S1528" t="s">
        <v>2160</v>
      </c>
      <c r="T1528" t="s">
        <v>446</v>
      </c>
      <c r="U1528" t="s">
        <v>1951</v>
      </c>
      <c r="V1528" t="s">
        <v>1093</v>
      </c>
      <c r="W1528" t="s">
        <v>1952</v>
      </c>
      <c r="X1528" t="s">
        <v>446</v>
      </c>
    </row>
    <row r="1529" spans="1:24" x14ac:dyDescent="0.25">
      <c r="A1529" t="s">
        <v>42</v>
      </c>
      <c r="B1529" t="s">
        <v>2944</v>
      </c>
      <c r="C1529" t="s">
        <v>280</v>
      </c>
      <c r="E1529" t="s">
        <v>1010</v>
      </c>
      <c r="F1529">
        <v>13086</v>
      </c>
      <c r="G1529" t="s">
        <v>2879</v>
      </c>
      <c r="H1529" t="s">
        <v>2934</v>
      </c>
      <c r="J1529" t="s">
        <v>1110</v>
      </c>
      <c r="K1529" t="s">
        <v>1026</v>
      </c>
      <c r="L1529" t="s">
        <v>446</v>
      </c>
      <c r="Q1529" t="b">
        <v>1</v>
      </c>
      <c r="R1529" t="b">
        <v>1</v>
      </c>
      <c r="S1529" t="s">
        <v>2160</v>
      </c>
      <c r="T1529" t="s">
        <v>446</v>
      </c>
      <c r="U1529" t="s">
        <v>1951</v>
      </c>
      <c r="V1529" t="s">
        <v>1093</v>
      </c>
      <c r="W1529" t="s">
        <v>1952</v>
      </c>
      <c r="X1529" t="s">
        <v>2935</v>
      </c>
    </row>
    <row r="1530" spans="1:24" x14ac:dyDescent="0.25">
      <c r="A1530" t="s">
        <v>42</v>
      </c>
      <c r="B1530" t="s">
        <v>2945</v>
      </c>
      <c r="C1530" t="s">
        <v>280</v>
      </c>
      <c r="E1530" t="s">
        <v>1029</v>
      </c>
      <c r="F1530">
        <v>4057</v>
      </c>
      <c r="G1530" t="s">
        <v>2879</v>
      </c>
      <c r="H1530" t="s">
        <v>2934</v>
      </c>
      <c r="J1530" t="s">
        <v>1110</v>
      </c>
      <c r="K1530" t="s">
        <v>1033</v>
      </c>
      <c r="L1530" t="s">
        <v>446</v>
      </c>
      <c r="Q1530" t="b">
        <v>1</v>
      </c>
      <c r="R1530" t="b">
        <v>1</v>
      </c>
      <c r="S1530" t="s">
        <v>2160</v>
      </c>
      <c r="T1530" t="s">
        <v>446</v>
      </c>
      <c r="U1530" t="s">
        <v>1951</v>
      </c>
      <c r="V1530" t="s">
        <v>1093</v>
      </c>
      <c r="W1530" t="s">
        <v>1952</v>
      </c>
      <c r="X1530" t="s">
        <v>2935</v>
      </c>
    </row>
    <row r="1531" spans="1:24" x14ac:dyDescent="0.25">
      <c r="A1531" t="s">
        <v>42</v>
      </c>
      <c r="B1531" t="s">
        <v>2946</v>
      </c>
      <c r="C1531" t="s">
        <v>280</v>
      </c>
      <c r="E1531" t="s">
        <v>1035</v>
      </c>
      <c r="F1531">
        <v>4796</v>
      </c>
      <c r="G1531" t="s">
        <v>2879</v>
      </c>
      <c r="H1531" t="s">
        <v>2934</v>
      </c>
      <c r="J1531" t="s">
        <v>1110</v>
      </c>
      <c r="K1531" t="s">
        <v>1038</v>
      </c>
      <c r="L1531" t="s">
        <v>446</v>
      </c>
      <c r="Q1531" t="b">
        <v>1</v>
      </c>
      <c r="R1531" t="b">
        <v>1</v>
      </c>
      <c r="S1531" t="s">
        <v>2160</v>
      </c>
      <c r="T1531" t="s">
        <v>446</v>
      </c>
      <c r="U1531" t="s">
        <v>1951</v>
      </c>
      <c r="V1531" t="s">
        <v>1093</v>
      </c>
      <c r="W1531" t="s">
        <v>1952</v>
      </c>
      <c r="X1531" t="s">
        <v>2935</v>
      </c>
    </row>
    <row r="1532" spans="1:24" x14ac:dyDescent="0.25">
      <c r="A1532" t="s">
        <v>42</v>
      </c>
      <c r="B1532" t="s">
        <v>2949</v>
      </c>
      <c r="C1532" t="s">
        <v>280</v>
      </c>
      <c r="E1532" t="s">
        <v>1032</v>
      </c>
      <c r="F1532">
        <v>15998</v>
      </c>
      <c r="G1532" t="s">
        <v>2879</v>
      </c>
      <c r="H1532" t="s">
        <v>2934</v>
      </c>
      <c r="J1532" t="s">
        <v>1110</v>
      </c>
      <c r="K1532" t="s">
        <v>1048</v>
      </c>
      <c r="L1532" t="s">
        <v>446</v>
      </c>
      <c r="Q1532" t="b">
        <v>1</v>
      </c>
      <c r="R1532" t="b">
        <v>1</v>
      </c>
      <c r="S1532" t="s">
        <v>2160</v>
      </c>
      <c r="T1532" t="s">
        <v>446</v>
      </c>
      <c r="U1532" t="s">
        <v>1951</v>
      </c>
      <c r="V1532" t="s">
        <v>1093</v>
      </c>
      <c r="W1532" t="s">
        <v>1952</v>
      </c>
      <c r="X1532" t="s">
        <v>2935</v>
      </c>
    </row>
    <row r="1533" spans="1:24" x14ac:dyDescent="0.25">
      <c r="A1533" t="s">
        <v>42</v>
      </c>
      <c r="B1533" t="s">
        <v>2950</v>
      </c>
      <c r="C1533" t="s">
        <v>280</v>
      </c>
      <c r="E1533" t="s">
        <v>1051</v>
      </c>
      <c r="F1533">
        <v>4611</v>
      </c>
      <c r="G1533" t="s">
        <v>2879</v>
      </c>
      <c r="H1533" t="s">
        <v>2934</v>
      </c>
      <c r="J1533" t="s">
        <v>1110</v>
      </c>
      <c r="K1533" t="s">
        <v>1055</v>
      </c>
      <c r="L1533" t="s">
        <v>446</v>
      </c>
      <c r="Q1533" t="b">
        <v>1</v>
      </c>
      <c r="R1533" t="b">
        <v>1</v>
      </c>
      <c r="S1533" t="s">
        <v>2160</v>
      </c>
      <c r="T1533" t="s">
        <v>446</v>
      </c>
      <c r="U1533" t="s">
        <v>1951</v>
      </c>
      <c r="V1533" t="s">
        <v>1093</v>
      </c>
      <c r="W1533" t="s">
        <v>1952</v>
      </c>
      <c r="X1533" t="s">
        <v>2935</v>
      </c>
    </row>
    <row r="1534" spans="1:24" x14ac:dyDescent="0.25">
      <c r="A1534" t="s">
        <v>42</v>
      </c>
      <c r="B1534" t="s">
        <v>2953</v>
      </c>
      <c r="C1534" t="s">
        <v>282</v>
      </c>
      <c r="E1534" t="s">
        <v>978</v>
      </c>
      <c r="F1534">
        <v>3113</v>
      </c>
      <c r="G1534" t="s">
        <v>2879</v>
      </c>
      <c r="H1534" t="s">
        <v>2954</v>
      </c>
      <c r="J1534" t="s">
        <v>1110</v>
      </c>
      <c r="K1534" t="s">
        <v>984</v>
      </c>
      <c r="L1534" t="s">
        <v>446</v>
      </c>
      <c r="Q1534" t="b">
        <v>1</v>
      </c>
      <c r="R1534" t="b">
        <v>1</v>
      </c>
      <c r="S1534" t="s">
        <v>2160</v>
      </c>
      <c r="T1534" t="s">
        <v>446</v>
      </c>
      <c r="U1534" t="s">
        <v>1951</v>
      </c>
      <c r="V1534" t="s">
        <v>1093</v>
      </c>
      <c r="W1534" t="s">
        <v>1952</v>
      </c>
      <c r="X1534" t="s">
        <v>2955</v>
      </c>
    </row>
    <row r="1535" spans="1:24" x14ac:dyDescent="0.25">
      <c r="A1535" t="s">
        <v>42</v>
      </c>
      <c r="B1535" t="s">
        <v>2956</v>
      </c>
      <c r="C1535" t="s">
        <v>282</v>
      </c>
      <c r="E1535" t="s">
        <v>986</v>
      </c>
      <c r="F1535">
        <v>2521</v>
      </c>
      <c r="G1535" t="s">
        <v>2879</v>
      </c>
      <c r="H1535" t="s">
        <v>2954</v>
      </c>
      <c r="J1535" t="s">
        <v>1110</v>
      </c>
      <c r="K1535" t="s">
        <v>990</v>
      </c>
      <c r="L1535" t="s">
        <v>446</v>
      </c>
      <c r="Q1535" t="b">
        <v>1</v>
      </c>
      <c r="R1535" t="b">
        <v>1</v>
      </c>
      <c r="S1535" t="s">
        <v>2160</v>
      </c>
      <c r="T1535" t="s">
        <v>446</v>
      </c>
      <c r="U1535" t="s">
        <v>1951</v>
      </c>
      <c r="V1535" t="s">
        <v>1093</v>
      </c>
      <c r="W1535" t="s">
        <v>1952</v>
      </c>
      <c r="X1535" t="s">
        <v>2955</v>
      </c>
    </row>
    <row r="1536" spans="1:24" x14ac:dyDescent="0.25">
      <c r="A1536" t="s">
        <v>42</v>
      </c>
      <c r="B1536" t="s">
        <v>2957</v>
      </c>
      <c r="C1536" t="s">
        <v>282</v>
      </c>
      <c r="E1536" t="s">
        <v>992</v>
      </c>
      <c r="F1536">
        <v>3083</v>
      </c>
      <c r="G1536" t="s">
        <v>2879</v>
      </c>
      <c r="H1536" t="s">
        <v>2954</v>
      </c>
      <c r="J1536" t="s">
        <v>1110</v>
      </c>
      <c r="K1536" t="s">
        <v>996</v>
      </c>
      <c r="L1536" t="s">
        <v>446</v>
      </c>
      <c r="Q1536" t="b">
        <v>1</v>
      </c>
      <c r="R1536" t="b">
        <v>1</v>
      </c>
      <c r="S1536" t="s">
        <v>2160</v>
      </c>
      <c r="T1536" t="s">
        <v>446</v>
      </c>
      <c r="U1536" t="s">
        <v>1951</v>
      </c>
      <c r="V1536" t="s">
        <v>1093</v>
      </c>
      <c r="W1536" t="s">
        <v>1952</v>
      </c>
      <c r="X1536" t="s">
        <v>2955</v>
      </c>
    </row>
    <row r="1537" spans="1:24" x14ac:dyDescent="0.25">
      <c r="A1537" t="s">
        <v>42</v>
      </c>
      <c r="B1537" t="s">
        <v>2958</v>
      </c>
      <c r="C1537" t="s">
        <v>282</v>
      </c>
      <c r="E1537" t="s">
        <v>998</v>
      </c>
      <c r="F1537">
        <v>1986</v>
      </c>
      <c r="G1537" t="s">
        <v>2879</v>
      </c>
      <c r="H1537" t="s">
        <v>2954</v>
      </c>
      <c r="J1537" t="s">
        <v>1110</v>
      </c>
      <c r="K1537" t="s">
        <v>1003</v>
      </c>
      <c r="L1537" t="s">
        <v>446</v>
      </c>
      <c r="Q1537" t="b">
        <v>1</v>
      </c>
      <c r="R1537" t="b">
        <v>1</v>
      </c>
      <c r="S1537" t="s">
        <v>2160</v>
      </c>
      <c r="T1537" t="s">
        <v>446</v>
      </c>
      <c r="U1537" t="s">
        <v>1951</v>
      </c>
      <c r="V1537" t="s">
        <v>1093</v>
      </c>
      <c r="W1537" t="s">
        <v>1952</v>
      </c>
      <c r="X1537" t="s">
        <v>446</v>
      </c>
    </row>
    <row r="1538" spans="1:24" x14ac:dyDescent="0.25">
      <c r="A1538" t="s">
        <v>42</v>
      </c>
      <c r="B1538" t="s">
        <v>2959</v>
      </c>
      <c r="C1538" t="s">
        <v>282</v>
      </c>
      <c r="E1538" t="s">
        <v>982</v>
      </c>
      <c r="F1538">
        <v>10703</v>
      </c>
      <c r="G1538" t="s">
        <v>2879</v>
      </c>
      <c r="H1538" t="s">
        <v>2954</v>
      </c>
      <c r="J1538" t="s">
        <v>1110</v>
      </c>
      <c r="K1538" t="s">
        <v>1003</v>
      </c>
      <c r="L1538" t="s">
        <v>446</v>
      </c>
      <c r="Q1538" t="b">
        <v>1</v>
      </c>
      <c r="R1538" t="b">
        <v>1</v>
      </c>
      <c r="S1538" t="s">
        <v>2160</v>
      </c>
      <c r="T1538" t="s">
        <v>446</v>
      </c>
      <c r="U1538" t="s">
        <v>1951</v>
      </c>
      <c r="V1538" t="s">
        <v>1093</v>
      </c>
      <c r="W1538" t="s">
        <v>1952</v>
      </c>
      <c r="X1538" t="s">
        <v>2955</v>
      </c>
    </row>
    <row r="1539" spans="1:24" x14ac:dyDescent="0.25">
      <c r="A1539" t="s">
        <v>42</v>
      </c>
      <c r="B1539" t="s">
        <v>2960</v>
      </c>
      <c r="C1539" t="s">
        <v>282</v>
      </c>
      <c r="E1539" t="s">
        <v>1006</v>
      </c>
      <c r="F1539">
        <v>3185</v>
      </c>
      <c r="G1539" t="s">
        <v>2879</v>
      </c>
      <c r="H1539" t="s">
        <v>2954</v>
      </c>
      <c r="J1539" t="s">
        <v>1110</v>
      </c>
      <c r="K1539" t="s">
        <v>1967</v>
      </c>
      <c r="L1539" t="s">
        <v>446</v>
      </c>
      <c r="Q1539" t="b">
        <v>1</v>
      </c>
      <c r="R1539" t="b">
        <v>1</v>
      </c>
      <c r="S1539" t="s">
        <v>2160</v>
      </c>
      <c r="T1539" t="s">
        <v>446</v>
      </c>
      <c r="U1539" t="s">
        <v>1951</v>
      </c>
      <c r="V1539" t="s">
        <v>1093</v>
      </c>
      <c r="W1539" t="s">
        <v>1952</v>
      </c>
      <c r="X1539" t="s">
        <v>2955</v>
      </c>
    </row>
    <row r="1540" spans="1:24" x14ac:dyDescent="0.25">
      <c r="A1540" t="s">
        <v>42</v>
      </c>
      <c r="B1540" t="s">
        <v>2961</v>
      </c>
      <c r="C1540" t="s">
        <v>282</v>
      </c>
      <c r="E1540" t="s">
        <v>1013</v>
      </c>
      <c r="F1540">
        <v>2401</v>
      </c>
      <c r="G1540" t="s">
        <v>2879</v>
      </c>
      <c r="H1540" t="s">
        <v>2954</v>
      </c>
      <c r="J1540" t="s">
        <v>1110</v>
      </c>
      <c r="K1540" t="s">
        <v>1016</v>
      </c>
      <c r="L1540" t="s">
        <v>446</v>
      </c>
      <c r="Q1540" t="b">
        <v>1</v>
      </c>
      <c r="R1540" t="b">
        <v>1</v>
      </c>
      <c r="S1540" t="s">
        <v>2160</v>
      </c>
      <c r="T1540" t="s">
        <v>446</v>
      </c>
      <c r="U1540" t="s">
        <v>1951</v>
      </c>
      <c r="V1540" t="s">
        <v>1093</v>
      </c>
      <c r="W1540" t="s">
        <v>1952</v>
      </c>
      <c r="X1540" t="s">
        <v>2955</v>
      </c>
    </row>
    <row r="1541" spans="1:24" x14ac:dyDescent="0.25">
      <c r="A1541" t="s">
        <v>42</v>
      </c>
      <c r="B1541" t="s">
        <v>2962</v>
      </c>
      <c r="C1541" t="s">
        <v>282</v>
      </c>
      <c r="E1541" t="s">
        <v>1018</v>
      </c>
      <c r="F1541">
        <v>2850</v>
      </c>
      <c r="G1541" t="s">
        <v>2879</v>
      </c>
      <c r="H1541" t="s">
        <v>2954</v>
      </c>
      <c r="J1541" t="s">
        <v>1110</v>
      </c>
      <c r="K1541" t="s">
        <v>1021</v>
      </c>
      <c r="L1541" t="s">
        <v>446</v>
      </c>
      <c r="Q1541" t="b">
        <v>1</v>
      </c>
      <c r="R1541" t="b">
        <v>1</v>
      </c>
      <c r="S1541" t="s">
        <v>2160</v>
      </c>
      <c r="T1541" t="s">
        <v>446</v>
      </c>
      <c r="U1541" t="s">
        <v>1951</v>
      </c>
      <c r="V1541" t="s">
        <v>1093</v>
      </c>
      <c r="W1541" t="s">
        <v>1952</v>
      </c>
      <c r="X1541" t="s">
        <v>2955</v>
      </c>
    </row>
    <row r="1542" spans="1:24" x14ac:dyDescent="0.25">
      <c r="A1542" t="s">
        <v>42</v>
      </c>
      <c r="B1542" t="s">
        <v>2963</v>
      </c>
      <c r="C1542" t="s">
        <v>282</v>
      </c>
      <c r="E1542" t="s">
        <v>1023</v>
      </c>
      <c r="F1542">
        <v>2213</v>
      </c>
      <c r="G1542" t="s">
        <v>2879</v>
      </c>
      <c r="H1542" t="s">
        <v>2954</v>
      </c>
      <c r="J1542" t="s">
        <v>1110</v>
      </c>
      <c r="K1542" t="s">
        <v>1026</v>
      </c>
      <c r="L1542" t="s">
        <v>446</v>
      </c>
      <c r="Q1542" t="b">
        <v>1</v>
      </c>
      <c r="R1542" t="b">
        <v>1</v>
      </c>
      <c r="S1542" t="s">
        <v>2160</v>
      </c>
      <c r="T1542" t="s">
        <v>446</v>
      </c>
      <c r="U1542" t="s">
        <v>1951</v>
      </c>
      <c r="V1542" t="s">
        <v>1093</v>
      </c>
      <c r="W1542" t="s">
        <v>1952</v>
      </c>
      <c r="X1542" t="s">
        <v>446</v>
      </c>
    </row>
    <row r="1543" spans="1:24" x14ac:dyDescent="0.25">
      <c r="A1543" t="s">
        <v>42</v>
      </c>
      <c r="B1543" t="s">
        <v>2964</v>
      </c>
      <c r="C1543" t="s">
        <v>282</v>
      </c>
      <c r="E1543" t="s">
        <v>1010</v>
      </c>
      <c r="F1543">
        <v>10649</v>
      </c>
      <c r="G1543" t="s">
        <v>2879</v>
      </c>
      <c r="H1543" t="s">
        <v>2954</v>
      </c>
      <c r="J1543" t="s">
        <v>1110</v>
      </c>
      <c r="K1543" t="s">
        <v>1026</v>
      </c>
      <c r="L1543" t="s">
        <v>446</v>
      </c>
      <c r="Q1543" t="b">
        <v>1</v>
      </c>
      <c r="R1543" t="b">
        <v>1</v>
      </c>
      <c r="S1543" t="s">
        <v>2160</v>
      </c>
      <c r="T1543" t="s">
        <v>446</v>
      </c>
      <c r="U1543" t="s">
        <v>1951</v>
      </c>
      <c r="V1543" t="s">
        <v>1093</v>
      </c>
      <c r="W1543" t="s">
        <v>1952</v>
      </c>
      <c r="X1543" t="s">
        <v>2955</v>
      </c>
    </row>
    <row r="1544" spans="1:24" x14ac:dyDescent="0.25">
      <c r="A1544" t="s">
        <v>42</v>
      </c>
      <c r="B1544" t="s">
        <v>2965</v>
      </c>
      <c r="C1544" t="s">
        <v>282</v>
      </c>
      <c r="E1544" t="s">
        <v>1029</v>
      </c>
      <c r="F1544">
        <v>3335</v>
      </c>
      <c r="G1544" t="s">
        <v>2879</v>
      </c>
      <c r="H1544" t="s">
        <v>2954</v>
      </c>
      <c r="J1544" t="s">
        <v>1110</v>
      </c>
      <c r="K1544" t="s">
        <v>1033</v>
      </c>
      <c r="L1544" t="s">
        <v>446</v>
      </c>
      <c r="Q1544" t="b">
        <v>1</v>
      </c>
      <c r="R1544" t="b">
        <v>1</v>
      </c>
      <c r="S1544" t="s">
        <v>2160</v>
      </c>
      <c r="T1544" t="s">
        <v>446</v>
      </c>
      <c r="U1544" t="s">
        <v>1951</v>
      </c>
      <c r="V1544" t="s">
        <v>1093</v>
      </c>
      <c r="W1544" t="s">
        <v>1952</v>
      </c>
      <c r="X1544" t="s">
        <v>2955</v>
      </c>
    </row>
    <row r="1545" spans="1:24" x14ac:dyDescent="0.25">
      <c r="A1545" t="s">
        <v>42</v>
      </c>
      <c r="B1545" t="s">
        <v>2966</v>
      </c>
      <c r="C1545" t="s">
        <v>282</v>
      </c>
      <c r="E1545" t="s">
        <v>1035</v>
      </c>
      <c r="F1545">
        <v>3803</v>
      </c>
      <c r="G1545" t="s">
        <v>2879</v>
      </c>
      <c r="H1545" t="s">
        <v>2954</v>
      </c>
      <c r="J1545" t="s">
        <v>1110</v>
      </c>
      <c r="K1545" t="s">
        <v>1038</v>
      </c>
      <c r="L1545" t="s">
        <v>446</v>
      </c>
      <c r="Q1545" t="b">
        <v>1</v>
      </c>
      <c r="R1545" t="b">
        <v>1</v>
      </c>
      <c r="S1545" t="s">
        <v>2160</v>
      </c>
      <c r="T1545" t="s">
        <v>446</v>
      </c>
      <c r="U1545" t="s">
        <v>1951</v>
      </c>
      <c r="V1545" t="s">
        <v>1093</v>
      </c>
      <c r="W1545" t="s">
        <v>1952</v>
      </c>
      <c r="X1545" t="s">
        <v>2955</v>
      </c>
    </row>
    <row r="1546" spans="1:24" x14ac:dyDescent="0.25">
      <c r="A1546" t="s">
        <v>42</v>
      </c>
      <c r="B1546" t="s">
        <v>2967</v>
      </c>
      <c r="C1546" t="s">
        <v>282</v>
      </c>
      <c r="E1546" t="s">
        <v>1040</v>
      </c>
      <c r="F1546">
        <v>3683</v>
      </c>
      <c r="G1546" t="s">
        <v>2879</v>
      </c>
      <c r="H1546" t="s">
        <v>2954</v>
      </c>
      <c r="J1546" t="s">
        <v>1110</v>
      </c>
      <c r="K1546" t="s">
        <v>1043</v>
      </c>
      <c r="L1546" t="s">
        <v>446</v>
      </c>
      <c r="Q1546" t="b">
        <v>1</v>
      </c>
      <c r="R1546" t="b">
        <v>1</v>
      </c>
      <c r="S1546" t="s">
        <v>2160</v>
      </c>
      <c r="T1546" t="s">
        <v>446</v>
      </c>
      <c r="U1546" t="s">
        <v>1951</v>
      </c>
      <c r="V1546" t="s">
        <v>1093</v>
      </c>
      <c r="W1546" t="s">
        <v>1952</v>
      </c>
      <c r="X1546" t="s">
        <v>2955</v>
      </c>
    </row>
    <row r="1547" spans="1:24" x14ac:dyDescent="0.25">
      <c r="A1547" t="s">
        <v>42</v>
      </c>
      <c r="B1547" t="s">
        <v>2968</v>
      </c>
      <c r="C1547" t="s">
        <v>282</v>
      </c>
      <c r="E1547" t="s">
        <v>1045</v>
      </c>
      <c r="F1547">
        <v>2316</v>
      </c>
      <c r="G1547" t="s">
        <v>2879</v>
      </c>
      <c r="H1547" t="s">
        <v>2954</v>
      </c>
      <c r="J1547" t="s">
        <v>1110</v>
      </c>
      <c r="K1547" t="s">
        <v>1048</v>
      </c>
      <c r="L1547" t="s">
        <v>446</v>
      </c>
      <c r="Q1547" t="b">
        <v>1</v>
      </c>
      <c r="R1547" t="b">
        <v>1</v>
      </c>
      <c r="S1547" t="s">
        <v>2160</v>
      </c>
      <c r="T1547" t="s">
        <v>446</v>
      </c>
      <c r="U1547" t="s">
        <v>1951</v>
      </c>
      <c r="V1547" t="s">
        <v>1093</v>
      </c>
      <c r="W1547" t="s">
        <v>1952</v>
      </c>
      <c r="X1547" t="s">
        <v>446</v>
      </c>
    </row>
    <row r="1548" spans="1:24" x14ac:dyDescent="0.25">
      <c r="A1548" t="s">
        <v>42</v>
      </c>
      <c r="B1548" t="s">
        <v>2969</v>
      </c>
      <c r="C1548" t="s">
        <v>282</v>
      </c>
      <c r="E1548" t="s">
        <v>1032</v>
      </c>
      <c r="F1548">
        <v>13137</v>
      </c>
      <c r="G1548" t="s">
        <v>2879</v>
      </c>
      <c r="H1548" t="s">
        <v>2954</v>
      </c>
      <c r="J1548" t="s">
        <v>1110</v>
      </c>
      <c r="K1548" t="s">
        <v>1048</v>
      </c>
      <c r="L1548" t="s">
        <v>446</v>
      </c>
      <c r="Q1548" t="b">
        <v>1</v>
      </c>
      <c r="R1548" t="b">
        <v>1</v>
      </c>
      <c r="S1548" t="s">
        <v>2160</v>
      </c>
      <c r="T1548" t="s">
        <v>446</v>
      </c>
      <c r="U1548" t="s">
        <v>1951</v>
      </c>
      <c r="V1548" t="s">
        <v>1093</v>
      </c>
      <c r="W1548" t="s">
        <v>1952</v>
      </c>
      <c r="X1548" t="s">
        <v>2955</v>
      </c>
    </row>
    <row r="1549" spans="1:24" x14ac:dyDescent="0.25">
      <c r="A1549" t="s">
        <v>42</v>
      </c>
      <c r="B1549" t="s">
        <v>2970</v>
      </c>
      <c r="C1549" t="s">
        <v>282</v>
      </c>
      <c r="E1549" t="s">
        <v>1051</v>
      </c>
      <c r="F1549">
        <v>3966</v>
      </c>
      <c r="G1549" t="s">
        <v>2879</v>
      </c>
      <c r="H1549" t="s">
        <v>2954</v>
      </c>
      <c r="J1549" t="s">
        <v>1110</v>
      </c>
      <c r="K1549" t="s">
        <v>1055</v>
      </c>
      <c r="L1549" t="s">
        <v>446</v>
      </c>
      <c r="Q1549" t="b">
        <v>1</v>
      </c>
      <c r="R1549" t="b">
        <v>1</v>
      </c>
      <c r="S1549" t="s">
        <v>2160</v>
      </c>
      <c r="T1549" t="s">
        <v>446</v>
      </c>
      <c r="U1549" t="s">
        <v>1951</v>
      </c>
      <c r="V1549" t="s">
        <v>1093</v>
      </c>
      <c r="W1549" t="s">
        <v>1952</v>
      </c>
      <c r="X1549" t="s">
        <v>2955</v>
      </c>
    </row>
    <row r="1550" spans="1:24" x14ac:dyDescent="0.25">
      <c r="A1550" t="s">
        <v>42</v>
      </c>
      <c r="B1550" t="s">
        <v>2902</v>
      </c>
      <c r="C1550" t="s">
        <v>270</v>
      </c>
      <c r="E1550" t="s">
        <v>998</v>
      </c>
      <c r="F1550">
        <v>6215</v>
      </c>
      <c r="G1550" t="s">
        <v>2879</v>
      </c>
      <c r="H1550" t="s">
        <v>2898</v>
      </c>
      <c r="J1550" t="s">
        <v>1110</v>
      </c>
      <c r="K1550" t="s">
        <v>1003</v>
      </c>
      <c r="L1550" t="s">
        <v>446</v>
      </c>
      <c r="Q1550" t="b">
        <v>1</v>
      </c>
      <c r="R1550" t="b">
        <v>1</v>
      </c>
      <c r="S1550" t="s">
        <v>2160</v>
      </c>
      <c r="T1550" t="s">
        <v>446</v>
      </c>
      <c r="U1550" t="s">
        <v>1951</v>
      </c>
      <c r="V1550" t="s">
        <v>1093</v>
      </c>
      <c r="W1550" t="s">
        <v>1952</v>
      </c>
      <c r="X1550" t="s">
        <v>446</v>
      </c>
    </row>
    <row r="1551" spans="1:24" x14ac:dyDescent="0.25">
      <c r="A1551" t="s">
        <v>42</v>
      </c>
      <c r="B1551" t="s">
        <v>2903</v>
      </c>
      <c r="C1551" t="s">
        <v>270</v>
      </c>
      <c r="E1551" t="s">
        <v>982</v>
      </c>
      <c r="F1551">
        <v>27234</v>
      </c>
      <c r="G1551" t="s">
        <v>2879</v>
      </c>
      <c r="H1551" t="s">
        <v>2898</v>
      </c>
      <c r="J1551" t="s">
        <v>1110</v>
      </c>
      <c r="K1551" t="s">
        <v>1003</v>
      </c>
      <c r="L1551" t="s">
        <v>446</v>
      </c>
      <c r="Q1551" t="b">
        <v>1</v>
      </c>
      <c r="R1551" t="b">
        <v>1</v>
      </c>
      <c r="S1551" t="s">
        <v>2160</v>
      </c>
      <c r="T1551" t="s">
        <v>446</v>
      </c>
      <c r="U1551" t="s">
        <v>1951</v>
      </c>
      <c r="V1551" t="s">
        <v>1093</v>
      </c>
      <c r="W1551" t="s">
        <v>1952</v>
      </c>
      <c r="X1551" t="s">
        <v>2899</v>
      </c>
    </row>
    <row r="1552" spans="1:24" x14ac:dyDescent="0.25">
      <c r="A1552" t="s">
        <v>42</v>
      </c>
      <c r="B1552" t="s">
        <v>2920</v>
      </c>
      <c r="C1552" t="s">
        <v>275</v>
      </c>
      <c r="E1552" t="s">
        <v>998</v>
      </c>
      <c r="F1552">
        <v>2273</v>
      </c>
      <c r="G1552" t="s">
        <v>2879</v>
      </c>
      <c r="H1552" t="s">
        <v>2916</v>
      </c>
      <c r="J1552" t="s">
        <v>1110</v>
      </c>
      <c r="K1552" t="s">
        <v>1003</v>
      </c>
      <c r="L1552" t="s">
        <v>446</v>
      </c>
      <c r="Q1552" t="b">
        <v>1</v>
      </c>
      <c r="R1552" t="b">
        <v>1</v>
      </c>
      <c r="S1552" t="s">
        <v>2160</v>
      </c>
      <c r="T1552" t="s">
        <v>446</v>
      </c>
      <c r="U1552" t="s">
        <v>1951</v>
      </c>
      <c r="V1552" t="s">
        <v>1093</v>
      </c>
      <c r="W1552" t="s">
        <v>1952</v>
      </c>
      <c r="X1552" t="s">
        <v>446</v>
      </c>
    </row>
    <row r="1553" spans="1:24" x14ac:dyDescent="0.25">
      <c r="A1553" t="s">
        <v>42</v>
      </c>
      <c r="B1553" t="s">
        <v>2921</v>
      </c>
      <c r="C1553" t="s">
        <v>275</v>
      </c>
      <c r="E1553" t="s">
        <v>982</v>
      </c>
      <c r="F1553">
        <v>11311</v>
      </c>
      <c r="G1553" t="s">
        <v>2879</v>
      </c>
      <c r="H1553" t="s">
        <v>2916</v>
      </c>
      <c r="J1553" t="s">
        <v>1110</v>
      </c>
      <c r="K1553" t="s">
        <v>1003</v>
      </c>
      <c r="L1553" t="s">
        <v>446</v>
      </c>
      <c r="Q1553" t="b">
        <v>1</v>
      </c>
      <c r="R1553" t="b">
        <v>1</v>
      </c>
      <c r="S1553" t="s">
        <v>2160</v>
      </c>
      <c r="T1553" t="s">
        <v>446</v>
      </c>
      <c r="U1553" t="s">
        <v>1951</v>
      </c>
      <c r="V1553" t="s">
        <v>1093</v>
      </c>
      <c r="W1553" t="s">
        <v>1952</v>
      </c>
      <c r="X1553" t="s">
        <v>2917</v>
      </c>
    </row>
    <row r="1554" spans="1:24" x14ac:dyDescent="0.25">
      <c r="A1554" t="s">
        <v>42</v>
      </c>
      <c r="B1554" t="s">
        <v>2923</v>
      </c>
      <c r="C1554" t="s">
        <v>275</v>
      </c>
      <c r="E1554" t="s">
        <v>1013</v>
      </c>
      <c r="F1554">
        <v>2632</v>
      </c>
      <c r="G1554" t="s">
        <v>2879</v>
      </c>
      <c r="H1554" t="s">
        <v>2916</v>
      </c>
      <c r="J1554" t="s">
        <v>1110</v>
      </c>
      <c r="K1554" t="s">
        <v>1016</v>
      </c>
      <c r="L1554" t="s">
        <v>446</v>
      </c>
      <c r="Q1554" t="b">
        <v>1</v>
      </c>
      <c r="R1554" t="b">
        <v>1</v>
      </c>
      <c r="S1554" t="s">
        <v>2160</v>
      </c>
      <c r="T1554" t="s">
        <v>446</v>
      </c>
      <c r="U1554" t="s">
        <v>1951</v>
      </c>
      <c r="V1554" t="s">
        <v>1093</v>
      </c>
      <c r="W1554" t="s">
        <v>1952</v>
      </c>
      <c r="X1554" t="s">
        <v>2917</v>
      </c>
    </row>
    <row r="1555" spans="1:24" x14ac:dyDescent="0.25">
      <c r="A1555" t="s">
        <v>42</v>
      </c>
      <c r="B1555" t="s">
        <v>2924</v>
      </c>
      <c r="C1555" t="s">
        <v>275</v>
      </c>
      <c r="E1555" t="s">
        <v>1018</v>
      </c>
      <c r="F1555">
        <v>2510</v>
      </c>
      <c r="G1555" t="s">
        <v>2879</v>
      </c>
      <c r="H1555" t="s">
        <v>2916</v>
      </c>
      <c r="J1555" t="s">
        <v>1110</v>
      </c>
      <c r="K1555" t="s">
        <v>1021</v>
      </c>
      <c r="L1555" t="s">
        <v>446</v>
      </c>
      <c r="Q1555" t="b">
        <v>1</v>
      </c>
      <c r="R1555" t="b">
        <v>1</v>
      </c>
      <c r="S1555" t="s">
        <v>2160</v>
      </c>
      <c r="T1555" t="s">
        <v>446</v>
      </c>
      <c r="U1555" t="s">
        <v>1951</v>
      </c>
      <c r="V1555" t="s">
        <v>1093</v>
      </c>
      <c r="W1555" t="s">
        <v>1952</v>
      </c>
      <c r="X1555" t="s">
        <v>2917</v>
      </c>
    </row>
    <row r="1556" spans="1:24" x14ac:dyDescent="0.25">
      <c r="A1556" t="s">
        <v>42</v>
      </c>
      <c r="B1556" t="s">
        <v>2925</v>
      </c>
      <c r="C1556" t="s">
        <v>275</v>
      </c>
      <c r="E1556" t="s">
        <v>1023</v>
      </c>
      <c r="F1556">
        <v>2709</v>
      </c>
      <c r="G1556" t="s">
        <v>2879</v>
      </c>
      <c r="H1556" t="s">
        <v>2916</v>
      </c>
      <c r="J1556" t="s">
        <v>1110</v>
      </c>
      <c r="K1556" t="s">
        <v>1026</v>
      </c>
      <c r="L1556" t="s">
        <v>446</v>
      </c>
      <c r="Q1556" t="b">
        <v>1</v>
      </c>
      <c r="R1556" t="b">
        <v>1</v>
      </c>
      <c r="S1556" t="s">
        <v>2160</v>
      </c>
      <c r="T1556" t="s">
        <v>446</v>
      </c>
      <c r="U1556" t="s">
        <v>1951</v>
      </c>
      <c r="V1556" t="s">
        <v>1093</v>
      </c>
      <c r="W1556" t="s">
        <v>1952</v>
      </c>
      <c r="X1556" t="s">
        <v>446</v>
      </c>
    </row>
    <row r="1557" spans="1:24" x14ac:dyDescent="0.25">
      <c r="A1557" t="s">
        <v>42</v>
      </c>
      <c r="B1557" t="s">
        <v>2926</v>
      </c>
      <c r="C1557" t="s">
        <v>275</v>
      </c>
      <c r="E1557" t="s">
        <v>1010</v>
      </c>
      <c r="F1557">
        <v>9992</v>
      </c>
      <c r="G1557" t="s">
        <v>2879</v>
      </c>
      <c r="H1557" t="s">
        <v>2916</v>
      </c>
      <c r="J1557" t="s">
        <v>1110</v>
      </c>
      <c r="K1557" t="s">
        <v>1026</v>
      </c>
      <c r="L1557" t="s">
        <v>446</v>
      </c>
      <c r="Q1557" t="b">
        <v>1</v>
      </c>
      <c r="R1557" t="b">
        <v>1</v>
      </c>
      <c r="S1557" t="s">
        <v>2160</v>
      </c>
      <c r="T1557" t="s">
        <v>446</v>
      </c>
      <c r="U1557" t="s">
        <v>1951</v>
      </c>
      <c r="V1557" t="s">
        <v>1093</v>
      </c>
      <c r="W1557" t="s">
        <v>1952</v>
      </c>
      <c r="X1557" t="s">
        <v>2917</v>
      </c>
    </row>
    <row r="1558" spans="1:24" x14ac:dyDescent="0.25">
      <c r="A1558" t="s">
        <v>42</v>
      </c>
      <c r="B1558" t="s">
        <v>2927</v>
      </c>
      <c r="C1558" t="s">
        <v>275</v>
      </c>
      <c r="E1558" t="s">
        <v>1029</v>
      </c>
      <c r="F1558">
        <v>3659</v>
      </c>
      <c r="G1558" t="s">
        <v>2879</v>
      </c>
      <c r="H1558" t="s">
        <v>2916</v>
      </c>
      <c r="J1558" t="s">
        <v>1110</v>
      </c>
      <c r="K1558" t="s">
        <v>1033</v>
      </c>
      <c r="L1558" t="s">
        <v>446</v>
      </c>
      <c r="Q1558" t="b">
        <v>1</v>
      </c>
      <c r="R1558" t="b">
        <v>1</v>
      </c>
      <c r="S1558" t="s">
        <v>2160</v>
      </c>
      <c r="T1558" t="s">
        <v>446</v>
      </c>
      <c r="U1558" t="s">
        <v>1951</v>
      </c>
      <c r="V1558" t="s">
        <v>1093</v>
      </c>
      <c r="W1558" t="s">
        <v>1952</v>
      </c>
      <c r="X1558" t="s">
        <v>2917</v>
      </c>
    </row>
    <row r="1559" spans="1:24" x14ac:dyDescent="0.25">
      <c r="A1559" t="s">
        <v>42</v>
      </c>
      <c r="B1559" t="s">
        <v>2928</v>
      </c>
      <c r="C1559" t="s">
        <v>275</v>
      </c>
      <c r="E1559" t="s">
        <v>1035</v>
      </c>
      <c r="F1559">
        <v>4280</v>
      </c>
      <c r="G1559" t="s">
        <v>2879</v>
      </c>
      <c r="H1559" t="s">
        <v>2916</v>
      </c>
      <c r="J1559" t="s">
        <v>1110</v>
      </c>
      <c r="K1559" t="s">
        <v>1038</v>
      </c>
      <c r="L1559" t="s">
        <v>446</v>
      </c>
      <c r="Q1559" t="b">
        <v>1</v>
      </c>
      <c r="R1559" t="b">
        <v>1</v>
      </c>
      <c r="S1559" t="s">
        <v>2160</v>
      </c>
      <c r="T1559" t="s">
        <v>446</v>
      </c>
      <c r="U1559" t="s">
        <v>1951</v>
      </c>
      <c r="V1559" t="s">
        <v>1093</v>
      </c>
      <c r="W1559" t="s">
        <v>1952</v>
      </c>
      <c r="X1559" t="s">
        <v>2917</v>
      </c>
    </row>
    <row r="1560" spans="1:24" x14ac:dyDescent="0.25">
      <c r="A1560" t="s">
        <v>42</v>
      </c>
      <c r="B1560" t="s">
        <v>2929</v>
      </c>
      <c r="C1560" t="s">
        <v>275</v>
      </c>
      <c r="E1560" t="s">
        <v>1040</v>
      </c>
      <c r="F1560">
        <v>3982</v>
      </c>
      <c r="G1560" t="s">
        <v>2879</v>
      </c>
      <c r="H1560" t="s">
        <v>2916</v>
      </c>
      <c r="J1560" t="s">
        <v>1110</v>
      </c>
      <c r="K1560" t="s">
        <v>1043</v>
      </c>
      <c r="L1560" t="s">
        <v>446</v>
      </c>
      <c r="Q1560" t="b">
        <v>1</v>
      </c>
      <c r="R1560" t="b">
        <v>1</v>
      </c>
      <c r="S1560" t="s">
        <v>2160</v>
      </c>
      <c r="T1560" t="s">
        <v>446</v>
      </c>
      <c r="U1560" t="s">
        <v>1951</v>
      </c>
      <c r="V1560" t="s">
        <v>1093</v>
      </c>
      <c r="W1560" t="s">
        <v>1952</v>
      </c>
      <c r="X1560" t="s">
        <v>2917</v>
      </c>
    </row>
    <row r="1561" spans="1:24" x14ac:dyDescent="0.25">
      <c r="A1561" t="s">
        <v>42</v>
      </c>
      <c r="B1561" t="s">
        <v>2930</v>
      </c>
      <c r="C1561" t="s">
        <v>275</v>
      </c>
      <c r="E1561" t="s">
        <v>1045</v>
      </c>
      <c r="F1561">
        <v>1841</v>
      </c>
      <c r="G1561" t="s">
        <v>2879</v>
      </c>
      <c r="H1561" t="s">
        <v>2916</v>
      </c>
      <c r="J1561" t="s">
        <v>1110</v>
      </c>
      <c r="K1561" t="s">
        <v>1048</v>
      </c>
      <c r="L1561" t="s">
        <v>446</v>
      </c>
      <c r="Q1561" t="b">
        <v>1</v>
      </c>
      <c r="R1561" t="b">
        <v>1</v>
      </c>
      <c r="S1561" t="s">
        <v>2160</v>
      </c>
      <c r="T1561" t="s">
        <v>446</v>
      </c>
      <c r="U1561" t="s">
        <v>1951</v>
      </c>
      <c r="V1561" t="s">
        <v>1093</v>
      </c>
      <c r="W1561" t="s">
        <v>1952</v>
      </c>
      <c r="X1561" t="s">
        <v>446</v>
      </c>
    </row>
    <row r="1562" spans="1:24" x14ac:dyDescent="0.25">
      <c r="A1562" t="s">
        <v>42</v>
      </c>
      <c r="B1562" t="s">
        <v>2931</v>
      </c>
      <c r="C1562" t="s">
        <v>275</v>
      </c>
      <c r="E1562" t="s">
        <v>1032</v>
      </c>
      <c r="F1562">
        <v>13762</v>
      </c>
      <c r="G1562" t="s">
        <v>2879</v>
      </c>
      <c r="H1562" t="s">
        <v>2916</v>
      </c>
      <c r="J1562" t="s">
        <v>1110</v>
      </c>
      <c r="K1562" t="s">
        <v>1048</v>
      </c>
      <c r="L1562" t="s">
        <v>446</v>
      </c>
      <c r="Q1562" t="b">
        <v>1</v>
      </c>
      <c r="R1562" t="b">
        <v>1</v>
      </c>
      <c r="S1562" t="s">
        <v>2160</v>
      </c>
      <c r="T1562" t="s">
        <v>446</v>
      </c>
      <c r="U1562" t="s">
        <v>1951</v>
      </c>
      <c r="V1562" t="s">
        <v>1093</v>
      </c>
      <c r="W1562" t="s">
        <v>1952</v>
      </c>
      <c r="X1562" t="s">
        <v>2917</v>
      </c>
    </row>
    <row r="1563" spans="1:24" x14ac:dyDescent="0.25">
      <c r="A1563" t="s">
        <v>42</v>
      </c>
      <c r="B1563" t="s">
        <v>2932</v>
      </c>
      <c r="C1563" t="s">
        <v>275</v>
      </c>
      <c r="E1563" t="s">
        <v>1051</v>
      </c>
      <c r="F1563">
        <v>4359</v>
      </c>
      <c r="G1563" t="s">
        <v>2879</v>
      </c>
      <c r="H1563" t="s">
        <v>2916</v>
      </c>
      <c r="J1563" t="s">
        <v>1110</v>
      </c>
      <c r="K1563" t="s">
        <v>1055</v>
      </c>
      <c r="L1563" t="s">
        <v>446</v>
      </c>
      <c r="Q1563" t="b">
        <v>1</v>
      </c>
      <c r="R1563" t="b">
        <v>1</v>
      </c>
      <c r="S1563" t="s">
        <v>2160</v>
      </c>
      <c r="T1563" t="s">
        <v>446</v>
      </c>
      <c r="U1563" t="s">
        <v>1951</v>
      </c>
      <c r="V1563" t="s">
        <v>1093</v>
      </c>
      <c r="W1563" t="s">
        <v>1952</v>
      </c>
      <c r="X1563" t="s">
        <v>2917</v>
      </c>
    </row>
    <row r="1564" spans="1:24" x14ac:dyDescent="0.25">
      <c r="A1564" t="s">
        <v>42</v>
      </c>
      <c r="B1564" t="s">
        <v>2933</v>
      </c>
      <c r="C1564" t="s">
        <v>280</v>
      </c>
      <c r="E1564" t="s">
        <v>978</v>
      </c>
      <c r="F1564">
        <v>4053</v>
      </c>
      <c r="G1564" t="s">
        <v>2879</v>
      </c>
      <c r="H1564" t="s">
        <v>2934</v>
      </c>
      <c r="J1564" t="s">
        <v>1110</v>
      </c>
      <c r="K1564" t="s">
        <v>984</v>
      </c>
      <c r="L1564" t="s">
        <v>446</v>
      </c>
      <c r="Q1564" t="b">
        <v>1</v>
      </c>
      <c r="R1564" t="b">
        <v>1</v>
      </c>
      <c r="S1564" t="s">
        <v>2160</v>
      </c>
      <c r="T1564" t="s">
        <v>446</v>
      </c>
      <c r="U1564" t="s">
        <v>1951</v>
      </c>
      <c r="V1564" t="s">
        <v>1093</v>
      </c>
      <c r="W1564" t="s">
        <v>1952</v>
      </c>
      <c r="X1564" t="s">
        <v>2935</v>
      </c>
    </row>
    <row r="1565" spans="1:24" x14ac:dyDescent="0.25">
      <c r="A1565" t="s">
        <v>42</v>
      </c>
      <c r="B1565" t="s">
        <v>2936</v>
      </c>
      <c r="C1565" t="s">
        <v>280</v>
      </c>
      <c r="E1565" t="s">
        <v>986</v>
      </c>
      <c r="F1565">
        <v>2880</v>
      </c>
      <c r="G1565" t="s">
        <v>2879</v>
      </c>
      <c r="H1565" t="s">
        <v>2934</v>
      </c>
      <c r="J1565" t="s">
        <v>1110</v>
      </c>
      <c r="K1565" t="s">
        <v>990</v>
      </c>
      <c r="L1565" t="s">
        <v>446</v>
      </c>
      <c r="Q1565" t="b">
        <v>1</v>
      </c>
      <c r="R1565" t="b">
        <v>1</v>
      </c>
      <c r="S1565" t="s">
        <v>2160</v>
      </c>
      <c r="T1565" t="s">
        <v>446</v>
      </c>
      <c r="U1565" t="s">
        <v>1951</v>
      </c>
      <c r="V1565" t="s">
        <v>1093</v>
      </c>
      <c r="W1565" t="s">
        <v>1952</v>
      </c>
      <c r="X1565" t="s">
        <v>2935</v>
      </c>
    </row>
    <row r="1566" spans="1:24" x14ac:dyDescent="0.25">
      <c r="A1566" t="s">
        <v>42</v>
      </c>
      <c r="B1566" t="s">
        <v>2937</v>
      </c>
      <c r="C1566" t="s">
        <v>280</v>
      </c>
      <c r="E1566" t="s">
        <v>992</v>
      </c>
      <c r="F1566">
        <v>3537</v>
      </c>
      <c r="G1566" t="s">
        <v>2879</v>
      </c>
      <c r="H1566" t="s">
        <v>2934</v>
      </c>
      <c r="J1566" t="s">
        <v>1110</v>
      </c>
      <c r="K1566" t="s">
        <v>996</v>
      </c>
      <c r="L1566" t="s">
        <v>446</v>
      </c>
      <c r="Q1566" t="b">
        <v>1</v>
      </c>
      <c r="R1566" t="b">
        <v>1</v>
      </c>
      <c r="S1566" t="s">
        <v>2160</v>
      </c>
      <c r="T1566" t="s">
        <v>446</v>
      </c>
      <c r="U1566" t="s">
        <v>1951</v>
      </c>
      <c r="V1566" t="s">
        <v>1093</v>
      </c>
      <c r="W1566" t="s">
        <v>1952</v>
      </c>
      <c r="X1566" t="s">
        <v>2935</v>
      </c>
    </row>
    <row r="1567" spans="1:24" x14ac:dyDescent="0.25">
      <c r="A1567" t="s">
        <v>42</v>
      </c>
      <c r="B1567" t="s">
        <v>2938</v>
      </c>
      <c r="C1567" t="s">
        <v>280</v>
      </c>
      <c r="E1567" t="s">
        <v>998</v>
      </c>
      <c r="F1567">
        <v>2482</v>
      </c>
      <c r="G1567" t="s">
        <v>2879</v>
      </c>
      <c r="H1567" t="s">
        <v>2934</v>
      </c>
      <c r="J1567" t="s">
        <v>1110</v>
      </c>
      <c r="K1567" t="s">
        <v>1003</v>
      </c>
      <c r="L1567" t="s">
        <v>446</v>
      </c>
      <c r="Q1567" t="b">
        <v>1</v>
      </c>
      <c r="R1567" t="b">
        <v>1</v>
      </c>
      <c r="S1567" t="s">
        <v>2160</v>
      </c>
      <c r="T1567" t="s">
        <v>446</v>
      </c>
      <c r="U1567" t="s">
        <v>1951</v>
      </c>
      <c r="V1567" t="s">
        <v>1093</v>
      </c>
      <c r="W1567" t="s">
        <v>1952</v>
      </c>
      <c r="X1567" t="s">
        <v>446</v>
      </c>
    </row>
    <row r="1568" spans="1:24" x14ac:dyDescent="0.25">
      <c r="A1568" t="s">
        <v>42</v>
      </c>
      <c r="B1568" t="s">
        <v>2939</v>
      </c>
      <c r="C1568" t="s">
        <v>280</v>
      </c>
      <c r="E1568" t="s">
        <v>982</v>
      </c>
      <c r="F1568">
        <v>12952</v>
      </c>
      <c r="G1568" t="s">
        <v>2879</v>
      </c>
      <c r="H1568" t="s">
        <v>2934</v>
      </c>
      <c r="J1568" t="s">
        <v>1110</v>
      </c>
      <c r="K1568" t="s">
        <v>1003</v>
      </c>
      <c r="L1568" t="s">
        <v>446</v>
      </c>
      <c r="Q1568" t="b">
        <v>1</v>
      </c>
      <c r="R1568" t="b">
        <v>1</v>
      </c>
      <c r="S1568" t="s">
        <v>2160</v>
      </c>
      <c r="T1568" t="s">
        <v>446</v>
      </c>
      <c r="U1568" t="s">
        <v>1951</v>
      </c>
      <c r="V1568" t="s">
        <v>1093</v>
      </c>
      <c r="W1568" t="s">
        <v>1952</v>
      </c>
      <c r="X1568" t="s">
        <v>2935</v>
      </c>
    </row>
    <row r="1569" spans="1:24" x14ac:dyDescent="0.25">
      <c r="A1569" t="s">
        <v>42</v>
      </c>
      <c r="B1569" t="s">
        <v>2940</v>
      </c>
      <c r="C1569" t="s">
        <v>280</v>
      </c>
      <c r="E1569" t="s">
        <v>1006</v>
      </c>
      <c r="F1569">
        <v>3872</v>
      </c>
      <c r="G1569" t="s">
        <v>2879</v>
      </c>
      <c r="H1569" t="s">
        <v>2934</v>
      </c>
      <c r="J1569" t="s">
        <v>1110</v>
      </c>
      <c r="K1569" t="s">
        <v>1967</v>
      </c>
      <c r="L1569" t="s">
        <v>446</v>
      </c>
      <c r="Q1569" t="b">
        <v>1</v>
      </c>
      <c r="R1569" t="b">
        <v>1</v>
      </c>
      <c r="S1569" t="s">
        <v>2160</v>
      </c>
      <c r="T1569" t="s">
        <v>446</v>
      </c>
      <c r="U1569" t="s">
        <v>1951</v>
      </c>
      <c r="V1569" t="s">
        <v>1093</v>
      </c>
      <c r="W1569" t="s">
        <v>1952</v>
      </c>
      <c r="X1569" t="s">
        <v>2935</v>
      </c>
    </row>
    <row r="1570" spans="1:24" x14ac:dyDescent="0.25">
      <c r="A1570" t="s">
        <v>42</v>
      </c>
      <c r="B1570" t="s">
        <v>2941</v>
      </c>
      <c r="C1570" t="s">
        <v>280</v>
      </c>
      <c r="E1570" t="s">
        <v>1013</v>
      </c>
      <c r="F1570">
        <v>3028</v>
      </c>
      <c r="G1570" t="s">
        <v>2879</v>
      </c>
      <c r="H1570" t="s">
        <v>2934</v>
      </c>
      <c r="J1570" t="s">
        <v>1110</v>
      </c>
      <c r="K1570" t="s">
        <v>1016</v>
      </c>
      <c r="L1570" t="s">
        <v>446</v>
      </c>
      <c r="Q1570" t="b">
        <v>1</v>
      </c>
      <c r="R1570" t="b">
        <v>1</v>
      </c>
      <c r="S1570" t="s">
        <v>2160</v>
      </c>
      <c r="T1570" t="s">
        <v>446</v>
      </c>
      <c r="U1570" t="s">
        <v>1951</v>
      </c>
      <c r="V1570" t="s">
        <v>1093</v>
      </c>
      <c r="W1570" t="s">
        <v>1952</v>
      </c>
      <c r="X1570" t="s">
        <v>2935</v>
      </c>
    </row>
    <row r="1571" spans="1:24" x14ac:dyDescent="0.25">
      <c r="A1571" t="s">
        <v>42</v>
      </c>
      <c r="B1571" t="s">
        <v>2942</v>
      </c>
      <c r="C1571" t="s">
        <v>280</v>
      </c>
      <c r="E1571" t="s">
        <v>1018</v>
      </c>
      <c r="F1571">
        <v>3380</v>
      </c>
      <c r="G1571" t="s">
        <v>2879</v>
      </c>
      <c r="H1571" t="s">
        <v>2934</v>
      </c>
      <c r="J1571" t="s">
        <v>1110</v>
      </c>
      <c r="K1571" t="s">
        <v>1021</v>
      </c>
      <c r="L1571" t="s">
        <v>446</v>
      </c>
      <c r="Q1571" t="b">
        <v>1</v>
      </c>
      <c r="R1571" t="b">
        <v>1</v>
      </c>
      <c r="S1571" t="s">
        <v>2160</v>
      </c>
      <c r="T1571" t="s">
        <v>446</v>
      </c>
      <c r="U1571" t="s">
        <v>1951</v>
      </c>
      <c r="V1571" t="s">
        <v>1093</v>
      </c>
      <c r="W1571" t="s">
        <v>1952</v>
      </c>
      <c r="X1571" t="s">
        <v>2935</v>
      </c>
    </row>
    <row r="1572" spans="1:24" x14ac:dyDescent="0.25">
      <c r="A1572" t="s">
        <v>42</v>
      </c>
      <c r="B1572" t="s">
        <v>2943</v>
      </c>
      <c r="C1572" t="s">
        <v>280</v>
      </c>
      <c r="E1572" t="s">
        <v>1023</v>
      </c>
      <c r="F1572">
        <v>2806</v>
      </c>
      <c r="G1572" t="s">
        <v>2879</v>
      </c>
      <c r="H1572" t="s">
        <v>2934</v>
      </c>
      <c r="J1572" t="s">
        <v>1110</v>
      </c>
      <c r="K1572" t="s">
        <v>1026</v>
      </c>
      <c r="L1572" t="s">
        <v>446</v>
      </c>
      <c r="Q1572" t="b">
        <v>1</v>
      </c>
      <c r="R1572" t="b">
        <v>1</v>
      </c>
      <c r="S1572" t="s">
        <v>2160</v>
      </c>
      <c r="T1572" t="s">
        <v>446</v>
      </c>
      <c r="U1572" t="s">
        <v>1951</v>
      </c>
      <c r="V1572" t="s">
        <v>1093</v>
      </c>
      <c r="W1572" t="s">
        <v>1952</v>
      </c>
      <c r="X1572" t="s">
        <v>446</v>
      </c>
    </row>
    <row r="1573" spans="1:24" x14ac:dyDescent="0.25">
      <c r="A1573" t="s">
        <v>42</v>
      </c>
      <c r="B1573" t="s">
        <v>2944</v>
      </c>
      <c r="C1573" t="s">
        <v>280</v>
      </c>
      <c r="E1573" t="s">
        <v>1010</v>
      </c>
      <c r="F1573">
        <v>13086</v>
      </c>
      <c r="G1573" t="s">
        <v>2879</v>
      </c>
      <c r="H1573" t="s">
        <v>2934</v>
      </c>
      <c r="J1573" t="s">
        <v>1110</v>
      </c>
      <c r="K1573" t="s">
        <v>1026</v>
      </c>
      <c r="L1573" t="s">
        <v>446</v>
      </c>
      <c r="Q1573" t="b">
        <v>1</v>
      </c>
      <c r="R1573" t="b">
        <v>1</v>
      </c>
      <c r="S1573" t="s">
        <v>2160</v>
      </c>
      <c r="T1573" t="s">
        <v>446</v>
      </c>
      <c r="U1573" t="s">
        <v>1951</v>
      </c>
      <c r="V1573" t="s">
        <v>1093</v>
      </c>
      <c r="W1573" t="s">
        <v>1952</v>
      </c>
      <c r="X1573" t="s">
        <v>2935</v>
      </c>
    </row>
    <row r="1574" spans="1:24" x14ac:dyDescent="0.25">
      <c r="A1574" t="s">
        <v>42</v>
      </c>
      <c r="B1574" t="s">
        <v>2945</v>
      </c>
      <c r="C1574" t="s">
        <v>280</v>
      </c>
      <c r="E1574" t="s">
        <v>1029</v>
      </c>
      <c r="F1574">
        <v>4057</v>
      </c>
      <c r="G1574" t="s">
        <v>2879</v>
      </c>
      <c r="H1574" t="s">
        <v>2934</v>
      </c>
      <c r="J1574" t="s">
        <v>1110</v>
      </c>
      <c r="K1574" t="s">
        <v>1033</v>
      </c>
      <c r="L1574" t="s">
        <v>446</v>
      </c>
      <c r="Q1574" t="b">
        <v>1</v>
      </c>
      <c r="R1574" t="b">
        <v>1</v>
      </c>
      <c r="S1574" t="s">
        <v>2160</v>
      </c>
      <c r="T1574" t="s">
        <v>446</v>
      </c>
      <c r="U1574" t="s">
        <v>1951</v>
      </c>
      <c r="V1574" t="s">
        <v>1093</v>
      </c>
      <c r="W1574" t="s">
        <v>1952</v>
      </c>
      <c r="X1574" t="s">
        <v>2935</v>
      </c>
    </row>
    <row r="1575" spans="1:24" x14ac:dyDescent="0.25">
      <c r="A1575" t="s">
        <v>42</v>
      </c>
      <c r="B1575" t="s">
        <v>2946</v>
      </c>
      <c r="C1575" t="s">
        <v>280</v>
      </c>
      <c r="E1575" t="s">
        <v>1035</v>
      </c>
      <c r="F1575">
        <v>4796</v>
      </c>
      <c r="G1575" t="s">
        <v>2879</v>
      </c>
      <c r="H1575" t="s">
        <v>2934</v>
      </c>
      <c r="J1575" t="s">
        <v>1110</v>
      </c>
      <c r="K1575" t="s">
        <v>1038</v>
      </c>
      <c r="L1575" t="s">
        <v>446</v>
      </c>
      <c r="Q1575" t="b">
        <v>1</v>
      </c>
      <c r="R1575" t="b">
        <v>1</v>
      </c>
      <c r="S1575" t="s">
        <v>2160</v>
      </c>
      <c r="T1575" t="s">
        <v>446</v>
      </c>
      <c r="U1575" t="s">
        <v>1951</v>
      </c>
      <c r="V1575" t="s">
        <v>1093</v>
      </c>
      <c r="W1575" t="s">
        <v>1952</v>
      </c>
      <c r="X1575" t="s">
        <v>2935</v>
      </c>
    </row>
    <row r="1576" spans="1:24" x14ac:dyDescent="0.25">
      <c r="A1576" t="s">
        <v>42</v>
      </c>
      <c r="B1576" t="s">
        <v>2947</v>
      </c>
      <c r="C1576" t="s">
        <v>280</v>
      </c>
      <c r="E1576" t="s">
        <v>1040</v>
      </c>
      <c r="F1576">
        <v>4183</v>
      </c>
      <c r="G1576" t="s">
        <v>2879</v>
      </c>
      <c r="H1576" t="s">
        <v>2934</v>
      </c>
      <c r="J1576" t="s">
        <v>1110</v>
      </c>
      <c r="K1576" t="s">
        <v>1043</v>
      </c>
      <c r="L1576" t="s">
        <v>446</v>
      </c>
      <c r="Q1576" t="b">
        <v>1</v>
      </c>
      <c r="R1576" t="b">
        <v>1</v>
      </c>
      <c r="S1576" t="s">
        <v>2160</v>
      </c>
      <c r="T1576" t="s">
        <v>446</v>
      </c>
      <c r="U1576" t="s">
        <v>1951</v>
      </c>
      <c r="V1576" t="s">
        <v>1093</v>
      </c>
      <c r="W1576" t="s">
        <v>1952</v>
      </c>
      <c r="X1576" t="s">
        <v>2935</v>
      </c>
    </row>
    <row r="1577" spans="1:24" x14ac:dyDescent="0.25">
      <c r="A1577" t="s">
        <v>42</v>
      </c>
      <c r="B1577" t="s">
        <v>2948</v>
      </c>
      <c r="C1577" t="s">
        <v>280</v>
      </c>
      <c r="E1577" t="s">
        <v>1045</v>
      </c>
      <c r="F1577">
        <v>2962</v>
      </c>
      <c r="G1577" t="s">
        <v>2879</v>
      </c>
      <c r="H1577" t="s">
        <v>2934</v>
      </c>
      <c r="J1577" t="s">
        <v>1110</v>
      </c>
      <c r="K1577" t="s">
        <v>1048</v>
      </c>
      <c r="L1577" t="s">
        <v>446</v>
      </c>
      <c r="Q1577" t="b">
        <v>1</v>
      </c>
      <c r="R1577" t="b">
        <v>1</v>
      </c>
      <c r="S1577" t="s">
        <v>2160</v>
      </c>
      <c r="T1577" t="s">
        <v>446</v>
      </c>
      <c r="U1577" t="s">
        <v>1951</v>
      </c>
      <c r="V1577" t="s">
        <v>1093</v>
      </c>
      <c r="W1577" t="s">
        <v>1952</v>
      </c>
      <c r="X1577" t="s">
        <v>446</v>
      </c>
    </row>
    <row r="1578" spans="1:24" x14ac:dyDescent="0.25">
      <c r="A1578" t="s">
        <v>42</v>
      </c>
      <c r="B1578" t="s">
        <v>2949</v>
      </c>
      <c r="C1578" t="s">
        <v>280</v>
      </c>
      <c r="E1578" t="s">
        <v>1032</v>
      </c>
      <c r="F1578">
        <v>15998</v>
      </c>
      <c r="G1578" t="s">
        <v>2879</v>
      </c>
      <c r="H1578" t="s">
        <v>2934</v>
      </c>
      <c r="J1578" t="s">
        <v>1110</v>
      </c>
      <c r="K1578" t="s">
        <v>1048</v>
      </c>
      <c r="L1578" t="s">
        <v>446</v>
      </c>
      <c r="Q1578" t="b">
        <v>1</v>
      </c>
      <c r="R1578" t="b">
        <v>1</v>
      </c>
      <c r="S1578" t="s">
        <v>2160</v>
      </c>
      <c r="T1578" t="s">
        <v>446</v>
      </c>
      <c r="U1578" t="s">
        <v>1951</v>
      </c>
      <c r="V1578" t="s">
        <v>1093</v>
      </c>
      <c r="W1578" t="s">
        <v>1952</v>
      </c>
      <c r="X1578" t="s">
        <v>2935</v>
      </c>
    </row>
    <row r="1579" spans="1:24" x14ac:dyDescent="0.25">
      <c r="A1579" t="s">
        <v>42</v>
      </c>
      <c r="B1579" t="s">
        <v>2950</v>
      </c>
      <c r="C1579" t="s">
        <v>280</v>
      </c>
      <c r="E1579" t="s">
        <v>1051</v>
      </c>
      <c r="F1579">
        <v>4611</v>
      </c>
      <c r="G1579" t="s">
        <v>2879</v>
      </c>
      <c r="H1579" t="s">
        <v>2934</v>
      </c>
      <c r="J1579" t="s">
        <v>1110</v>
      </c>
      <c r="K1579" t="s">
        <v>1055</v>
      </c>
      <c r="L1579" t="s">
        <v>446</v>
      </c>
      <c r="Q1579" t="b">
        <v>1</v>
      </c>
      <c r="R1579" t="b">
        <v>1</v>
      </c>
      <c r="S1579" t="s">
        <v>2160</v>
      </c>
      <c r="T1579" t="s">
        <v>446</v>
      </c>
      <c r="U1579" t="s">
        <v>1951</v>
      </c>
      <c r="V1579" t="s">
        <v>1093</v>
      </c>
      <c r="W1579" t="s">
        <v>1952</v>
      </c>
      <c r="X1579" t="s">
        <v>2935</v>
      </c>
    </row>
    <row r="1580" spans="1:24" x14ac:dyDescent="0.25">
      <c r="A1580" t="s">
        <v>42</v>
      </c>
      <c r="B1580" t="s">
        <v>2953</v>
      </c>
      <c r="C1580" t="s">
        <v>282</v>
      </c>
      <c r="E1580" t="s">
        <v>978</v>
      </c>
      <c r="F1580">
        <v>3113</v>
      </c>
      <c r="G1580" t="s">
        <v>2879</v>
      </c>
      <c r="H1580" t="s">
        <v>2954</v>
      </c>
      <c r="J1580" t="s">
        <v>1110</v>
      </c>
      <c r="K1580" t="s">
        <v>984</v>
      </c>
      <c r="L1580" t="s">
        <v>446</v>
      </c>
      <c r="Q1580" t="b">
        <v>1</v>
      </c>
      <c r="R1580" t="b">
        <v>1</v>
      </c>
      <c r="S1580" t="s">
        <v>2160</v>
      </c>
      <c r="T1580" t="s">
        <v>446</v>
      </c>
      <c r="U1580" t="s">
        <v>1951</v>
      </c>
      <c r="V1580" t="s">
        <v>1093</v>
      </c>
      <c r="W1580" t="s">
        <v>1952</v>
      </c>
      <c r="X1580" t="s">
        <v>2955</v>
      </c>
    </row>
    <row r="1581" spans="1:24" x14ac:dyDescent="0.25">
      <c r="A1581" t="s">
        <v>42</v>
      </c>
      <c r="B1581" t="s">
        <v>2956</v>
      </c>
      <c r="C1581" t="s">
        <v>282</v>
      </c>
      <c r="E1581" t="s">
        <v>986</v>
      </c>
      <c r="F1581">
        <v>2521</v>
      </c>
      <c r="G1581" t="s">
        <v>2879</v>
      </c>
      <c r="H1581" t="s">
        <v>2954</v>
      </c>
      <c r="J1581" t="s">
        <v>1110</v>
      </c>
      <c r="K1581" t="s">
        <v>990</v>
      </c>
      <c r="L1581" t="s">
        <v>446</v>
      </c>
      <c r="Q1581" t="b">
        <v>1</v>
      </c>
      <c r="R1581" t="b">
        <v>1</v>
      </c>
      <c r="S1581" t="s">
        <v>2160</v>
      </c>
      <c r="T1581" t="s">
        <v>446</v>
      </c>
      <c r="U1581" t="s">
        <v>1951</v>
      </c>
      <c r="V1581" t="s">
        <v>1093</v>
      </c>
      <c r="W1581" t="s">
        <v>1952</v>
      </c>
      <c r="X1581" t="s">
        <v>2955</v>
      </c>
    </row>
    <row r="1582" spans="1:24" x14ac:dyDescent="0.25">
      <c r="A1582" t="s">
        <v>42</v>
      </c>
      <c r="B1582" t="s">
        <v>2957</v>
      </c>
      <c r="C1582" t="s">
        <v>282</v>
      </c>
      <c r="E1582" t="s">
        <v>992</v>
      </c>
      <c r="F1582">
        <v>3083</v>
      </c>
      <c r="G1582" t="s">
        <v>2879</v>
      </c>
      <c r="H1582" t="s">
        <v>2954</v>
      </c>
      <c r="J1582" t="s">
        <v>1110</v>
      </c>
      <c r="K1582" t="s">
        <v>996</v>
      </c>
      <c r="L1582" t="s">
        <v>446</v>
      </c>
      <c r="Q1582" t="b">
        <v>1</v>
      </c>
      <c r="R1582" t="b">
        <v>1</v>
      </c>
      <c r="S1582" t="s">
        <v>2160</v>
      </c>
      <c r="T1582" t="s">
        <v>446</v>
      </c>
      <c r="U1582" t="s">
        <v>1951</v>
      </c>
      <c r="V1582" t="s">
        <v>1093</v>
      </c>
      <c r="W1582" t="s">
        <v>1952</v>
      </c>
      <c r="X1582" t="s">
        <v>2955</v>
      </c>
    </row>
    <row r="1583" spans="1:24" x14ac:dyDescent="0.25">
      <c r="A1583" t="s">
        <v>42</v>
      </c>
      <c r="B1583" t="s">
        <v>2958</v>
      </c>
      <c r="C1583" t="s">
        <v>282</v>
      </c>
      <c r="E1583" t="s">
        <v>998</v>
      </c>
      <c r="F1583">
        <v>1986</v>
      </c>
      <c r="G1583" t="s">
        <v>2879</v>
      </c>
      <c r="H1583" t="s">
        <v>2954</v>
      </c>
      <c r="J1583" t="s">
        <v>1110</v>
      </c>
      <c r="K1583" t="s">
        <v>1003</v>
      </c>
      <c r="L1583" t="s">
        <v>446</v>
      </c>
      <c r="Q1583" t="b">
        <v>1</v>
      </c>
      <c r="R1583" t="b">
        <v>1</v>
      </c>
      <c r="S1583" t="s">
        <v>2160</v>
      </c>
      <c r="T1583" t="s">
        <v>446</v>
      </c>
      <c r="U1583" t="s">
        <v>1951</v>
      </c>
      <c r="V1583" t="s">
        <v>1093</v>
      </c>
      <c r="W1583" t="s">
        <v>1952</v>
      </c>
      <c r="X1583" t="s">
        <v>446</v>
      </c>
    </row>
    <row r="1584" spans="1:24" x14ac:dyDescent="0.25">
      <c r="A1584" t="s">
        <v>42</v>
      </c>
      <c r="B1584" t="s">
        <v>2959</v>
      </c>
      <c r="C1584" t="s">
        <v>282</v>
      </c>
      <c r="E1584" t="s">
        <v>982</v>
      </c>
      <c r="F1584">
        <v>10703</v>
      </c>
      <c r="G1584" t="s">
        <v>2879</v>
      </c>
      <c r="H1584" t="s">
        <v>2954</v>
      </c>
      <c r="J1584" t="s">
        <v>1110</v>
      </c>
      <c r="K1584" t="s">
        <v>1003</v>
      </c>
      <c r="L1584" t="s">
        <v>446</v>
      </c>
      <c r="Q1584" t="b">
        <v>1</v>
      </c>
      <c r="R1584" t="b">
        <v>1</v>
      </c>
      <c r="S1584" t="s">
        <v>2160</v>
      </c>
      <c r="T1584" t="s">
        <v>446</v>
      </c>
      <c r="U1584" t="s">
        <v>1951</v>
      </c>
      <c r="V1584" t="s">
        <v>1093</v>
      </c>
      <c r="W1584" t="s">
        <v>1952</v>
      </c>
      <c r="X1584" t="s">
        <v>2955</v>
      </c>
    </row>
    <row r="1585" spans="1:24" x14ac:dyDescent="0.25">
      <c r="A1585" t="s">
        <v>42</v>
      </c>
      <c r="B1585" t="s">
        <v>2960</v>
      </c>
      <c r="C1585" t="s">
        <v>282</v>
      </c>
      <c r="E1585" t="s">
        <v>1006</v>
      </c>
      <c r="F1585">
        <v>3185</v>
      </c>
      <c r="G1585" t="s">
        <v>2879</v>
      </c>
      <c r="H1585" t="s">
        <v>2954</v>
      </c>
      <c r="J1585" t="s">
        <v>1110</v>
      </c>
      <c r="K1585" t="s">
        <v>1967</v>
      </c>
      <c r="L1585" t="s">
        <v>446</v>
      </c>
      <c r="Q1585" t="b">
        <v>1</v>
      </c>
      <c r="R1585" t="b">
        <v>1</v>
      </c>
      <c r="S1585" t="s">
        <v>2160</v>
      </c>
      <c r="T1585" t="s">
        <v>446</v>
      </c>
      <c r="U1585" t="s">
        <v>1951</v>
      </c>
      <c r="V1585" t="s">
        <v>1093</v>
      </c>
      <c r="W1585" t="s">
        <v>1952</v>
      </c>
      <c r="X1585" t="s">
        <v>2955</v>
      </c>
    </row>
    <row r="1586" spans="1:24" x14ac:dyDescent="0.25">
      <c r="A1586" t="s">
        <v>42</v>
      </c>
      <c r="B1586" t="s">
        <v>2961</v>
      </c>
      <c r="C1586" t="s">
        <v>282</v>
      </c>
      <c r="E1586" t="s">
        <v>1013</v>
      </c>
      <c r="F1586">
        <v>2401</v>
      </c>
      <c r="G1586" t="s">
        <v>2879</v>
      </c>
      <c r="H1586" t="s">
        <v>2954</v>
      </c>
      <c r="J1586" t="s">
        <v>1110</v>
      </c>
      <c r="K1586" t="s">
        <v>1016</v>
      </c>
      <c r="L1586" t="s">
        <v>446</v>
      </c>
      <c r="Q1586" t="b">
        <v>1</v>
      </c>
      <c r="R1586" t="b">
        <v>1</v>
      </c>
      <c r="S1586" t="s">
        <v>2160</v>
      </c>
      <c r="T1586" t="s">
        <v>446</v>
      </c>
      <c r="U1586" t="s">
        <v>1951</v>
      </c>
      <c r="V1586" t="s">
        <v>1093</v>
      </c>
      <c r="W1586" t="s">
        <v>1952</v>
      </c>
      <c r="X1586" t="s">
        <v>2955</v>
      </c>
    </row>
    <row r="1587" spans="1:24" x14ac:dyDescent="0.25">
      <c r="A1587" t="s">
        <v>42</v>
      </c>
      <c r="B1587" t="s">
        <v>2962</v>
      </c>
      <c r="C1587" t="s">
        <v>282</v>
      </c>
      <c r="E1587" t="s">
        <v>1018</v>
      </c>
      <c r="F1587">
        <v>2850</v>
      </c>
      <c r="G1587" t="s">
        <v>2879</v>
      </c>
      <c r="H1587" t="s">
        <v>2954</v>
      </c>
      <c r="J1587" t="s">
        <v>1110</v>
      </c>
      <c r="K1587" t="s">
        <v>1021</v>
      </c>
      <c r="L1587" t="s">
        <v>446</v>
      </c>
      <c r="Q1587" t="b">
        <v>1</v>
      </c>
      <c r="R1587" t="b">
        <v>1</v>
      </c>
      <c r="S1587" t="s">
        <v>2160</v>
      </c>
      <c r="T1587" t="s">
        <v>446</v>
      </c>
      <c r="U1587" t="s">
        <v>1951</v>
      </c>
      <c r="V1587" t="s">
        <v>1093</v>
      </c>
      <c r="W1587" t="s">
        <v>1952</v>
      </c>
      <c r="X1587" t="s">
        <v>2955</v>
      </c>
    </row>
    <row r="1588" spans="1:24" x14ac:dyDescent="0.25">
      <c r="A1588" t="s">
        <v>42</v>
      </c>
      <c r="B1588" t="s">
        <v>2963</v>
      </c>
      <c r="C1588" t="s">
        <v>282</v>
      </c>
      <c r="E1588" t="s">
        <v>1023</v>
      </c>
      <c r="F1588">
        <v>2213</v>
      </c>
      <c r="G1588" t="s">
        <v>2879</v>
      </c>
      <c r="H1588" t="s">
        <v>2954</v>
      </c>
      <c r="J1588" t="s">
        <v>1110</v>
      </c>
      <c r="K1588" t="s">
        <v>1026</v>
      </c>
      <c r="L1588" t="s">
        <v>446</v>
      </c>
      <c r="Q1588" t="b">
        <v>1</v>
      </c>
      <c r="R1588" t="b">
        <v>1</v>
      </c>
      <c r="S1588" t="s">
        <v>2160</v>
      </c>
      <c r="T1588" t="s">
        <v>446</v>
      </c>
      <c r="U1588" t="s">
        <v>1951</v>
      </c>
      <c r="V1588" t="s">
        <v>1093</v>
      </c>
      <c r="W1588" t="s">
        <v>1952</v>
      </c>
      <c r="X1588" t="s">
        <v>446</v>
      </c>
    </row>
    <row r="1589" spans="1:24" x14ac:dyDescent="0.25">
      <c r="A1589" t="s">
        <v>42</v>
      </c>
      <c r="B1589" t="s">
        <v>2964</v>
      </c>
      <c r="C1589" t="s">
        <v>282</v>
      </c>
      <c r="E1589" t="s">
        <v>1010</v>
      </c>
      <c r="F1589">
        <v>10649</v>
      </c>
      <c r="G1589" t="s">
        <v>2879</v>
      </c>
      <c r="H1589" t="s">
        <v>2954</v>
      </c>
      <c r="J1589" t="s">
        <v>1110</v>
      </c>
      <c r="K1589" t="s">
        <v>1026</v>
      </c>
      <c r="L1589" t="s">
        <v>446</v>
      </c>
      <c r="Q1589" t="b">
        <v>1</v>
      </c>
      <c r="R1589" t="b">
        <v>1</v>
      </c>
      <c r="S1589" t="s">
        <v>2160</v>
      </c>
      <c r="T1589" t="s">
        <v>446</v>
      </c>
      <c r="U1589" t="s">
        <v>1951</v>
      </c>
      <c r="V1589" t="s">
        <v>1093</v>
      </c>
      <c r="W1589" t="s">
        <v>1952</v>
      </c>
      <c r="X1589" t="s">
        <v>2955</v>
      </c>
    </row>
    <row r="1590" spans="1:24" x14ac:dyDescent="0.25">
      <c r="A1590" t="s">
        <v>42</v>
      </c>
      <c r="B1590" t="s">
        <v>2965</v>
      </c>
      <c r="C1590" t="s">
        <v>282</v>
      </c>
      <c r="E1590" t="s">
        <v>1029</v>
      </c>
      <c r="F1590">
        <v>3335</v>
      </c>
      <c r="G1590" t="s">
        <v>2879</v>
      </c>
      <c r="H1590" t="s">
        <v>2954</v>
      </c>
      <c r="J1590" t="s">
        <v>1110</v>
      </c>
      <c r="K1590" t="s">
        <v>1033</v>
      </c>
      <c r="L1590" t="s">
        <v>446</v>
      </c>
      <c r="Q1590" t="b">
        <v>1</v>
      </c>
      <c r="R1590" t="b">
        <v>1</v>
      </c>
      <c r="S1590" t="s">
        <v>2160</v>
      </c>
      <c r="T1590" t="s">
        <v>446</v>
      </c>
      <c r="U1590" t="s">
        <v>1951</v>
      </c>
      <c r="V1590" t="s">
        <v>1093</v>
      </c>
      <c r="W1590" t="s">
        <v>1952</v>
      </c>
      <c r="X1590" t="s">
        <v>2955</v>
      </c>
    </row>
    <row r="1591" spans="1:24" x14ac:dyDescent="0.25">
      <c r="A1591" t="s">
        <v>42</v>
      </c>
      <c r="B1591" t="s">
        <v>2966</v>
      </c>
      <c r="C1591" t="s">
        <v>282</v>
      </c>
      <c r="E1591" t="s">
        <v>1035</v>
      </c>
      <c r="F1591">
        <v>3803</v>
      </c>
      <c r="G1591" t="s">
        <v>2879</v>
      </c>
      <c r="H1591" t="s">
        <v>2954</v>
      </c>
      <c r="J1591" t="s">
        <v>1110</v>
      </c>
      <c r="K1591" t="s">
        <v>1038</v>
      </c>
      <c r="L1591" t="s">
        <v>446</v>
      </c>
      <c r="Q1591" t="b">
        <v>1</v>
      </c>
      <c r="R1591" t="b">
        <v>1</v>
      </c>
      <c r="S1591" t="s">
        <v>2160</v>
      </c>
      <c r="T1591" t="s">
        <v>446</v>
      </c>
      <c r="U1591" t="s">
        <v>1951</v>
      </c>
      <c r="V1591" t="s">
        <v>1093</v>
      </c>
      <c r="W1591" t="s">
        <v>1952</v>
      </c>
      <c r="X1591" t="s">
        <v>2955</v>
      </c>
    </row>
    <row r="1592" spans="1:24" x14ac:dyDescent="0.25">
      <c r="A1592" t="s">
        <v>42</v>
      </c>
      <c r="B1592" t="s">
        <v>2967</v>
      </c>
      <c r="C1592" t="s">
        <v>282</v>
      </c>
      <c r="E1592" t="s">
        <v>1040</v>
      </c>
      <c r="F1592">
        <v>3683</v>
      </c>
      <c r="G1592" t="s">
        <v>2879</v>
      </c>
      <c r="H1592" t="s">
        <v>2954</v>
      </c>
      <c r="J1592" t="s">
        <v>1110</v>
      </c>
      <c r="K1592" t="s">
        <v>1043</v>
      </c>
      <c r="L1592" t="s">
        <v>446</v>
      </c>
      <c r="Q1592" t="b">
        <v>1</v>
      </c>
      <c r="R1592" t="b">
        <v>1</v>
      </c>
      <c r="S1592" t="s">
        <v>2160</v>
      </c>
      <c r="T1592" t="s">
        <v>446</v>
      </c>
      <c r="U1592" t="s">
        <v>1951</v>
      </c>
      <c r="V1592" t="s">
        <v>1093</v>
      </c>
      <c r="W1592" t="s">
        <v>1952</v>
      </c>
      <c r="X1592" t="s">
        <v>2955</v>
      </c>
    </row>
    <row r="1593" spans="1:24" x14ac:dyDescent="0.25">
      <c r="A1593" t="s">
        <v>42</v>
      </c>
      <c r="B1593" t="s">
        <v>2968</v>
      </c>
      <c r="C1593" t="s">
        <v>282</v>
      </c>
      <c r="E1593" t="s">
        <v>1045</v>
      </c>
      <c r="F1593">
        <v>2316</v>
      </c>
      <c r="G1593" t="s">
        <v>2879</v>
      </c>
      <c r="H1593" t="s">
        <v>2954</v>
      </c>
      <c r="J1593" t="s">
        <v>1110</v>
      </c>
      <c r="K1593" t="s">
        <v>1048</v>
      </c>
      <c r="L1593" t="s">
        <v>446</v>
      </c>
      <c r="Q1593" t="b">
        <v>1</v>
      </c>
      <c r="R1593" t="b">
        <v>1</v>
      </c>
      <c r="S1593" t="s">
        <v>2160</v>
      </c>
      <c r="T1593" t="s">
        <v>446</v>
      </c>
      <c r="U1593" t="s">
        <v>1951</v>
      </c>
      <c r="V1593" t="s">
        <v>1093</v>
      </c>
      <c r="W1593" t="s">
        <v>1952</v>
      </c>
      <c r="X1593" t="s">
        <v>446</v>
      </c>
    </row>
    <row r="1594" spans="1:24" x14ac:dyDescent="0.25">
      <c r="A1594" t="s">
        <v>42</v>
      </c>
      <c r="B1594" t="s">
        <v>2969</v>
      </c>
      <c r="C1594" t="s">
        <v>282</v>
      </c>
      <c r="E1594" t="s">
        <v>1032</v>
      </c>
      <c r="F1594">
        <v>13137</v>
      </c>
      <c r="G1594" t="s">
        <v>2879</v>
      </c>
      <c r="H1594" t="s">
        <v>2954</v>
      </c>
      <c r="J1594" t="s">
        <v>1110</v>
      </c>
      <c r="K1594" t="s">
        <v>1048</v>
      </c>
      <c r="L1594" t="s">
        <v>446</v>
      </c>
      <c r="Q1594" t="b">
        <v>1</v>
      </c>
      <c r="R1594" t="b">
        <v>1</v>
      </c>
      <c r="S1594" t="s">
        <v>2160</v>
      </c>
      <c r="T1594" t="s">
        <v>446</v>
      </c>
      <c r="U1594" t="s">
        <v>1951</v>
      </c>
      <c r="V1594" t="s">
        <v>1093</v>
      </c>
      <c r="W1594" t="s">
        <v>1952</v>
      </c>
      <c r="X1594" t="s">
        <v>2955</v>
      </c>
    </row>
    <row r="1595" spans="1:24" x14ac:dyDescent="0.25">
      <c r="A1595" t="s">
        <v>42</v>
      </c>
      <c r="B1595" t="s">
        <v>2970</v>
      </c>
      <c r="C1595" t="s">
        <v>282</v>
      </c>
      <c r="E1595" t="s">
        <v>1051</v>
      </c>
      <c r="F1595">
        <v>3966</v>
      </c>
      <c r="G1595" t="s">
        <v>2879</v>
      </c>
      <c r="H1595" t="s">
        <v>2954</v>
      </c>
      <c r="J1595" t="s">
        <v>1110</v>
      </c>
      <c r="K1595" t="s">
        <v>1055</v>
      </c>
      <c r="L1595" t="s">
        <v>446</v>
      </c>
      <c r="Q1595" t="b">
        <v>1</v>
      </c>
      <c r="R1595" t="b">
        <v>1</v>
      </c>
      <c r="S1595" t="s">
        <v>2160</v>
      </c>
      <c r="T1595" t="s">
        <v>446</v>
      </c>
      <c r="U1595" t="s">
        <v>1951</v>
      </c>
      <c r="V1595" t="s">
        <v>1093</v>
      </c>
      <c r="W1595" t="s">
        <v>1952</v>
      </c>
      <c r="X1595" t="s">
        <v>2955</v>
      </c>
    </row>
    <row r="1596" spans="1:24" x14ac:dyDescent="0.25">
      <c r="A1596" t="s">
        <v>42</v>
      </c>
      <c r="B1596" t="s">
        <v>2902</v>
      </c>
      <c r="C1596" t="s">
        <v>270</v>
      </c>
      <c r="E1596" t="s">
        <v>998</v>
      </c>
      <c r="F1596">
        <v>6215</v>
      </c>
      <c r="G1596" t="s">
        <v>2879</v>
      </c>
      <c r="H1596" t="s">
        <v>2898</v>
      </c>
      <c r="J1596" t="s">
        <v>1110</v>
      </c>
      <c r="K1596" t="s">
        <v>1003</v>
      </c>
      <c r="L1596" t="s">
        <v>446</v>
      </c>
      <c r="Q1596" t="b">
        <v>1</v>
      </c>
      <c r="R1596" t="b">
        <v>1</v>
      </c>
      <c r="S1596" t="s">
        <v>2160</v>
      </c>
      <c r="T1596" t="s">
        <v>446</v>
      </c>
      <c r="U1596" t="s">
        <v>1951</v>
      </c>
      <c r="V1596" t="s">
        <v>1093</v>
      </c>
      <c r="W1596" t="s">
        <v>1952</v>
      </c>
      <c r="X1596" t="s">
        <v>446</v>
      </c>
    </row>
    <row r="1597" spans="1:24" x14ac:dyDescent="0.25">
      <c r="A1597" t="s">
        <v>42</v>
      </c>
      <c r="B1597" t="s">
        <v>2903</v>
      </c>
      <c r="C1597" t="s">
        <v>270</v>
      </c>
      <c r="E1597" t="s">
        <v>982</v>
      </c>
      <c r="F1597">
        <v>27234</v>
      </c>
      <c r="G1597" t="s">
        <v>2879</v>
      </c>
      <c r="H1597" t="s">
        <v>2898</v>
      </c>
      <c r="J1597" t="s">
        <v>1110</v>
      </c>
      <c r="K1597" t="s">
        <v>1003</v>
      </c>
      <c r="L1597" t="s">
        <v>446</v>
      </c>
      <c r="Q1597" t="b">
        <v>1</v>
      </c>
      <c r="R1597" t="b">
        <v>1</v>
      </c>
      <c r="S1597" t="s">
        <v>2160</v>
      </c>
      <c r="T1597" t="s">
        <v>446</v>
      </c>
      <c r="U1597" t="s">
        <v>1951</v>
      </c>
      <c r="V1597" t="s">
        <v>1093</v>
      </c>
      <c r="W1597" t="s">
        <v>1952</v>
      </c>
      <c r="X1597" t="s">
        <v>2899</v>
      </c>
    </row>
    <row r="1598" spans="1:24" x14ac:dyDescent="0.25">
      <c r="A1598" t="s">
        <v>42</v>
      </c>
      <c r="B1598" t="s">
        <v>2920</v>
      </c>
      <c r="C1598" t="s">
        <v>275</v>
      </c>
      <c r="E1598" t="s">
        <v>998</v>
      </c>
      <c r="F1598">
        <v>2273</v>
      </c>
      <c r="G1598" t="s">
        <v>2879</v>
      </c>
      <c r="H1598" t="s">
        <v>2916</v>
      </c>
      <c r="J1598" t="s">
        <v>1110</v>
      </c>
      <c r="K1598" t="s">
        <v>1003</v>
      </c>
      <c r="L1598" t="s">
        <v>446</v>
      </c>
      <c r="Q1598" t="b">
        <v>1</v>
      </c>
      <c r="R1598" t="b">
        <v>1</v>
      </c>
      <c r="S1598" t="s">
        <v>2160</v>
      </c>
      <c r="T1598" t="s">
        <v>446</v>
      </c>
      <c r="U1598" t="s">
        <v>1951</v>
      </c>
      <c r="V1598" t="s">
        <v>1093</v>
      </c>
      <c r="W1598" t="s">
        <v>1952</v>
      </c>
      <c r="X1598" t="s">
        <v>446</v>
      </c>
    </row>
    <row r="1599" spans="1:24" x14ac:dyDescent="0.25">
      <c r="A1599" t="s">
        <v>42</v>
      </c>
      <c r="B1599" t="s">
        <v>2921</v>
      </c>
      <c r="C1599" t="s">
        <v>275</v>
      </c>
      <c r="E1599" t="s">
        <v>982</v>
      </c>
      <c r="F1599">
        <v>11311</v>
      </c>
      <c r="G1599" t="s">
        <v>2879</v>
      </c>
      <c r="H1599" t="s">
        <v>2916</v>
      </c>
      <c r="J1599" t="s">
        <v>1110</v>
      </c>
      <c r="K1599" t="s">
        <v>1003</v>
      </c>
      <c r="L1599" t="s">
        <v>446</v>
      </c>
      <c r="Q1599" t="b">
        <v>1</v>
      </c>
      <c r="R1599" t="b">
        <v>1</v>
      </c>
      <c r="S1599" t="s">
        <v>2160</v>
      </c>
      <c r="T1599" t="s">
        <v>446</v>
      </c>
      <c r="U1599" t="s">
        <v>1951</v>
      </c>
      <c r="V1599" t="s">
        <v>1093</v>
      </c>
      <c r="W1599" t="s">
        <v>1952</v>
      </c>
      <c r="X1599" t="s">
        <v>2917</v>
      </c>
    </row>
    <row r="1600" spans="1:24" x14ac:dyDescent="0.25">
      <c r="A1600" t="s">
        <v>42</v>
      </c>
      <c r="B1600" t="s">
        <v>2923</v>
      </c>
      <c r="C1600" t="s">
        <v>275</v>
      </c>
      <c r="E1600" t="s">
        <v>1013</v>
      </c>
      <c r="F1600">
        <v>2632</v>
      </c>
      <c r="G1600" t="s">
        <v>2879</v>
      </c>
      <c r="H1600" t="s">
        <v>2916</v>
      </c>
      <c r="J1600" t="s">
        <v>1110</v>
      </c>
      <c r="K1600" t="s">
        <v>1016</v>
      </c>
      <c r="L1600" t="s">
        <v>446</v>
      </c>
      <c r="Q1600" t="b">
        <v>1</v>
      </c>
      <c r="R1600" t="b">
        <v>1</v>
      </c>
      <c r="S1600" t="s">
        <v>2160</v>
      </c>
      <c r="T1600" t="s">
        <v>446</v>
      </c>
      <c r="U1600" t="s">
        <v>1951</v>
      </c>
      <c r="V1600" t="s">
        <v>1093</v>
      </c>
      <c r="W1600" t="s">
        <v>1952</v>
      </c>
      <c r="X1600" t="s">
        <v>2917</v>
      </c>
    </row>
    <row r="1601" spans="1:24" x14ac:dyDescent="0.25">
      <c r="A1601" t="s">
        <v>42</v>
      </c>
      <c r="B1601" t="s">
        <v>2924</v>
      </c>
      <c r="C1601" t="s">
        <v>275</v>
      </c>
      <c r="E1601" t="s">
        <v>1018</v>
      </c>
      <c r="F1601">
        <v>2510</v>
      </c>
      <c r="G1601" t="s">
        <v>2879</v>
      </c>
      <c r="H1601" t="s">
        <v>2916</v>
      </c>
      <c r="J1601" t="s">
        <v>1110</v>
      </c>
      <c r="K1601" t="s">
        <v>1021</v>
      </c>
      <c r="L1601" t="s">
        <v>446</v>
      </c>
      <c r="Q1601" t="b">
        <v>1</v>
      </c>
      <c r="R1601" t="b">
        <v>1</v>
      </c>
      <c r="S1601" t="s">
        <v>2160</v>
      </c>
      <c r="T1601" t="s">
        <v>446</v>
      </c>
      <c r="U1601" t="s">
        <v>1951</v>
      </c>
      <c r="V1601" t="s">
        <v>1093</v>
      </c>
      <c r="W1601" t="s">
        <v>1952</v>
      </c>
      <c r="X1601" t="s">
        <v>2917</v>
      </c>
    </row>
    <row r="1602" spans="1:24" x14ac:dyDescent="0.25">
      <c r="A1602" t="s">
        <v>42</v>
      </c>
      <c r="B1602" t="s">
        <v>2925</v>
      </c>
      <c r="C1602" t="s">
        <v>275</v>
      </c>
      <c r="E1602" t="s">
        <v>1023</v>
      </c>
      <c r="F1602">
        <v>2709</v>
      </c>
      <c r="G1602" t="s">
        <v>2879</v>
      </c>
      <c r="H1602" t="s">
        <v>2916</v>
      </c>
      <c r="J1602" t="s">
        <v>1110</v>
      </c>
      <c r="K1602" t="s">
        <v>1026</v>
      </c>
      <c r="L1602" t="s">
        <v>446</v>
      </c>
      <c r="Q1602" t="b">
        <v>1</v>
      </c>
      <c r="R1602" t="b">
        <v>1</v>
      </c>
      <c r="S1602" t="s">
        <v>2160</v>
      </c>
      <c r="T1602" t="s">
        <v>446</v>
      </c>
      <c r="U1602" t="s">
        <v>1951</v>
      </c>
      <c r="V1602" t="s">
        <v>1093</v>
      </c>
      <c r="W1602" t="s">
        <v>1952</v>
      </c>
      <c r="X1602" t="s">
        <v>446</v>
      </c>
    </row>
    <row r="1603" spans="1:24" x14ac:dyDescent="0.25">
      <c r="A1603" t="s">
        <v>42</v>
      </c>
      <c r="B1603" t="s">
        <v>2926</v>
      </c>
      <c r="C1603" t="s">
        <v>275</v>
      </c>
      <c r="E1603" t="s">
        <v>1010</v>
      </c>
      <c r="F1603">
        <v>9992</v>
      </c>
      <c r="G1603" t="s">
        <v>2879</v>
      </c>
      <c r="H1603" t="s">
        <v>2916</v>
      </c>
      <c r="J1603" t="s">
        <v>1110</v>
      </c>
      <c r="K1603" t="s">
        <v>1026</v>
      </c>
      <c r="L1603" t="s">
        <v>446</v>
      </c>
      <c r="Q1603" t="b">
        <v>1</v>
      </c>
      <c r="R1603" t="b">
        <v>1</v>
      </c>
      <c r="S1603" t="s">
        <v>2160</v>
      </c>
      <c r="T1603" t="s">
        <v>446</v>
      </c>
      <c r="U1603" t="s">
        <v>1951</v>
      </c>
      <c r="V1603" t="s">
        <v>1093</v>
      </c>
      <c r="W1603" t="s">
        <v>1952</v>
      </c>
      <c r="X1603" t="s">
        <v>2917</v>
      </c>
    </row>
    <row r="1604" spans="1:24" x14ac:dyDescent="0.25">
      <c r="A1604" t="s">
        <v>42</v>
      </c>
      <c r="B1604" t="s">
        <v>2927</v>
      </c>
      <c r="C1604" t="s">
        <v>275</v>
      </c>
      <c r="E1604" t="s">
        <v>1029</v>
      </c>
      <c r="F1604">
        <v>3659</v>
      </c>
      <c r="G1604" t="s">
        <v>2879</v>
      </c>
      <c r="H1604" t="s">
        <v>2916</v>
      </c>
      <c r="J1604" t="s">
        <v>1110</v>
      </c>
      <c r="K1604" t="s">
        <v>1033</v>
      </c>
      <c r="L1604" t="s">
        <v>446</v>
      </c>
      <c r="Q1604" t="b">
        <v>1</v>
      </c>
      <c r="R1604" t="b">
        <v>1</v>
      </c>
      <c r="S1604" t="s">
        <v>2160</v>
      </c>
      <c r="T1604" t="s">
        <v>446</v>
      </c>
      <c r="U1604" t="s">
        <v>1951</v>
      </c>
      <c r="V1604" t="s">
        <v>1093</v>
      </c>
      <c r="W1604" t="s">
        <v>1952</v>
      </c>
      <c r="X1604" t="s">
        <v>2917</v>
      </c>
    </row>
    <row r="1605" spans="1:24" x14ac:dyDescent="0.25">
      <c r="A1605" t="s">
        <v>42</v>
      </c>
      <c r="B1605" t="s">
        <v>2928</v>
      </c>
      <c r="C1605" t="s">
        <v>275</v>
      </c>
      <c r="E1605" t="s">
        <v>1035</v>
      </c>
      <c r="F1605">
        <v>4280</v>
      </c>
      <c r="G1605" t="s">
        <v>2879</v>
      </c>
      <c r="H1605" t="s">
        <v>2916</v>
      </c>
      <c r="J1605" t="s">
        <v>1110</v>
      </c>
      <c r="K1605" t="s">
        <v>1038</v>
      </c>
      <c r="L1605" t="s">
        <v>446</v>
      </c>
      <c r="Q1605" t="b">
        <v>1</v>
      </c>
      <c r="R1605" t="b">
        <v>1</v>
      </c>
      <c r="S1605" t="s">
        <v>2160</v>
      </c>
      <c r="T1605" t="s">
        <v>446</v>
      </c>
      <c r="U1605" t="s">
        <v>1951</v>
      </c>
      <c r="V1605" t="s">
        <v>1093</v>
      </c>
      <c r="W1605" t="s">
        <v>1952</v>
      </c>
      <c r="X1605" t="s">
        <v>2917</v>
      </c>
    </row>
    <row r="1606" spans="1:24" x14ac:dyDescent="0.25">
      <c r="A1606" t="s">
        <v>42</v>
      </c>
      <c r="B1606" t="s">
        <v>2929</v>
      </c>
      <c r="C1606" t="s">
        <v>275</v>
      </c>
      <c r="E1606" t="s">
        <v>1040</v>
      </c>
      <c r="F1606">
        <v>3982</v>
      </c>
      <c r="G1606" t="s">
        <v>2879</v>
      </c>
      <c r="H1606" t="s">
        <v>2916</v>
      </c>
      <c r="J1606" t="s">
        <v>1110</v>
      </c>
      <c r="K1606" t="s">
        <v>1043</v>
      </c>
      <c r="L1606" t="s">
        <v>446</v>
      </c>
      <c r="Q1606" t="b">
        <v>1</v>
      </c>
      <c r="R1606" t="b">
        <v>1</v>
      </c>
      <c r="S1606" t="s">
        <v>2160</v>
      </c>
      <c r="T1606" t="s">
        <v>446</v>
      </c>
      <c r="U1606" t="s">
        <v>1951</v>
      </c>
      <c r="V1606" t="s">
        <v>1093</v>
      </c>
      <c r="W1606" t="s">
        <v>1952</v>
      </c>
      <c r="X1606" t="s">
        <v>2917</v>
      </c>
    </row>
    <row r="1607" spans="1:24" x14ac:dyDescent="0.25">
      <c r="A1607" t="s">
        <v>42</v>
      </c>
      <c r="B1607" t="s">
        <v>2930</v>
      </c>
      <c r="C1607" t="s">
        <v>275</v>
      </c>
      <c r="E1607" t="s">
        <v>1045</v>
      </c>
      <c r="F1607">
        <v>1841</v>
      </c>
      <c r="G1607" t="s">
        <v>2879</v>
      </c>
      <c r="H1607" t="s">
        <v>2916</v>
      </c>
      <c r="J1607" t="s">
        <v>1110</v>
      </c>
      <c r="K1607" t="s">
        <v>1048</v>
      </c>
      <c r="L1607" t="s">
        <v>446</v>
      </c>
      <c r="Q1607" t="b">
        <v>1</v>
      </c>
      <c r="R1607" t="b">
        <v>1</v>
      </c>
      <c r="S1607" t="s">
        <v>2160</v>
      </c>
      <c r="T1607" t="s">
        <v>446</v>
      </c>
      <c r="U1607" t="s">
        <v>1951</v>
      </c>
      <c r="V1607" t="s">
        <v>1093</v>
      </c>
      <c r="W1607" t="s">
        <v>1952</v>
      </c>
      <c r="X1607" t="s">
        <v>446</v>
      </c>
    </row>
    <row r="1608" spans="1:24" x14ac:dyDescent="0.25">
      <c r="A1608" t="s">
        <v>42</v>
      </c>
      <c r="B1608" t="s">
        <v>2931</v>
      </c>
      <c r="C1608" t="s">
        <v>275</v>
      </c>
      <c r="E1608" t="s">
        <v>1032</v>
      </c>
      <c r="F1608">
        <v>13762</v>
      </c>
      <c r="G1608" t="s">
        <v>2879</v>
      </c>
      <c r="H1608" t="s">
        <v>2916</v>
      </c>
      <c r="J1608" t="s">
        <v>1110</v>
      </c>
      <c r="K1608" t="s">
        <v>1048</v>
      </c>
      <c r="L1608" t="s">
        <v>446</v>
      </c>
      <c r="Q1608" t="b">
        <v>1</v>
      </c>
      <c r="R1608" t="b">
        <v>1</v>
      </c>
      <c r="S1608" t="s">
        <v>2160</v>
      </c>
      <c r="T1608" t="s">
        <v>446</v>
      </c>
      <c r="U1608" t="s">
        <v>1951</v>
      </c>
      <c r="V1608" t="s">
        <v>1093</v>
      </c>
      <c r="W1608" t="s">
        <v>1952</v>
      </c>
      <c r="X1608" t="s">
        <v>2917</v>
      </c>
    </row>
    <row r="1609" spans="1:24" x14ac:dyDescent="0.25">
      <c r="A1609" t="s">
        <v>42</v>
      </c>
      <c r="B1609" t="s">
        <v>2932</v>
      </c>
      <c r="C1609" t="s">
        <v>275</v>
      </c>
      <c r="E1609" t="s">
        <v>1051</v>
      </c>
      <c r="F1609">
        <v>4359</v>
      </c>
      <c r="G1609" t="s">
        <v>2879</v>
      </c>
      <c r="H1609" t="s">
        <v>2916</v>
      </c>
      <c r="J1609" t="s">
        <v>1110</v>
      </c>
      <c r="K1609" t="s">
        <v>1055</v>
      </c>
      <c r="L1609" t="s">
        <v>446</v>
      </c>
      <c r="Q1609" t="b">
        <v>1</v>
      </c>
      <c r="R1609" t="b">
        <v>1</v>
      </c>
      <c r="S1609" t="s">
        <v>2160</v>
      </c>
      <c r="T1609" t="s">
        <v>446</v>
      </c>
      <c r="U1609" t="s">
        <v>1951</v>
      </c>
      <c r="V1609" t="s">
        <v>1093</v>
      </c>
      <c r="W1609" t="s">
        <v>1952</v>
      </c>
      <c r="X1609" t="s">
        <v>2917</v>
      </c>
    </row>
    <row r="1610" spans="1:24" x14ac:dyDescent="0.25">
      <c r="A1610" t="s">
        <v>42</v>
      </c>
      <c r="B1610" t="s">
        <v>2933</v>
      </c>
      <c r="C1610" t="s">
        <v>280</v>
      </c>
      <c r="E1610" t="s">
        <v>978</v>
      </c>
      <c r="F1610">
        <v>4053</v>
      </c>
      <c r="G1610" t="s">
        <v>2879</v>
      </c>
      <c r="H1610" t="s">
        <v>2934</v>
      </c>
      <c r="J1610" t="s">
        <v>1110</v>
      </c>
      <c r="K1610" t="s">
        <v>984</v>
      </c>
      <c r="L1610" t="s">
        <v>446</v>
      </c>
      <c r="Q1610" t="b">
        <v>1</v>
      </c>
      <c r="R1610" t="b">
        <v>1</v>
      </c>
      <c r="S1610" t="s">
        <v>2160</v>
      </c>
      <c r="T1610" t="s">
        <v>446</v>
      </c>
      <c r="U1610" t="s">
        <v>1951</v>
      </c>
      <c r="V1610" t="s">
        <v>1093</v>
      </c>
      <c r="W1610" t="s">
        <v>1952</v>
      </c>
      <c r="X1610" t="s">
        <v>2935</v>
      </c>
    </row>
    <row r="1611" spans="1:24" x14ac:dyDescent="0.25">
      <c r="A1611" t="s">
        <v>42</v>
      </c>
      <c r="B1611" t="s">
        <v>2936</v>
      </c>
      <c r="C1611" t="s">
        <v>280</v>
      </c>
      <c r="E1611" t="s">
        <v>986</v>
      </c>
      <c r="F1611">
        <v>2880</v>
      </c>
      <c r="G1611" t="s">
        <v>2879</v>
      </c>
      <c r="H1611" t="s">
        <v>2934</v>
      </c>
      <c r="J1611" t="s">
        <v>1110</v>
      </c>
      <c r="K1611" t="s">
        <v>990</v>
      </c>
      <c r="L1611" t="s">
        <v>446</v>
      </c>
      <c r="Q1611" t="b">
        <v>1</v>
      </c>
      <c r="R1611" t="b">
        <v>1</v>
      </c>
      <c r="S1611" t="s">
        <v>2160</v>
      </c>
      <c r="T1611" t="s">
        <v>446</v>
      </c>
      <c r="U1611" t="s">
        <v>1951</v>
      </c>
      <c r="V1611" t="s">
        <v>1093</v>
      </c>
      <c r="W1611" t="s">
        <v>1952</v>
      </c>
      <c r="X1611" t="s">
        <v>2935</v>
      </c>
    </row>
    <row r="1612" spans="1:24" x14ac:dyDescent="0.25">
      <c r="A1612" t="s">
        <v>42</v>
      </c>
      <c r="B1612" t="s">
        <v>2937</v>
      </c>
      <c r="C1612" t="s">
        <v>280</v>
      </c>
      <c r="E1612" t="s">
        <v>992</v>
      </c>
      <c r="F1612">
        <v>3537</v>
      </c>
      <c r="G1612" t="s">
        <v>2879</v>
      </c>
      <c r="H1612" t="s">
        <v>2934</v>
      </c>
      <c r="J1612" t="s">
        <v>1110</v>
      </c>
      <c r="K1612" t="s">
        <v>996</v>
      </c>
      <c r="L1612" t="s">
        <v>446</v>
      </c>
      <c r="Q1612" t="b">
        <v>1</v>
      </c>
      <c r="R1612" t="b">
        <v>1</v>
      </c>
      <c r="S1612" t="s">
        <v>2160</v>
      </c>
      <c r="T1612" t="s">
        <v>446</v>
      </c>
      <c r="U1612" t="s">
        <v>1951</v>
      </c>
      <c r="V1612" t="s">
        <v>1093</v>
      </c>
      <c r="W1612" t="s">
        <v>1952</v>
      </c>
      <c r="X1612" t="s">
        <v>2935</v>
      </c>
    </row>
    <row r="1613" spans="1:24" x14ac:dyDescent="0.25">
      <c r="A1613" t="s">
        <v>42</v>
      </c>
      <c r="B1613" t="s">
        <v>2938</v>
      </c>
      <c r="C1613" t="s">
        <v>280</v>
      </c>
      <c r="E1613" t="s">
        <v>998</v>
      </c>
      <c r="F1613">
        <v>2482</v>
      </c>
      <c r="G1613" t="s">
        <v>2879</v>
      </c>
      <c r="H1613" t="s">
        <v>2934</v>
      </c>
      <c r="J1613" t="s">
        <v>1110</v>
      </c>
      <c r="K1613" t="s">
        <v>1003</v>
      </c>
      <c r="L1613" t="s">
        <v>446</v>
      </c>
      <c r="Q1613" t="b">
        <v>1</v>
      </c>
      <c r="R1613" t="b">
        <v>1</v>
      </c>
      <c r="S1613" t="s">
        <v>2160</v>
      </c>
      <c r="T1613" t="s">
        <v>446</v>
      </c>
      <c r="U1613" t="s">
        <v>1951</v>
      </c>
      <c r="V1613" t="s">
        <v>1093</v>
      </c>
      <c r="W1613" t="s">
        <v>1952</v>
      </c>
      <c r="X1613" t="s">
        <v>446</v>
      </c>
    </row>
    <row r="1614" spans="1:24" x14ac:dyDescent="0.25">
      <c r="A1614" t="s">
        <v>42</v>
      </c>
      <c r="B1614" t="s">
        <v>2939</v>
      </c>
      <c r="C1614" t="s">
        <v>280</v>
      </c>
      <c r="E1614" t="s">
        <v>982</v>
      </c>
      <c r="F1614">
        <v>12952</v>
      </c>
      <c r="G1614" t="s">
        <v>2879</v>
      </c>
      <c r="H1614" t="s">
        <v>2934</v>
      </c>
      <c r="J1614" t="s">
        <v>1110</v>
      </c>
      <c r="K1614" t="s">
        <v>1003</v>
      </c>
      <c r="L1614" t="s">
        <v>446</v>
      </c>
      <c r="Q1614" t="b">
        <v>1</v>
      </c>
      <c r="R1614" t="b">
        <v>1</v>
      </c>
      <c r="S1614" t="s">
        <v>2160</v>
      </c>
      <c r="T1614" t="s">
        <v>446</v>
      </c>
      <c r="U1614" t="s">
        <v>1951</v>
      </c>
      <c r="V1614" t="s">
        <v>1093</v>
      </c>
      <c r="W1614" t="s">
        <v>1952</v>
      </c>
      <c r="X1614" t="s">
        <v>2935</v>
      </c>
    </row>
    <row r="1615" spans="1:24" x14ac:dyDescent="0.25">
      <c r="A1615" t="s">
        <v>42</v>
      </c>
      <c r="B1615" t="s">
        <v>2940</v>
      </c>
      <c r="C1615" t="s">
        <v>280</v>
      </c>
      <c r="E1615" t="s">
        <v>1006</v>
      </c>
      <c r="F1615">
        <v>3872</v>
      </c>
      <c r="G1615" t="s">
        <v>2879</v>
      </c>
      <c r="H1615" t="s">
        <v>2934</v>
      </c>
      <c r="J1615" t="s">
        <v>1110</v>
      </c>
      <c r="K1615" t="s">
        <v>1967</v>
      </c>
      <c r="L1615" t="s">
        <v>446</v>
      </c>
      <c r="Q1615" t="b">
        <v>1</v>
      </c>
      <c r="R1615" t="b">
        <v>1</v>
      </c>
      <c r="S1615" t="s">
        <v>2160</v>
      </c>
      <c r="T1615" t="s">
        <v>446</v>
      </c>
      <c r="U1615" t="s">
        <v>1951</v>
      </c>
      <c r="V1615" t="s">
        <v>1093</v>
      </c>
      <c r="W1615" t="s">
        <v>1952</v>
      </c>
      <c r="X1615" t="s">
        <v>2935</v>
      </c>
    </row>
    <row r="1616" spans="1:24" x14ac:dyDescent="0.25">
      <c r="A1616" t="s">
        <v>42</v>
      </c>
      <c r="B1616" t="s">
        <v>2941</v>
      </c>
      <c r="C1616" t="s">
        <v>280</v>
      </c>
      <c r="E1616" t="s">
        <v>1013</v>
      </c>
      <c r="F1616">
        <v>3028</v>
      </c>
      <c r="G1616" t="s">
        <v>2879</v>
      </c>
      <c r="H1616" t="s">
        <v>2934</v>
      </c>
      <c r="J1616" t="s">
        <v>1110</v>
      </c>
      <c r="K1616" t="s">
        <v>1016</v>
      </c>
      <c r="L1616" t="s">
        <v>446</v>
      </c>
      <c r="Q1616" t="b">
        <v>1</v>
      </c>
      <c r="R1616" t="b">
        <v>1</v>
      </c>
      <c r="S1616" t="s">
        <v>2160</v>
      </c>
      <c r="T1616" t="s">
        <v>446</v>
      </c>
      <c r="U1616" t="s">
        <v>1951</v>
      </c>
      <c r="V1616" t="s">
        <v>1093</v>
      </c>
      <c r="W1616" t="s">
        <v>1952</v>
      </c>
      <c r="X1616" t="s">
        <v>2935</v>
      </c>
    </row>
    <row r="1617" spans="1:24" x14ac:dyDescent="0.25">
      <c r="A1617" t="s">
        <v>42</v>
      </c>
      <c r="B1617" t="s">
        <v>2942</v>
      </c>
      <c r="C1617" t="s">
        <v>280</v>
      </c>
      <c r="E1617" t="s">
        <v>1018</v>
      </c>
      <c r="F1617">
        <v>3380</v>
      </c>
      <c r="G1617" t="s">
        <v>2879</v>
      </c>
      <c r="H1617" t="s">
        <v>2934</v>
      </c>
      <c r="J1617" t="s">
        <v>1110</v>
      </c>
      <c r="K1617" t="s">
        <v>1021</v>
      </c>
      <c r="L1617" t="s">
        <v>446</v>
      </c>
      <c r="Q1617" t="b">
        <v>1</v>
      </c>
      <c r="R1617" t="b">
        <v>1</v>
      </c>
      <c r="S1617" t="s">
        <v>2160</v>
      </c>
      <c r="T1617" t="s">
        <v>446</v>
      </c>
      <c r="U1617" t="s">
        <v>1951</v>
      </c>
      <c r="V1617" t="s">
        <v>1093</v>
      </c>
      <c r="W1617" t="s">
        <v>1952</v>
      </c>
      <c r="X1617" t="s">
        <v>2935</v>
      </c>
    </row>
    <row r="1618" spans="1:24" x14ac:dyDescent="0.25">
      <c r="A1618" t="s">
        <v>42</v>
      </c>
      <c r="B1618" t="s">
        <v>2943</v>
      </c>
      <c r="C1618" t="s">
        <v>280</v>
      </c>
      <c r="E1618" t="s">
        <v>1023</v>
      </c>
      <c r="F1618">
        <v>2806</v>
      </c>
      <c r="G1618" t="s">
        <v>2879</v>
      </c>
      <c r="H1618" t="s">
        <v>2934</v>
      </c>
      <c r="J1618" t="s">
        <v>1110</v>
      </c>
      <c r="K1618" t="s">
        <v>1026</v>
      </c>
      <c r="L1618" t="s">
        <v>446</v>
      </c>
      <c r="Q1618" t="b">
        <v>1</v>
      </c>
      <c r="R1618" t="b">
        <v>1</v>
      </c>
      <c r="S1618" t="s">
        <v>2160</v>
      </c>
      <c r="T1618" t="s">
        <v>446</v>
      </c>
      <c r="U1618" t="s">
        <v>1951</v>
      </c>
      <c r="V1618" t="s">
        <v>1093</v>
      </c>
      <c r="W1618" t="s">
        <v>1952</v>
      </c>
      <c r="X1618" t="s">
        <v>446</v>
      </c>
    </row>
    <row r="1619" spans="1:24" x14ac:dyDescent="0.25">
      <c r="A1619" t="s">
        <v>42</v>
      </c>
      <c r="B1619" t="s">
        <v>2944</v>
      </c>
      <c r="C1619" t="s">
        <v>280</v>
      </c>
      <c r="E1619" t="s">
        <v>1010</v>
      </c>
      <c r="F1619">
        <v>13086</v>
      </c>
      <c r="G1619" t="s">
        <v>2879</v>
      </c>
      <c r="H1619" t="s">
        <v>2934</v>
      </c>
      <c r="J1619" t="s">
        <v>1110</v>
      </c>
      <c r="K1619" t="s">
        <v>1026</v>
      </c>
      <c r="L1619" t="s">
        <v>446</v>
      </c>
      <c r="Q1619" t="b">
        <v>1</v>
      </c>
      <c r="R1619" t="b">
        <v>1</v>
      </c>
      <c r="S1619" t="s">
        <v>2160</v>
      </c>
      <c r="T1619" t="s">
        <v>446</v>
      </c>
      <c r="U1619" t="s">
        <v>1951</v>
      </c>
      <c r="V1619" t="s">
        <v>1093</v>
      </c>
      <c r="W1619" t="s">
        <v>1952</v>
      </c>
      <c r="X1619" t="s">
        <v>2935</v>
      </c>
    </row>
    <row r="1620" spans="1:24" x14ac:dyDescent="0.25">
      <c r="A1620" t="s">
        <v>42</v>
      </c>
      <c r="B1620" t="s">
        <v>2945</v>
      </c>
      <c r="C1620" t="s">
        <v>280</v>
      </c>
      <c r="E1620" t="s">
        <v>1029</v>
      </c>
      <c r="F1620">
        <v>4057</v>
      </c>
      <c r="G1620" t="s">
        <v>2879</v>
      </c>
      <c r="H1620" t="s">
        <v>2934</v>
      </c>
      <c r="J1620" t="s">
        <v>1110</v>
      </c>
      <c r="K1620" t="s">
        <v>1033</v>
      </c>
      <c r="L1620" t="s">
        <v>446</v>
      </c>
      <c r="Q1620" t="b">
        <v>1</v>
      </c>
      <c r="R1620" t="b">
        <v>1</v>
      </c>
      <c r="S1620" t="s">
        <v>2160</v>
      </c>
      <c r="T1620" t="s">
        <v>446</v>
      </c>
      <c r="U1620" t="s">
        <v>1951</v>
      </c>
      <c r="V1620" t="s">
        <v>1093</v>
      </c>
      <c r="W1620" t="s">
        <v>1952</v>
      </c>
      <c r="X1620" t="s">
        <v>2935</v>
      </c>
    </row>
    <row r="1621" spans="1:24" x14ac:dyDescent="0.25">
      <c r="A1621" t="s">
        <v>42</v>
      </c>
      <c r="B1621" t="s">
        <v>2946</v>
      </c>
      <c r="C1621" t="s">
        <v>280</v>
      </c>
      <c r="E1621" t="s">
        <v>1035</v>
      </c>
      <c r="F1621">
        <v>4796</v>
      </c>
      <c r="G1621" t="s">
        <v>2879</v>
      </c>
      <c r="H1621" t="s">
        <v>2934</v>
      </c>
      <c r="J1621" t="s">
        <v>1110</v>
      </c>
      <c r="K1621" t="s">
        <v>1038</v>
      </c>
      <c r="L1621" t="s">
        <v>446</v>
      </c>
      <c r="Q1621" t="b">
        <v>1</v>
      </c>
      <c r="R1621" t="b">
        <v>1</v>
      </c>
      <c r="S1621" t="s">
        <v>2160</v>
      </c>
      <c r="T1621" t="s">
        <v>446</v>
      </c>
      <c r="U1621" t="s">
        <v>1951</v>
      </c>
      <c r="V1621" t="s">
        <v>1093</v>
      </c>
      <c r="W1621" t="s">
        <v>1952</v>
      </c>
      <c r="X1621" t="s">
        <v>2935</v>
      </c>
    </row>
    <row r="1622" spans="1:24" x14ac:dyDescent="0.25">
      <c r="A1622" t="s">
        <v>42</v>
      </c>
      <c r="B1622" t="s">
        <v>2947</v>
      </c>
      <c r="C1622" t="s">
        <v>280</v>
      </c>
      <c r="E1622" t="s">
        <v>1040</v>
      </c>
      <c r="F1622">
        <v>4183</v>
      </c>
      <c r="G1622" t="s">
        <v>2879</v>
      </c>
      <c r="H1622" t="s">
        <v>2934</v>
      </c>
      <c r="J1622" t="s">
        <v>1110</v>
      </c>
      <c r="K1622" t="s">
        <v>1043</v>
      </c>
      <c r="L1622" t="s">
        <v>446</v>
      </c>
      <c r="Q1622" t="b">
        <v>1</v>
      </c>
      <c r="R1622" t="b">
        <v>1</v>
      </c>
      <c r="S1622" t="s">
        <v>2160</v>
      </c>
      <c r="T1622" t="s">
        <v>446</v>
      </c>
      <c r="U1622" t="s">
        <v>1951</v>
      </c>
      <c r="V1622" t="s">
        <v>1093</v>
      </c>
      <c r="W1622" t="s">
        <v>1952</v>
      </c>
      <c r="X1622" t="s">
        <v>2935</v>
      </c>
    </row>
    <row r="1623" spans="1:24" x14ac:dyDescent="0.25">
      <c r="A1623" t="s">
        <v>42</v>
      </c>
      <c r="B1623" t="s">
        <v>2948</v>
      </c>
      <c r="C1623" t="s">
        <v>280</v>
      </c>
      <c r="E1623" t="s">
        <v>1045</v>
      </c>
      <c r="F1623">
        <v>2962</v>
      </c>
      <c r="G1623" t="s">
        <v>2879</v>
      </c>
      <c r="H1623" t="s">
        <v>2934</v>
      </c>
      <c r="J1623" t="s">
        <v>1110</v>
      </c>
      <c r="K1623" t="s">
        <v>1048</v>
      </c>
      <c r="L1623" t="s">
        <v>446</v>
      </c>
      <c r="Q1623" t="b">
        <v>1</v>
      </c>
      <c r="R1623" t="b">
        <v>1</v>
      </c>
      <c r="S1623" t="s">
        <v>2160</v>
      </c>
      <c r="T1623" t="s">
        <v>446</v>
      </c>
      <c r="U1623" t="s">
        <v>1951</v>
      </c>
      <c r="V1623" t="s">
        <v>1093</v>
      </c>
      <c r="W1623" t="s">
        <v>1952</v>
      </c>
      <c r="X1623" t="s">
        <v>446</v>
      </c>
    </row>
    <row r="1624" spans="1:24" x14ac:dyDescent="0.25">
      <c r="A1624" t="s">
        <v>42</v>
      </c>
      <c r="B1624" t="s">
        <v>2949</v>
      </c>
      <c r="C1624" t="s">
        <v>280</v>
      </c>
      <c r="E1624" t="s">
        <v>1032</v>
      </c>
      <c r="F1624">
        <v>15998</v>
      </c>
      <c r="G1624" t="s">
        <v>2879</v>
      </c>
      <c r="H1624" t="s">
        <v>2934</v>
      </c>
      <c r="J1624" t="s">
        <v>1110</v>
      </c>
      <c r="K1624" t="s">
        <v>1048</v>
      </c>
      <c r="L1624" t="s">
        <v>446</v>
      </c>
      <c r="Q1624" t="b">
        <v>1</v>
      </c>
      <c r="R1624" t="b">
        <v>1</v>
      </c>
      <c r="S1624" t="s">
        <v>2160</v>
      </c>
      <c r="T1624" t="s">
        <v>446</v>
      </c>
      <c r="U1624" t="s">
        <v>1951</v>
      </c>
      <c r="V1624" t="s">
        <v>1093</v>
      </c>
      <c r="W1624" t="s">
        <v>1952</v>
      </c>
      <c r="X1624" t="s">
        <v>2935</v>
      </c>
    </row>
    <row r="1625" spans="1:24" x14ac:dyDescent="0.25">
      <c r="A1625" t="s">
        <v>42</v>
      </c>
      <c r="B1625" t="s">
        <v>2950</v>
      </c>
      <c r="C1625" t="s">
        <v>280</v>
      </c>
      <c r="E1625" t="s">
        <v>1051</v>
      </c>
      <c r="F1625">
        <v>4611</v>
      </c>
      <c r="G1625" t="s">
        <v>2879</v>
      </c>
      <c r="H1625" t="s">
        <v>2934</v>
      </c>
      <c r="J1625" t="s">
        <v>1110</v>
      </c>
      <c r="K1625" t="s">
        <v>1055</v>
      </c>
      <c r="L1625" t="s">
        <v>446</v>
      </c>
      <c r="Q1625" t="b">
        <v>1</v>
      </c>
      <c r="R1625" t="b">
        <v>1</v>
      </c>
      <c r="S1625" t="s">
        <v>2160</v>
      </c>
      <c r="T1625" t="s">
        <v>446</v>
      </c>
      <c r="U1625" t="s">
        <v>1951</v>
      </c>
      <c r="V1625" t="s">
        <v>1093</v>
      </c>
      <c r="W1625" t="s">
        <v>1952</v>
      </c>
      <c r="X1625" t="s">
        <v>2935</v>
      </c>
    </row>
    <row r="1626" spans="1:24" x14ac:dyDescent="0.25">
      <c r="A1626" t="s">
        <v>42</v>
      </c>
      <c r="B1626" t="s">
        <v>2953</v>
      </c>
      <c r="C1626" t="s">
        <v>282</v>
      </c>
      <c r="E1626" t="s">
        <v>978</v>
      </c>
      <c r="F1626">
        <v>3113</v>
      </c>
      <c r="G1626" t="s">
        <v>2879</v>
      </c>
      <c r="H1626" t="s">
        <v>2954</v>
      </c>
      <c r="J1626" t="s">
        <v>1110</v>
      </c>
      <c r="K1626" t="s">
        <v>984</v>
      </c>
      <c r="L1626" t="s">
        <v>446</v>
      </c>
      <c r="Q1626" t="b">
        <v>1</v>
      </c>
      <c r="R1626" t="b">
        <v>1</v>
      </c>
      <c r="S1626" t="s">
        <v>2160</v>
      </c>
      <c r="T1626" t="s">
        <v>446</v>
      </c>
      <c r="U1626" t="s">
        <v>1951</v>
      </c>
      <c r="V1626" t="s">
        <v>1093</v>
      </c>
      <c r="W1626" t="s">
        <v>1952</v>
      </c>
      <c r="X1626" t="s">
        <v>2955</v>
      </c>
    </row>
    <row r="1627" spans="1:24" x14ac:dyDescent="0.25">
      <c r="A1627" t="s">
        <v>42</v>
      </c>
      <c r="B1627" t="s">
        <v>2956</v>
      </c>
      <c r="C1627" t="s">
        <v>282</v>
      </c>
      <c r="E1627" t="s">
        <v>986</v>
      </c>
      <c r="F1627">
        <v>2521</v>
      </c>
      <c r="G1627" t="s">
        <v>2879</v>
      </c>
      <c r="H1627" t="s">
        <v>2954</v>
      </c>
      <c r="J1627" t="s">
        <v>1110</v>
      </c>
      <c r="K1627" t="s">
        <v>990</v>
      </c>
      <c r="L1627" t="s">
        <v>446</v>
      </c>
      <c r="Q1627" t="b">
        <v>1</v>
      </c>
      <c r="R1627" t="b">
        <v>1</v>
      </c>
      <c r="S1627" t="s">
        <v>2160</v>
      </c>
      <c r="T1627" t="s">
        <v>446</v>
      </c>
      <c r="U1627" t="s">
        <v>1951</v>
      </c>
      <c r="V1627" t="s">
        <v>1093</v>
      </c>
      <c r="W1627" t="s">
        <v>1952</v>
      </c>
      <c r="X1627" t="s">
        <v>2955</v>
      </c>
    </row>
    <row r="1628" spans="1:24" x14ac:dyDescent="0.25">
      <c r="A1628" t="s">
        <v>42</v>
      </c>
      <c r="B1628" t="s">
        <v>2957</v>
      </c>
      <c r="C1628" t="s">
        <v>282</v>
      </c>
      <c r="E1628" t="s">
        <v>992</v>
      </c>
      <c r="F1628">
        <v>3083</v>
      </c>
      <c r="G1628" t="s">
        <v>2879</v>
      </c>
      <c r="H1628" t="s">
        <v>2954</v>
      </c>
      <c r="J1628" t="s">
        <v>1110</v>
      </c>
      <c r="K1628" t="s">
        <v>996</v>
      </c>
      <c r="L1628" t="s">
        <v>446</v>
      </c>
      <c r="Q1628" t="b">
        <v>1</v>
      </c>
      <c r="R1628" t="b">
        <v>1</v>
      </c>
      <c r="S1628" t="s">
        <v>2160</v>
      </c>
      <c r="T1628" t="s">
        <v>446</v>
      </c>
      <c r="U1628" t="s">
        <v>1951</v>
      </c>
      <c r="V1628" t="s">
        <v>1093</v>
      </c>
      <c r="W1628" t="s">
        <v>1952</v>
      </c>
      <c r="X1628" t="s">
        <v>2955</v>
      </c>
    </row>
    <row r="1629" spans="1:24" x14ac:dyDescent="0.25">
      <c r="A1629" t="s">
        <v>42</v>
      </c>
      <c r="B1629" t="s">
        <v>2958</v>
      </c>
      <c r="C1629" t="s">
        <v>282</v>
      </c>
      <c r="E1629" t="s">
        <v>998</v>
      </c>
      <c r="F1629">
        <v>1986</v>
      </c>
      <c r="G1629" t="s">
        <v>2879</v>
      </c>
      <c r="H1629" t="s">
        <v>2954</v>
      </c>
      <c r="J1629" t="s">
        <v>1110</v>
      </c>
      <c r="K1629" t="s">
        <v>1003</v>
      </c>
      <c r="L1629" t="s">
        <v>446</v>
      </c>
      <c r="Q1629" t="b">
        <v>1</v>
      </c>
      <c r="R1629" t="b">
        <v>1</v>
      </c>
      <c r="S1629" t="s">
        <v>2160</v>
      </c>
      <c r="T1629" t="s">
        <v>446</v>
      </c>
      <c r="U1629" t="s">
        <v>1951</v>
      </c>
      <c r="V1629" t="s">
        <v>1093</v>
      </c>
      <c r="W1629" t="s">
        <v>1952</v>
      </c>
      <c r="X1629" t="s">
        <v>446</v>
      </c>
    </row>
    <row r="1630" spans="1:24" x14ac:dyDescent="0.25">
      <c r="A1630" t="s">
        <v>42</v>
      </c>
      <c r="B1630" t="s">
        <v>2959</v>
      </c>
      <c r="C1630" t="s">
        <v>282</v>
      </c>
      <c r="E1630" t="s">
        <v>982</v>
      </c>
      <c r="F1630">
        <v>10703</v>
      </c>
      <c r="G1630" t="s">
        <v>2879</v>
      </c>
      <c r="H1630" t="s">
        <v>2954</v>
      </c>
      <c r="J1630" t="s">
        <v>1110</v>
      </c>
      <c r="K1630" t="s">
        <v>1003</v>
      </c>
      <c r="L1630" t="s">
        <v>446</v>
      </c>
      <c r="Q1630" t="b">
        <v>1</v>
      </c>
      <c r="R1630" t="b">
        <v>1</v>
      </c>
      <c r="S1630" t="s">
        <v>2160</v>
      </c>
      <c r="T1630" t="s">
        <v>446</v>
      </c>
      <c r="U1630" t="s">
        <v>1951</v>
      </c>
      <c r="V1630" t="s">
        <v>1093</v>
      </c>
      <c r="W1630" t="s">
        <v>1952</v>
      </c>
      <c r="X1630" t="s">
        <v>2955</v>
      </c>
    </row>
    <row r="1631" spans="1:24" x14ac:dyDescent="0.25">
      <c r="A1631" t="s">
        <v>42</v>
      </c>
      <c r="B1631" t="s">
        <v>2960</v>
      </c>
      <c r="C1631" t="s">
        <v>282</v>
      </c>
      <c r="E1631" t="s">
        <v>1006</v>
      </c>
      <c r="F1631">
        <v>3185</v>
      </c>
      <c r="G1631" t="s">
        <v>2879</v>
      </c>
      <c r="H1631" t="s">
        <v>2954</v>
      </c>
      <c r="J1631" t="s">
        <v>1110</v>
      </c>
      <c r="K1631" t="s">
        <v>1967</v>
      </c>
      <c r="L1631" t="s">
        <v>446</v>
      </c>
      <c r="Q1631" t="b">
        <v>1</v>
      </c>
      <c r="R1631" t="b">
        <v>1</v>
      </c>
      <c r="S1631" t="s">
        <v>2160</v>
      </c>
      <c r="T1631" t="s">
        <v>446</v>
      </c>
      <c r="U1631" t="s">
        <v>1951</v>
      </c>
      <c r="V1631" t="s">
        <v>1093</v>
      </c>
      <c r="W1631" t="s">
        <v>1952</v>
      </c>
      <c r="X1631" t="s">
        <v>2955</v>
      </c>
    </row>
    <row r="1632" spans="1:24" x14ac:dyDescent="0.25">
      <c r="A1632" t="s">
        <v>42</v>
      </c>
      <c r="B1632" t="s">
        <v>2961</v>
      </c>
      <c r="C1632" t="s">
        <v>282</v>
      </c>
      <c r="E1632" t="s">
        <v>1013</v>
      </c>
      <c r="F1632">
        <v>2401</v>
      </c>
      <c r="G1632" t="s">
        <v>2879</v>
      </c>
      <c r="H1632" t="s">
        <v>2954</v>
      </c>
      <c r="J1632" t="s">
        <v>1110</v>
      </c>
      <c r="K1632" t="s">
        <v>1016</v>
      </c>
      <c r="L1632" t="s">
        <v>446</v>
      </c>
      <c r="Q1632" t="b">
        <v>1</v>
      </c>
      <c r="R1632" t="b">
        <v>1</v>
      </c>
      <c r="S1632" t="s">
        <v>2160</v>
      </c>
      <c r="T1632" t="s">
        <v>446</v>
      </c>
      <c r="U1632" t="s">
        <v>1951</v>
      </c>
      <c r="V1632" t="s">
        <v>1093</v>
      </c>
      <c r="W1632" t="s">
        <v>1952</v>
      </c>
      <c r="X1632" t="s">
        <v>2955</v>
      </c>
    </row>
    <row r="1633" spans="1:24" x14ac:dyDescent="0.25">
      <c r="A1633" t="s">
        <v>42</v>
      </c>
      <c r="B1633" t="s">
        <v>2962</v>
      </c>
      <c r="C1633" t="s">
        <v>282</v>
      </c>
      <c r="E1633" t="s">
        <v>1018</v>
      </c>
      <c r="F1633">
        <v>2850</v>
      </c>
      <c r="G1633" t="s">
        <v>2879</v>
      </c>
      <c r="H1633" t="s">
        <v>2954</v>
      </c>
      <c r="J1633" t="s">
        <v>1110</v>
      </c>
      <c r="K1633" t="s">
        <v>1021</v>
      </c>
      <c r="L1633" t="s">
        <v>446</v>
      </c>
      <c r="Q1633" t="b">
        <v>1</v>
      </c>
      <c r="R1633" t="b">
        <v>1</v>
      </c>
      <c r="S1633" t="s">
        <v>2160</v>
      </c>
      <c r="T1633" t="s">
        <v>446</v>
      </c>
      <c r="U1633" t="s">
        <v>1951</v>
      </c>
      <c r="V1633" t="s">
        <v>1093</v>
      </c>
      <c r="W1633" t="s">
        <v>1952</v>
      </c>
      <c r="X1633" t="s">
        <v>2955</v>
      </c>
    </row>
    <row r="1634" spans="1:24" x14ac:dyDescent="0.25">
      <c r="A1634" t="s">
        <v>42</v>
      </c>
      <c r="B1634" t="s">
        <v>2963</v>
      </c>
      <c r="C1634" t="s">
        <v>282</v>
      </c>
      <c r="E1634" t="s">
        <v>1023</v>
      </c>
      <c r="F1634">
        <v>2213</v>
      </c>
      <c r="G1634" t="s">
        <v>2879</v>
      </c>
      <c r="H1634" t="s">
        <v>2954</v>
      </c>
      <c r="J1634" t="s">
        <v>1110</v>
      </c>
      <c r="K1634" t="s">
        <v>1026</v>
      </c>
      <c r="L1634" t="s">
        <v>446</v>
      </c>
      <c r="Q1634" t="b">
        <v>1</v>
      </c>
      <c r="R1634" t="b">
        <v>1</v>
      </c>
      <c r="S1634" t="s">
        <v>2160</v>
      </c>
      <c r="T1634" t="s">
        <v>446</v>
      </c>
      <c r="U1634" t="s">
        <v>1951</v>
      </c>
      <c r="V1634" t="s">
        <v>1093</v>
      </c>
      <c r="W1634" t="s">
        <v>1952</v>
      </c>
      <c r="X1634" t="s">
        <v>446</v>
      </c>
    </row>
    <row r="1635" spans="1:24" x14ac:dyDescent="0.25">
      <c r="A1635" t="s">
        <v>42</v>
      </c>
      <c r="B1635" t="s">
        <v>2964</v>
      </c>
      <c r="C1635" t="s">
        <v>282</v>
      </c>
      <c r="E1635" t="s">
        <v>1010</v>
      </c>
      <c r="F1635">
        <v>10649</v>
      </c>
      <c r="G1635" t="s">
        <v>2879</v>
      </c>
      <c r="H1635" t="s">
        <v>2954</v>
      </c>
      <c r="J1635" t="s">
        <v>1110</v>
      </c>
      <c r="K1635" t="s">
        <v>1026</v>
      </c>
      <c r="L1635" t="s">
        <v>446</v>
      </c>
      <c r="Q1635" t="b">
        <v>1</v>
      </c>
      <c r="R1635" t="b">
        <v>1</v>
      </c>
      <c r="S1635" t="s">
        <v>2160</v>
      </c>
      <c r="T1635" t="s">
        <v>446</v>
      </c>
      <c r="U1635" t="s">
        <v>1951</v>
      </c>
      <c r="V1635" t="s">
        <v>1093</v>
      </c>
      <c r="W1635" t="s">
        <v>1952</v>
      </c>
      <c r="X1635" t="s">
        <v>2955</v>
      </c>
    </row>
    <row r="1636" spans="1:24" x14ac:dyDescent="0.25">
      <c r="A1636" t="s">
        <v>42</v>
      </c>
      <c r="B1636" t="s">
        <v>2965</v>
      </c>
      <c r="C1636" t="s">
        <v>282</v>
      </c>
      <c r="E1636" t="s">
        <v>1029</v>
      </c>
      <c r="F1636">
        <v>3335</v>
      </c>
      <c r="G1636" t="s">
        <v>2879</v>
      </c>
      <c r="H1636" t="s">
        <v>2954</v>
      </c>
      <c r="J1636" t="s">
        <v>1110</v>
      </c>
      <c r="K1636" t="s">
        <v>1033</v>
      </c>
      <c r="L1636" t="s">
        <v>446</v>
      </c>
      <c r="Q1636" t="b">
        <v>1</v>
      </c>
      <c r="R1636" t="b">
        <v>1</v>
      </c>
      <c r="S1636" t="s">
        <v>2160</v>
      </c>
      <c r="T1636" t="s">
        <v>446</v>
      </c>
      <c r="U1636" t="s">
        <v>1951</v>
      </c>
      <c r="V1636" t="s">
        <v>1093</v>
      </c>
      <c r="W1636" t="s">
        <v>1952</v>
      </c>
      <c r="X1636" t="s">
        <v>2955</v>
      </c>
    </row>
    <row r="1637" spans="1:24" x14ac:dyDescent="0.25">
      <c r="A1637" t="s">
        <v>42</v>
      </c>
      <c r="B1637" t="s">
        <v>2966</v>
      </c>
      <c r="C1637" t="s">
        <v>282</v>
      </c>
      <c r="E1637" t="s">
        <v>1035</v>
      </c>
      <c r="F1637">
        <v>3803</v>
      </c>
      <c r="G1637" t="s">
        <v>2879</v>
      </c>
      <c r="H1637" t="s">
        <v>2954</v>
      </c>
      <c r="J1637" t="s">
        <v>1110</v>
      </c>
      <c r="K1637" t="s">
        <v>1038</v>
      </c>
      <c r="L1637" t="s">
        <v>446</v>
      </c>
      <c r="Q1637" t="b">
        <v>1</v>
      </c>
      <c r="R1637" t="b">
        <v>1</v>
      </c>
      <c r="S1637" t="s">
        <v>2160</v>
      </c>
      <c r="T1637" t="s">
        <v>446</v>
      </c>
      <c r="U1637" t="s">
        <v>1951</v>
      </c>
      <c r="V1637" t="s">
        <v>1093</v>
      </c>
      <c r="W1637" t="s">
        <v>1952</v>
      </c>
      <c r="X1637" t="s">
        <v>2955</v>
      </c>
    </row>
    <row r="1638" spans="1:24" x14ac:dyDescent="0.25">
      <c r="A1638" t="s">
        <v>42</v>
      </c>
      <c r="B1638" t="s">
        <v>2967</v>
      </c>
      <c r="C1638" t="s">
        <v>282</v>
      </c>
      <c r="E1638" t="s">
        <v>1040</v>
      </c>
      <c r="F1638">
        <v>3683</v>
      </c>
      <c r="G1638" t="s">
        <v>2879</v>
      </c>
      <c r="H1638" t="s">
        <v>2954</v>
      </c>
      <c r="J1638" t="s">
        <v>1110</v>
      </c>
      <c r="K1638" t="s">
        <v>1043</v>
      </c>
      <c r="L1638" t="s">
        <v>446</v>
      </c>
      <c r="Q1638" t="b">
        <v>1</v>
      </c>
      <c r="R1638" t="b">
        <v>1</v>
      </c>
      <c r="S1638" t="s">
        <v>2160</v>
      </c>
      <c r="T1638" t="s">
        <v>446</v>
      </c>
      <c r="U1638" t="s">
        <v>1951</v>
      </c>
      <c r="V1638" t="s">
        <v>1093</v>
      </c>
      <c r="W1638" t="s">
        <v>1952</v>
      </c>
      <c r="X1638" t="s">
        <v>2955</v>
      </c>
    </row>
    <row r="1639" spans="1:24" x14ac:dyDescent="0.25">
      <c r="A1639" t="s">
        <v>42</v>
      </c>
      <c r="B1639" t="s">
        <v>2968</v>
      </c>
      <c r="C1639" t="s">
        <v>282</v>
      </c>
      <c r="E1639" t="s">
        <v>1045</v>
      </c>
      <c r="F1639">
        <v>2316</v>
      </c>
      <c r="G1639" t="s">
        <v>2879</v>
      </c>
      <c r="H1639" t="s">
        <v>2954</v>
      </c>
      <c r="J1639" t="s">
        <v>1110</v>
      </c>
      <c r="K1639" t="s">
        <v>1048</v>
      </c>
      <c r="L1639" t="s">
        <v>446</v>
      </c>
      <c r="Q1639" t="b">
        <v>1</v>
      </c>
      <c r="R1639" t="b">
        <v>1</v>
      </c>
      <c r="S1639" t="s">
        <v>2160</v>
      </c>
      <c r="T1639" t="s">
        <v>446</v>
      </c>
      <c r="U1639" t="s">
        <v>1951</v>
      </c>
      <c r="V1639" t="s">
        <v>1093</v>
      </c>
      <c r="W1639" t="s">
        <v>1952</v>
      </c>
      <c r="X1639" t="s">
        <v>446</v>
      </c>
    </row>
    <row r="1640" spans="1:24" x14ac:dyDescent="0.25">
      <c r="A1640" t="s">
        <v>42</v>
      </c>
      <c r="B1640" t="s">
        <v>2969</v>
      </c>
      <c r="C1640" t="s">
        <v>282</v>
      </c>
      <c r="E1640" t="s">
        <v>1032</v>
      </c>
      <c r="F1640">
        <v>13137</v>
      </c>
      <c r="G1640" t="s">
        <v>2879</v>
      </c>
      <c r="H1640" t="s">
        <v>2954</v>
      </c>
      <c r="J1640" t="s">
        <v>1110</v>
      </c>
      <c r="K1640" t="s">
        <v>1048</v>
      </c>
      <c r="L1640" t="s">
        <v>446</v>
      </c>
      <c r="Q1640" t="b">
        <v>1</v>
      </c>
      <c r="R1640" t="b">
        <v>1</v>
      </c>
      <c r="S1640" t="s">
        <v>2160</v>
      </c>
      <c r="T1640" t="s">
        <v>446</v>
      </c>
      <c r="U1640" t="s">
        <v>1951</v>
      </c>
      <c r="V1640" t="s">
        <v>1093</v>
      </c>
      <c r="W1640" t="s">
        <v>1952</v>
      </c>
      <c r="X1640" t="s">
        <v>2955</v>
      </c>
    </row>
    <row r="1641" spans="1:24" x14ac:dyDescent="0.25">
      <c r="A1641" t="s">
        <v>42</v>
      </c>
      <c r="B1641" t="s">
        <v>2970</v>
      </c>
      <c r="C1641" t="s">
        <v>282</v>
      </c>
      <c r="E1641" t="s">
        <v>1051</v>
      </c>
      <c r="F1641">
        <v>3966</v>
      </c>
      <c r="G1641" t="s">
        <v>2879</v>
      </c>
      <c r="H1641" t="s">
        <v>2954</v>
      </c>
      <c r="J1641" t="s">
        <v>1110</v>
      </c>
      <c r="K1641" t="s">
        <v>1055</v>
      </c>
      <c r="L1641" t="s">
        <v>446</v>
      </c>
      <c r="Q1641" t="b">
        <v>1</v>
      </c>
      <c r="R1641" t="b">
        <v>1</v>
      </c>
      <c r="S1641" t="s">
        <v>2160</v>
      </c>
      <c r="T1641" t="s">
        <v>446</v>
      </c>
      <c r="U1641" t="s">
        <v>1951</v>
      </c>
      <c r="V1641" t="s">
        <v>1093</v>
      </c>
      <c r="W1641" t="s">
        <v>1952</v>
      </c>
      <c r="X1641" t="s">
        <v>2955</v>
      </c>
    </row>
    <row r="1642" spans="1:24" x14ac:dyDescent="0.25">
      <c r="A1642" t="s">
        <v>42</v>
      </c>
      <c r="B1642" t="s">
        <v>2953</v>
      </c>
      <c r="C1642" t="s">
        <v>282</v>
      </c>
      <c r="E1642" t="s">
        <v>978</v>
      </c>
      <c r="F1642">
        <v>3113</v>
      </c>
      <c r="G1642" t="s">
        <v>2879</v>
      </c>
      <c r="H1642" t="s">
        <v>2954</v>
      </c>
      <c r="J1642" t="s">
        <v>1110</v>
      </c>
      <c r="K1642" t="s">
        <v>984</v>
      </c>
      <c r="L1642" t="s">
        <v>446</v>
      </c>
      <c r="Q1642" t="b">
        <v>1</v>
      </c>
      <c r="R1642" t="b">
        <v>1</v>
      </c>
      <c r="S1642" t="s">
        <v>3126</v>
      </c>
      <c r="T1642" t="s">
        <v>446</v>
      </c>
      <c r="U1642" t="s">
        <v>1951</v>
      </c>
      <c r="V1642" t="s">
        <v>1093</v>
      </c>
      <c r="W1642" t="s">
        <v>1952</v>
      </c>
      <c r="X1642" t="s">
        <v>2955</v>
      </c>
    </row>
    <row r="1643" spans="1:24" x14ac:dyDescent="0.25">
      <c r="A1643" t="s">
        <v>42</v>
      </c>
      <c r="B1643" t="s">
        <v>3127</v>
      </c>
      <c r="C1643" t="s">
        <v>287</v>
      </c>
      <c r="E1643" t="s">
        <v>978</v>
      </c>
      <c r="F1643">
        <v>3107</v>
      </c>
      <c r="G1643" t="s">
        <v>2879</v>
      </c>
      <c r="H1643" t="s">
        <v>3128</v>
      </c>
      <c r="J1643" t="s">
        <v>1110</v>
      </c>
      <c r="K1643" t="s">
        <v>446</v>
      </c>
      <c r="L1643" t="s">
        <v>446</v>
      </c>
      <c r="Q1643" t="b">
        <v>1</v>
      </c>
      <c r="R1643" t="b">
        <v>1</v>
      </c>
      <c r="S1643" t="s">
        <v>3129</v>
      </c>
      <c r="T1643" t="s">
        <v>446</v>
      </c>
      <c r="U1643" t="s">
        <v>1951</v>
      </c>
      <c r="V1643" t="s">
        <v>1093</v>
      </c>
      <c r="W1643" t="s">
        <v>1952</v>
      </c>
      <c r="X1643" t="s">
        <v>446</v>
      </c>
    </row>
    <row r="1644" spans="1:24" x14ac:dyDescent="0.25">
      <c r="A1644" t="s">
        <v>42</v>
      </c>
      <c r="B1644" t="s">
        <v>2956</v>
      </c>
      <c r="C1644" t="s">
        <v>282</v>
      </c>
      <c r="E1644" t="s">
        <v>986</v>
      </c>
      <c r="F1644">
        <v>2521</v>
      </c>
      <c r="G1644" t="s">
        <v>2879</v>
      </c>
      <c r="H1644" t="s">
        <v>2954</v>
      </c>
      <c r="J1644" t="s">
        <v>1110</v>
      </c>
      <c r="K1644" t="s">
        <v>990</v>
      </c>
      <c r="L1644" t="s">
        <v>446</v>
      </c>
      <c r="Q1644" t="b">
        <v>1</v>
      </c>
      <c r="R1644" t="b">
        <v>1</v>
      </c>
      <c r="S1644" t="s">
        <v>3126</v>
      </c>
      <c r="T1644" t="s">
        <v>446</v>
      </c>
      <c r="U1644" t="s">
        <v>1951</v>
      </c>
      <c r="V1644" t="s">
        <v>1093</v>
      </c>
      <c r="W1644" t="s">
        <v>1952</v>
      </c>
      <c r="X1644" t="s">
        <v>2955</v>
      </c>
    </row>
    <row r="1645" spans="1:24" x14ac:dyDescent="0.25">
      <c r="A1645" t="s">
        <v>42</v>
      </c>
      <c r="B1645" t="s">
        <v>3130</v>
      </c>
      <c r="C1645" t="s">
        <v>287</v>
      </c>
      <c r="E1645" t="s">
        <v>986</v>
      </c>
      <c r="F1645">
        <v>2547</v>
      </c>
      <c r="G1645" t="s">
        <v>2879</v>
      </c>
      <c r="H1645" t="s">
        <v>3128</v>
      </c>
      <c r="J1645" t="s">
        <v>1110</v>
      </c>
      <c r="K1645" t="s">
        <v>446</v>
      </c>
      <c r="L1645" t="s">
        <v>446</v>
      </c>
      <c r="Q1645" t="b">
        <v>1</v>
      </c>
      <c r="R1645" t="b">
        <v>1</v>
      </c>
      <c r="S1645" t="s">
        <v>3129</v>
      </c>
      <c r="T1645" t="s">
        <v>446</v>
      </c>
      <c r="U1645" t="s">
        <v>1951</v>
      </c>
      <c r="V1645" t="s">
        <v>1093</v>
      </c>
      <c r="W1645" t="s">
        <v>1952</v>
      </c>
      <c r="X1645" t="s">
        <v>446</v>
      </c>
    </row>
    <row r="1646" spans="1:24" x14ac:dyDescent="0.25">
      <c r="A1646" t="s">
        <v>42</v>
      </c>
      <c r="B1646" t="s">
        <v>2957</v>
      </c>
      <c r="C1646" t="s">
        <v>282</v>
      </c>
      <c r="E1646" t="s">
        <v>992</v>
      </c>
      <c r="F1646">
        <v>3083</v>
      </c>
      <c r="G1646" t="s">
        <v>2879</v>
      </c>
      <c r="H1646" t="s">
        <v>2954</v>
      </c>
      <c r="J1646" t="s">
        <v>1110</v>
      </c>
      <c r="K1646" t="s">
        <v>996</v>
      </c>
      <c r="L1646" t="s">
        <v>446</v>
      </c>
      <c r="Q1646" t="b">
        <v>1</v>
      </c>
      <c r="R1646" t="b">
        <v>1</v>
      </c>
      <c r="S1646" t="s">
        <v>3126</v>
      </c>
      <c r="T1646" t="s">
        <v>446</v>
      </c>
      <c r="U1646" t="s">
        <v>1951</v>
      </c>
      <c r="V1646" t="s">
        <v>1093</v>
      </c>
      <c r="W1646" t="s">
        <v>1952</v>
      </c>
      <c r="X1646" t="s">
        <v>2955</v>
      </c>
    </row>
    <row r="1647" spans="1:24" x14ac:dyDescent="0.25">
      <c r="A1647" t="s">
        <v>42</v>
      </c>
      <c r="B1647" t="s">
        <v>3131</v>
      </c>
      <c r="C1647" t="s">
        <v>287</v>
      </c>
      <c r="E1647" t="s">
        <v>992</v>
      </c>
      <c r="F1647">
        <v>3087</v>
      </c>
      <c r="G1647" t="s">
        <v>2879</v>
      </c>
      <c r="H1647" t="s">
        <v>3128</v>
      </c>
      <c r="J1647" t="s">
        <v>1110</v>
      </c>
      <c r="K1647" t="s">
        <v>446</v>
      </c>
      <c r="L1647" t="s">
        <v>446</v>
      </c>
      <c r="Q1647" t="b">
        <v>1</v>
      </c>
      <c r="R1647" t="b">
        <v>1</v>
      </c>
      <c r="S1647" t="s">
        <v>3129</v>
      </c>
      <c r="T1647" t="s">
        <v>446</v>
      </c>
      <c r="U1647" t="s">
        <v>1951</v>
      </c>
      <c r="V1647" t="s">
        <v>1093</v>
      </c>
      <c r="W1647" t="s">
        <v>1952</v>
      </c>
      <c r="X1647" t="s">
        <v>446</v>
      </c>
    </row>
    <row r="1648" spans="1:24" x14ac:dyDescent="0.25">
      <c r="A1648" t="s">
        <v>42</v>
      </c>
      <c r="B1648" t="s">
        <v>2958</v>
      </c>
      <c r="C1648" t="s">
        <v>282</v>
      </c>
      <c r="E1648" t="s">
        <v>998</v>
      </c>
      <c r="F1648">
        <v>1986</v>
      </c>
      <c r="G1648" t="s">
        <v>2879</v>
      </c>
      <c r="H1648" t="s">
        <v>2954</v>
      </c>
      <c r="J1648" t="s">
        <v>1110</v>
      </c>
      <c r="K1648" t="s">
        <v>1003</v>
      </c>
      <c r="L1648" t="s">
        <v>446</v>
      </c>
      <c r="Q1648" t="b">
        <v>1</v>
      </c>
      <c r="R1648" t="b">
        <v>1</v>
      </c>
      <c r="S1648" t="s">
        <v>3126</v>
      </c>
      <c r="T1648" t="s">
        <v>446</v>
      </c>
      <c r="U1648" t="s">
        <v>1951</v>
      </c>
      <c r="V1648" t="s">
        <v>1093</v>
      </c>
      <c r="W1648" t="s">
        <v>1952</v>
      </c>
      <c r="X1648" t="s">
        <v>446</v>
      </c>
    </row>
    <row r="1649" spans="1:24" x14ac:dyDescent="0.25">
      <c r="A1649" t="s">
        <v>42</v>
      </c>
      <c r="B1649" t="s">
        <v>3132</v>
      </c>
      <c r="C1649" t="s">
        <v>287</v>
      </c>
      <c r="E1649" t="s">
        <v>998</v>
      </c>
      <c r="F1649">
        <v>1973</v>
      </c>
      <c r="G1649" t="s">
        <v>2879</v>
      </c>
      <c r="H1649" t="s">
        <v>3128</v>
      </c>
      <c r="J1649" t="s">
        <v>1110</v>
      </c>
      <c r="K1649" t="s">
        <v>446</v>
      </c>
      <c r="L1649" t="s">
        <v>446</v>
      </c>
      <c r="Q1649" t="b">
        <v>1</v>
      </c>
      <c r="R1649" t="b">
        <v>1</v>
      </c>
      <c r="S1649" t="s">
        <v>3129</v>
      </c>
      <c r="T1649" t="s">
        <v>446</v>
      </c>
      <c r="U1649" t="s">
        <v>1951</v>
      </c>
      <c r="V1649" t="s">
        <v>1093</v>
      </c>
      <c r="W1649" t="s">
        <v>1952</v>
      </c>
      <c r="X1649" t="s">
        <v>446</v>
      </c>
    </row>
    <row r="1650" spans="1:24" x14ac:dyDescent="0.25">
      <c r="A1650" t="s">
        <v>42</v>
      </c>
      <c r="B1650" t="s">
        <v>2959</v>
      </c>
      <c r="C1650" t="s">
        <v>282</v>
      </c>
      <c r="E1650" t="s">
        <v>982</v>
      </c>
      <c r="F1650">
        <v>10703</v>
      </c>
      <c r="G1650" t="s">
        <v>2879</v>
      </c>
      <c r="H1650" t="s">
        <v>2954</v>
      </c>
      <c r="J1650" t="s">
        <v>1110</v>
      </c>
      <c r="K1650" t="s">
        <v>1003</v>
      </c>
      <c r="L1650" t="s">
        <v>446</v>
      </c>
      <c r="Q1650" t="b">
        <v>1</v>
      </c>
      <c r="R1650" t="b">
        <v>1</v>
      </c>
      <c r="S1650" t="s">
        <v>3126</v>
      </c>
      <c r="T1650" t="s">
        <v>446</v>
      </c>
      <c r="U1650" t="s">
        <v>1951</v>
      </c>
      <c r="V1650" t="s">
        <v>1093</v>
      </c>
      <c r="W1650" t="s">
        <v>1952</v>
      </c>
      <c r="X1650" t="s">
        <v>2955</v>
      </c>
    </row>
    <row r="1651" spans="1:24" x14ac:dyDescent="0.25">
      <c r="A1651" t="s">
        <v>42</v>
      </c>
      <c r="B1651" t="s">
        <v>3133</v>
      </c>
      <c r="C1651" t="s">
        <v>287</v>
      </c>
      <c r="E1651" t="s">
        <v>982</v>
      </c>
      <c r="F1651">
        <v>10714.000000000004</v>
      </c>
      <c r="G1651" t="s">
        <v>2879</v>
      </c>
      <c r="H1651" t="s">
        <v>3128</v>
      </c>
      <c r="J1651" t="s">
        <v>1110</v>
      </c>
      <c r="K1651" t="s">
        <v>446</v>
      </c>
      <c r="L1651" t="s">
        <v>446</v>
      </c>
      <c r="Q1651" t="b">
        <v>1</v>
      </c>
      <c r="R1651" t="b">
        <v>1</v>
      </c>
      <c r="S1651" t="s">
        <v>3129</v>
      </c>
      <c r="T1651" t="s">
        <v>446</v>
      </c>
      <c r="U1651" t="s">
        <v>1951</v>
      </c>
      <c r="V1651" t="s">
        <v>1093</v>
      </c>
      <c r="W1651" t="s">
        <v>1952</v>
      </c>
      <c r="X1651" t="s">
        <v>446</v>
      </c>
    </row>
    <row r="1652" spans="1:24" x14ac:dyDescent="0.25">
      <c r="A1652" t="s">
        <v>42</v>
      </c>
      <c r="B1652" t="s">
        <v>2960</v>
      </c>
      <c r="C1652" t="s">
        <v>282</v>
      </c>
      <c r="E1652" t="s">
        <v>1006</v>
      </c>
      <c r="F1652">
        <v>3185</v>
      </c>
      <c r="G1652" t="s">
        <v>2879</v>
      </c>
      <c r="H1652" t="s">
        <v>2954</v>
      </c>
      <c r="J1652" t="s">
        <v>1110</v>
      </c>
      <c r="K1652" t="s">
        <v>1967</v>
      </c>
      <c r="L1652" t="s">
        <v>446</v>
      </c>
      <c r="Q1652" t="b">
        <v>1</v>
      </c>
      <c r="R1652" t="b">
        <v>1</v>
      </c>
      <c r="S1652" t="s">
        <v>3126</v>
      </c>
      <c r="T1652" t="s">
        <v>446</v>
      </c>
      <c r="U1652" t="s">
        <v>1951</v>
      </c>
      <c r="V1652" t="s">
        <v>1093</v>
      </c>
      <c r="W1652" t="s">
        <v>1952</v>
      </c>
      <c r="X1652" t="s">
        <v>2955</v>
      </c>
    </row>
    <row r="1653" spans="1:24" x14ac:dyDescent="0.25">
      <c r="A1653" t="s">
        <v>42</v>
      </c>
      <c r="B1653" t="s">
        <v>3134</v>
      </c>
      <c r="C1653" t="s">
        <v>287</v>
      </c>
      <c r="E1653" t="s">
        <v>1006</v>
      </c>
      <c r="F1653">
        <v>3177</v>
      </c>
      <c r="G1653" t="s">
        <v>2879</v>
      </c>
      <c r="H1653" t="s">
        <v>3128</v>
      </c>
      <c r="J1653" t="s">
        <v>1110</v>
      </c>
      <c r="K1653" t="s">
        <v>446</v>
      </c>
      <c r="L1653" t="s">
        <v>446</v>
      </c>
      <c r="Q1653" t="b">
        <v>1</v>
      </c>
      <c r="R1653" t="b">
        <v>1</v>
      </c>
      <c r="S1653" t="s">
        <v>3129</v>
      </c>
      <c r="T1653" t="s">
        <v>446</v>
      </c>
      <c r="U1653" t="s">
        <v>1951</v>
      </c>
      <c r="V1653" t="s">
        <v>1093</v>
      </c>
      <c r="W1653" t="s">
        <v>1952</v>
      </c>
      <c r="X1653" t="s">
        <v>446</v>
      </c>
    </row>
    <row r="1654" spans="1:24" x14ac:dyDescent="0.25">
      <c r="A1654" t="s">
        <v>42</v>
      </c>
      <c r="B1654" t="s">
        <v>2961</v>
      </c>
      <c r="C1654" t="s">
        <v>282</v>
      </c>
      <c r="E1654" t="s">
        <v>1013</v>
      </c>
      <c r="F1654">
        <v>2401</v>
      </c>
      <c r="G1654" t="s">
        <v>2879</v>
      </c>
      <c r="H1654" t="s">
        <v>2954</v>
      </c>
      <c r="J1654" t="s">
        <v>1110</v>
      </c>
      <c r="K1654" t="s">
        <v>1016</v>
      </c>
      <c r="L1654" t="s">
        <v>446</v>
      </c>
      <c r="Q1654" t="b">
        <v>1</v>
      </c>
      <c r="R1654" t="b">
        <v>1</v>
      </c>
      <c r="S1654" t="s">
        <v>3126</v>
      </c>
      <c r="T1654" t="s">
        <v>446</v>
      </c>
      <c r="U1654" t="s">
        <v>1951</v>
      </c>
      <c r="V1654" t="s">
        <v>1093</v>
      </c>
      <c r="W1654" t="s">
        <v>1952</v>
      </c>
      <c r="X1654" t="s">
        <v>2955</v>
      </c>
    </row>
    <row r="1655" spans="1:24" x14ac:dyDescent="0.25">
      <c r="A1655" t="s">
        <v>42</v>
      </c>
      <c r="B1655" t="s">
        <v>3135</v>
      </c>
      <c r="C1655" t="s">
        <v>287</v>
      </c>
      <c r="E1655" t="s">
        <v>1013</v>
      </c>
      <c r="F1655">
        <v>2411</v>
      </c>
      <c r="G1655" t="s">
        <v>2879</v>
      </c>
      <c r="H1655" t="s">
        <v>3128</v>
      </c>
      <c r="J1655" t="s">
        <v>1110</v>
      </c>
      <c r="K1655" t="s">
        <v>446</v>
      </c>
      <c r="L1655" t="s">
        <v>446</v>
      </c>
      <c r="Q1655" t="b">
        <v>1</v>
      </c>
      <c r="R1655" t="b">
        <v>1</v>
      </c>
      <c r="S1655" t="s">
        <v>3129</v>
      </c>
      <c r="T1655" t="s">
        <v>446</v>
      </c>
      <c r="U1655" t="s">
        <v>1951</v>
      </c>
      <c r="V1655" t="s">
        <v>1093</v>
      </c>
      <c r="W1655" t="s">
        <v>1952</v>
      </c>
      <c r="X1655" t="s">
        <v>446</v>
      </c>
    </row>
    <row r="1656" spans="1:24" x14ac:dyDescent="0.25">
      <c r="A1656" t="s">
        <v>42</v>
      </c>
      <c r="B1656" t="s">
        <v>2962</v>
      </c>
      <c r="C1656" t="s">
        <v>282</v>
      </c>
      <c r="E1656" t="s">
        <v>1018</v>
      </c>
      <c r="F1656">
        <v>2850</v>
      </c>
      <c r="G1656" t="s">
        <v>2879</v>
      </c>
      <c r="H1656" t="s">
        <v>2954</v>
      </c>
      <c r="J1656" t="s">
        <v>1110</v>
      </c>
      <c r="K1656" t="s">
        <v>1021</v>
      </c>
      <c r="L1656" t="s">
        <v>446</v>
      </c>
      <c r="Q1656" t="b">
        <v>1</v>
      </c>
      <c r="R1656" t="b">
        <v>1</v>
      </c>
      <c r="S1656" t="s">
        <v>3126</v>
      </c>
      <c r="T1656" t="s">
        <v>446</v>
      </c>
      <c r="U1656" t="s">
        <v>1951</v>
      </c>
      <c r="V1656" t="s">
        <v>1093</v>
      </c>
      <c r="W1656" t="s">
        <v>1952</v>
      </c>
      <c r="X1656" t="s">
        <v>2955</v>
      </c>
    </row>
    <row r="1657" spans="1:24" x14ac:dyDescent="0.25">
      <c r="A1657" t="s">
        <v>42</v>
      </c>
      <c r="B1657" t="s">
        <v>3136</v>
      </c>
      <c r="C1657" t="s">
        <v>287</v>
      </c>
      <c r="E1657" t="s">
        <v>1018</v>
      </c>
      <c r="F1657">
        <v>2848</v>
      </c>
      <c r="G1657" t="s">
        <v>2879</v>
      </c>
      <c r="H1657" t="s">
        <v>3128</v>
      </c>
      <c r="J1657" t="s">
        <v>1110</v>
      </c>
      <c r="K1657" t="s">
        <v>446</v>
      </c>
      <c r="L1657" t="s">
        <v>446</v>
      </c>
      <c r="Q1657" t="b">
        <v>1</v>
      </c>
      <c r="R1657" t="b">
        <v>1</v>
      </c>
      <c r="S1657" t="s">
        <v>3129</v>
      </c>
      <c r="T1657" t="s">
        <v>446</v>
      </c>
      <c r="U1657" t="s">
        <v>1951</v>
      </c>
      <c r="V1657" t="s">
        <v>1093</v>
      </c>
      <c r="W1657" t="s">
        <v>1952</v>
      </c>
      <c r="X1657" t="s">
        <v>446</v>
      </c>
    </row>
    <row r="1658" spans="1:24" x14ac:dyDescent="0.25">
      <c r="A1658" t="s">
        <v>42</v>
      </c>
      <c r="B1658" t="s">
        <v>2963</v>
      </c>
      <c r="C1658" t="s">
        <v>282</v>
      </c>
      <c r="E1658" t="s">
        <v>1023</v>
      </c>
      <c r="F1658">
        <v>2213</v>
      </c>
      <c r="G1658" t="s">
        <v>2879</v>
      </c>
      <c r="H1658" t="s">
        <v>2954</v>
      </c>
      <c r="J1658" t="s">
        <v>1110</v>
      </c>
      <c r="K1658" t="s">
        <v>1026</v>
      </c>
      <c r="L1658" t="s">
        <v>446</v>
      </c>
      <c r="Q1658" t="b">
        <v>1</v>
      </c>
      <c r="R1658" t="b">
        <v>1</v>
      </c>
      <c r="S1658" t="s">
        <v>3126</v>
      </c>
      <c r="T1658" t="s">
        <v>446</v>
      </c>
      <c r="U1658" t="s">
        <v>1951</v>
      </c>
      <c r="V1658" t="s">
        <v>1093</v>
      </c>
      <c r="W1658" t="s">
        <v>1952</v>
      </c>
      <c r="X1658" t="s">
        <v>446</v>
      </c>
    </row>
    <row r="1659" spans="1:24" x14ac:dyDescent="0.25">
      <c r="A1659" t="s">
        <v>42</v>
      </c>
      <c r="B1659" t="s">
        <v>3137</v>
      </c>
      <c r="C1659" t="s">
        <v>287</v>
      </c>
      <c r="E1659" t="s">
        <v>1023</v>
      </c>
      <c r="F1659">
        <v>2195</v>
      </c>
      <c r="G1659" t="s">
        <v>2879</v>
      </c>
      <c r="H1659" t="s">
        <v>3128</v>
      </c>
      <c r="J1659" t="s">
        <v>1110</v>
      </c>
      <c r="K1659" t="s">
        <v>446</v>
      </c>
      <c r="L1659" t="s">
        <v>446</v>
      </c>
      <c r="Q1659" t="b">
        <v>1</v>
      </c>
      <c r="R1659" t="b">
        <v>1</v>
      </c>
      <c r="S1659" t="s">
        <v>3129</v>
      </c>
      <c r="T1659" t="s">
        <v>446</v>
      </c>
      <c r="U1659" t="s">
        <v>1951</v>
      </c>
      <c r="V1659" t="s">
        <v>1093</v>
      </c>
      <c r="W1659" t="s">
        <v>1952</v>
      </c>
      <c r="X1659" t="s">
        <v>446</v>
      </c>
    </row>
    <row r="1660" spans="1:24" x14ac:dyDescent="0.25">
      <c r="A1660" t="s">
        <v>42</v>
      </c>
      <c r="B1660" t="s">
        <v>2964</v>
      </c>
      <c r="C1660" t="s">
        <v>282</v>
      </c>
      <c r="E1660" t="s">
        <v>1010</v>
      </c>
      <c r="F1660">
        <v>10649</v>
      </c>
      <c r="G1660" t="s">
        <v>2879</v>
      </c>
      <c r="H1660" t="s">
        <v>2954</v>
      </c>
      <c r="J1660" t="s">
        <v>1110</v>
      </c>
      <c r="K1660" t="s">
        <v>1026</v>
      </c>
      <c r="L1660" t="s">
        <v>446</v>
      </c>
      <c r="Q1660" t="b">
        <v>1</v>
      </c>
      <c r="R1660" t="b">
        <v>1</v>
      </c>
      <c r="S1660" t="s">
        <v>3126</v>
      </c>
      <c r="T1660" t="s">
        <v>446</v>
      </c>
      <c r="U1660" t="s">
        <v>1951</v>
      </c>
      <c r="V1660" t="s">
        <v>1093</v>
      </c>
      <c r="W1660" t="s">
        <v>1952</v>
      </c>
      <c r="X1660" t="s">
        <v>2955</v>
      </c>
    </row>
    <row r="1661" spans="1:24" x14ac:dyDescent="0.25">
      <c r="A1661" t="s">
        <v>42</v>
      </c>
      <c r="B1661" t="s">
        <v>3138</v>
      </c>
      <c r="C1661" t="s">
        <v>287</v>
      </c>
      <c r="E1661" t="s">
        <v>1010</v>
      </c>
      <c r="F1661">
        <v>10631.000000000004</v>
      </c>
      <c r="G1661" t="s">
        <v>2879</v>
      </c>
      <c r="H1661" t="s">
        <v>3128</v>
      </c>
      <c r="J1661" t="s">
        <v>1110</v>
      </c>
      <c r="K1661" t="s">
        <v>446</v>
      </c>
      <c r="L1661" t="s">
        <v>446</v>
      </c>
      <c r="Q1661" t="b">
        <v>1</v>
      </c>
      <c r="R1661" t="b">
        <v>1</v>
      </c>
      <c r="S1661" t="s">
        <v>3129</v>
      </c>
      <c r="T1661" t="s">
        <v>446</v>
      </c>
      <c r="U1661" t="s">
        <v>1951</v>
      </c>
      <c r="V1661" t="s">
        <v>1093</v>
      </c>
      <c r="W1661" t="s">
        <v>1952</v>
      </c>
      <c r="X1661" t="s">
        <v>446</v>
      </c>
    </row>
    <row r="1662" spans="1:24" x14ac:dyDescent="0.25">
      <c r="A1662" t="s">
        <v>42</v>
      </c>
      <c r="B1662" t="s">
        <v>2965</v>
      </c>
      <c r="C1662" t="s">
        <v>282</v>
      </c>
      <c r="E1662" t="s">
        <v>1029</v>
      </c>
      <c r="F1662">
        <v>3335</v>
      </c>
      <c r="G1662" t="s">
        <v>2879</v>
      </c>
      <c r="H1662" t="s">
        <v>2954</v>
      </c>
      <c r="J1662" t="s">
        <v>1110</v>
      </c>
      <c r="K1662" t="s">
        <v>1033</v>
      </c>
      <c r="L1662" t="s">
        <v>446</v>
      </c>
      <c r="Q1662" t="b">
        <v>1</v>
      </c>
      <c r="R1662" t="b">
        <v>1</v>
      </c>
      <c r="S1662" t="s">
        <v>3126</v>
      </c>
      <c r="T1662" t="s">
        <v>446</v>
      </c>
      <c r="U1662" t="s">
        <v>1951</v>
      </c>
      <c r="V1662" t="s">
        <v>1093</v>
      </c>
      <c r="W1662" t="s">
        <v>1952</v>
      </c>
      <c r="X1662" t="s">
        <v>2955</v>
      </c>
    </row>
    <row r="1663" spans="1:24" x14ac:dyDescent="0.25">
      <c r="A1663" t="s">
        <v>42</v>
      </c>
      <c r="B1663" t="s">
        <v>3139</v>
      </c>
      <c r="C1663" t="s">
        <v>287</v>
      </c>
      <c r="E1663" t="s">
        <v>1029</v>
      </c>
      <c r="F1663">
        <v>3330</v>
      </c>
      <c r="G1663" t="s">
        <v>2879</v>
      </c>
      <c r="H1663" t="s">
        <v>3128</v>
      </c>
      <c r="J1663" t="s">
        <v>1110</v>
      </c>
      <c r="K1663" t="s">
        <v>446</v>
      </c>
      <c r="L1663" t="s">
        <v>446</v>
      </c>
      <c r="Q1663" t="b">
        <v>1</v>
      </c>
      <c r="R1663" t="b">
        <v>1</v>
      </c>
      <c r="S1663" t="s">
        <v>3129</v>
      </c>
      <c r="T1663" t="s">
        <v>446</v>
      </c>
      <c r="U1663" t="s">
        <v>1951</v>
      </c>
      <c r="V1663" t="s">
        <v>1093</v>
      </c>
      <c r="W1663" t="s">
        <v>1952</v>
      </c>
      <c r="X1663" t="s">
        <v>446</v>
      </c>
    </row>
    <row r="1664" spans="1:24" x14ac:dyDescent="0.25">
      <c r="A1664" t="s">
        <v>42</v>
      </c>
      <c r="B1664" t="s">
        <v>2966</v>
      </c>
      <c r="C1664" t="s">
        <v>282</v>
      </c>
      <c r="E1664" t="s">
        <v>1035</v>
      </c>
      <c r="F1664">
        <v>3803</v>
      </c>
      <c r="G1664" t="s">
        <v>2879</v>
      </c>
      <c r="H1664" t="s">
        <v>2954</v>
      </c>
      <c r="J1664" t="s">
        <v>1110</v>
      </c>
      <c r="K1664" t="s">
        <v>1038</v>
      </c>
      <c r="L1664" t="s">
        <v>446</v>
      </c>
      <c r="Q1664" t="b">
        <v>1</v>
      </c>
      <c r="R1664" t="b">
        <v>1</v>
      </c>
      <c r="S1664" t="s">
        <v>3126</v>
      </c>
      <c r="T1664" t="s">
        <v>446</v>
      </c>
      <c r="U1664" t="s">
        <v>1951</v>
      </c>
      <c r="V1664" t="s">
        <v>1093</v>
      </c>
      <c r="W1664" t="s">
        <v>1952</v>
      </c>
      <c r="X1664" t="s">
        <v>2955</v>
      </c>
    </row>
    <row r="1665" spans="1:24" x14ac:dyDescent="0.25">
      <c r="A1665" t="s">
        <v>42</v>
      </c>
      <c r="B1665" t="s">
        <v>3140</v>
      </c>
      <c r="C1665" t="s">
        <v>287</v>
      </c>
      <c r="E1665" t="s">
        <v>1035</v>
      </c>
      <c r="F1665">
        <v>3810</v>
      </c>
      <c r="G1665" t="s">
        <v>2879</v>
      </c>
      <c r="H1665" t="s">
        <v>3128</v>
      </c>
      <c r="J1665" t="s">
        <v>1110</v>
      </c>
      <c r="K1665" t="s">
        <v>446</v>
      </c>
      <c r="L1665" t="s">
        <v>446</v>
      </c>
      <c r="Q1665" t="b">
        <v>1</v>
      </c>
      <c r="R1665" t="b">
        <v>1</v>
      </c>
      <c r="S1665" t="s">
        <v>3129</v>
      </c>
      <c r="T1665" t="s">
        <v>446</v>
      </c>
      <c r="U1665" t="s">
        <v>1951</v>
      </c>
      <c r="V1665" t="s">
        <v>1093</v>
      </c>
      <c r="W1665" t="s">
        <v>1952</v>
      </c>
      <c r="X1665" t="s">
        <v>446</v>
      </c>
    </row>
    <row r="1666" spans="1:24" x14ac:dyDescent="0.25">
      <c r="A1666" t="s">
        <v>42</v>
      </c>
      <c r="B1666" t="s">
        <v>2967</v>
      </c>
      <c r="C1666" t="s">
        <v>282</v>
      </c>
      <c r="E1666" t="s">
        <v>1040</v>
      </c>
      <c r="F1666">
        <v>3683</v>
      </c>
      <c r="G1666" t="s">
        <v>2879</v>
      </c>
      <c r="H1666" t="s">
        <v>2954</v>
      </c>
      <c r="J1666" t="s">
        <v>1110</v>
      </c>
      <c r="K1666" t="s">
        <v>1043</v>
      </c>
      <c r="L1666" t="s">
        <v>446</v>
      </c>
      <c r="Q1666" t="b">
        <v>1</v>
      </c>
      <c r="R1666" t="b">
        <v>1</v>
      </c>
      <c r="S1666" t="s">
        <v>3126</v>
      </c>
      <c r="T1666" t="s">
        <v>446</v>
      </c>
      <c r="U1666" t="s">
        <v>1951</v>
      </c>
      <c r="V1666" t="s">
        <v>1093</v>
      </c>
      <c r="W1666" t="s">
        <v>1952</v>
      </c>
      <c r="X1666" t="s">
        <v>2955</v>
      </c>
    </row>
    <row r="1667" spans="1:24" x14ac:dyDescent="0.25">
      <c r="A1667" t="s">
        <v>42</v>
      </c>
      <c r="B1667" t="s">
        <v>3141</v>
      </c>
      <c r="C1667" t="s">
        <v>287</v>
      </c>
      <c r="E1667" t="s">
        <v>1040</v>
      </c>
      <c r="F1667">
        <v>3696</v>
      </c>
      <c r="G1667" t="s">
        <v>2879</v>
      </c>
      <c r="H1667" t="s">
        <v>3128</v>
      </c>
      <c r="J1667" t="s">
        <v>1110</v>
      </c>
      <c r="K1667" t="s">
        <v>446</v>
      </c>
      <c r="L1667" t="s">
        <v>446</v>
      </c>
      <c r="Q1667" t="b">
        <v>1</v>
      </c>
      <c r="R1667" t="b">
        <v>1</v>
      </c>
      <c r="S1667" t="s">
        <v>3129</v>
      </c>
      <c r="T1667" t="s">
        <v>446</v>
      </c>
      <c r="U1667" t="s">
        <v>1951</v>
      </c>
      <c r="V1667" t="s">
        <v>1093</v>
      </c>
      <c r="W1667" t="s">
        <v>1952</v>
      </c>
      <c r="X1667" t="s">
        <v>446</v>
      </c>
    </row>
    <row r="1668" spans="1:24" x14ac:dyDescent="0.25">
      <c r="A1668" t="s">
        <v>42</v>
      </c>
      <c r="B1668" t="s">
        <v>2968</v>
      </c>
      <c r="C1668" t="s">
        <v>282</v>
      </c>
      <c r="E1668" t="s">
        <v>1045</v>
      </c>
      <c r="F1668">
        <v>2316</v>
      </c>
      <c r="G1668" t="s">
        <v>2879</v>
      </c>
      <c r="H1668" t="s">
        <v>2954</v>
      </c>
      <c r="J1668" t="s">
        <v>1110</v>
      </c>
      <c r="K1668" t="s">
        <v>1048</v>
      </c>
      <c r="L1668" t="s">
        <v>446</v>
      </c>
      <c r="Q1668" t="b">
        <v>1</v>
      </c>
      <c r="R1668" t="b">
        <v>1</v>
      </c>
      <c r="S1668" t="s">
        <v>3126</v>
      </c>
      <c r="T1668" t="s">
        <v>446</v>
      </c>
      <c r="U1668" t="s">
        <v>1951</v>
      </c>
      <c r="V1668" t="s">
        <v>1093</v>
      </c>
      <c r="W1668" t="s">
        <v>1952</v>
      </c>
      <c r="X1668" t="s">
        <v>446</v>
      </c>
    </row>
    <row r="1669" spans="1:24" x14ac:dyDescent="0.25">
      <c r="A1669" t="s">
        <v>42</v>
      </c>
      <c r="B1669" t="s">
        <v>3142</v>
      </c>
      <c r="C1669" t="s">
        <v>287</v>
      </c>
      <c r="E1669" t="s">
        <v>1045</v>
      </c>
      <c r="F1669">
        <v>2271</v>
      </c>
      <c r="G1669" t="s">
        <v>2879</v>
      </c>
      <c r="H1669" t="s">
        <v>3128</v>
      </c>
      <c r="J1669" t="s">
        <v>1110</v>
      </c>
      <c r="K1669" t="s">
        <v>446</v>
      </c>
      <c r="L1669" t="s">
        <v>446</v>
      </c>
      <c r="Q1669" t="b">
        <v>1</v>
      </c>
      <c r="R1669" t="b">
        <v>1</v>
      </c>
      <c r="S1669" t="s">
        <v>3129</v>
      </c>
      <c r="T1669" t="s">
        <v>446</v>
      </c>
      <c r="U1669" t="s">
        <v>1951</v>
      </c>
      <c r="V1669" t="s">
        <v>1093</v>
      </c>
      <c r="W1669" t="s">
        <v>1952</v>
      </c>
      <c r="X1669" t="s">
        <v>446</v>
      </c>
    </row>
    <row r="1670" spans="1:24" x14ac:dyDescent="0.25">
      <c r="A1670" t="s">
        <v>42</v>
      </c>
      <c r="B1670" t="s">
        <v>2969</v>
      </c>
      <c r="C1670" t="s">
        <v>282</v>
      </c>
      <c r="E1670" t="s">
        <v>1032</v>
      </c>
      <c r="F1670">
        <v>13137</v>
      </c>
      <c r="G1670" t="s">
        <v>2879</v>
      </c>
      <c r="H1670" t="s">
        <v>2954</v>
      </c>
      <c r="J1670" t="s">
        <v>1110</v>
      </c>
      <c r="K1670" t="s">
        <v>1048</v>
      </c>
      <c r="L1670" t="s">
        <v>446</v>
      </c>
      <c r="Q1670" t="b">
        <v>1</v>
      </c>
      <c r="R1670" t="b">
        <v>1</v>
      </c>
      <c r="S1670" t="s">
        <v>3126</v>
      </c>
      <c r="T1670" t="s">
        <v>446</v>
      </c>
      <c r="U1670" t="s">
        <v>1951</v>
      </c>
      <c r="V1670" t="s">
        <v>1093</v>
      </c>
      <c r="W1670" t="s">
        <v>1952</v>
      </c>
      <c r="X1670" t="s">
        <v>2955</v>
      </c>
    </row>
    <row r="1671" spans="1:24" x14ac:dyDescent="0.25">
      <c r="A1671" t="s">
        <v>42</v>
      </c>
      <c r="B1671" t="s">
        <v>3143</v>
      </c>
      <c r="C1671" t="s">
        <v>287</v>
      </c>
      <c r="E1671" t="s">
        <v>1032</v>
      </c>
      <c r="F1671">
        <v>13107.000000000004</v>
      </c>
      <c r="G1671" t="s">
        <v>2879</v>
      </c>
      <c r="H1671" t="s">
        <v>3128</v>
      </c>
      <c r="J1671" t="s">
        <v>1110</v>
      </c>
      <c r="K1671" t="s">
        <v>446</v>
      </c>
      <c r="L1671" t="s">
        <v>446</v>
      </c>
      <c r="Q1671" t="b">
        <v>1</v>
      </c>
      <c r="R1671" t="b">
        <v>1</v>
      </c>
      <c r="S1671" t="s">
        <v>3129</v>
      </c>
      <c r="T1671" t="s">
        <v>446</v>
      </c>
      <c r="U1671" t="s">
        <v>1951</v>
      </c>
      <c r="V1671" t="s">
        <v>1093</v>
      </c>
      <c r="W1671" t="s">
        <v>1952</v>
      </c>
      <c r="X1671" t="s">
        <v>446</v>
      </c>
    </row>
    <row r="1672" spans="1:24" x14ac:dyDescent="0.25">
      <c r="A1672" t="s">
        <v>42</v>
      </c>
      <c r="B1672" t="s">
        <v>2970</v>
      </c>
      <c r="C1672" t="s">
        <v>282</v>
      </c>
      <c r="E1672" t="s">
        <v>1051</v>
      </c>
      <c r="F1672">
        <v>3966</v>
      </c>
      <c r="G1672" t="s">
        <v>2879</v>
      </c>
      <c r="H1672" t="s">
        <v>2954</v>
      </c>
      <c r="J1672" t="s">
        <v>1110</v>
      </c>
      <c r="K1672" t="s">
        <v>1055</v>
      </c>
      <c r="L1672" t="s">
        <v>446</v>
      </c>
      <c r="Q1672" t="b">
        <v>1</v>
      </c>
      <c r="R1672" t="b">
        <v>1</v>
      </c>
      <c r="S1672" t="s">
        <v>3126</v>
      </c>
      <c r="T1672" t="s">
        <v>446</v>
      </c>
      <c r="U1672" t="s">
        <v>1951</v>
      </c>
      <c r="V1672" t="s">
        <v>1093</v>
      </c>
      <c r="W1672" t="s">
        <v>1952</v>
      </c>
      <c r="X1672" t="s">
        <v>2955</v>
      </c>
    </row>
    <row r="1673" spans="1:24" x14ac:dyDescent="0.25">
      <c r="A1673" t="s">
        <v>42</v>
      </c>
      <c r="B1673" t="s">
        <v>3144</v>
      </c>
      <c r="C1673" t="s">
        <v>287</v>
      </c>
      <c r="E1673" t="s">
        <v>1051</v>
      </c>
      <c r="F1673">
        <v>3924</v>
      </c>
      <c r="G1673" t="s">
        <v>2879</v>
      </c>
      <c r="H1673" t="s">
        <v>3128</v>
      </c>
      <c r="J1673" t="s">
        <v>1110</v>
      </c>
      <c r="K1673" t="s">
        <v>446</v>
      </c>
      <c r="L1673" t="s">
        <v>446</v>
      </c>
      <c r="Q1673" t="b">
        <v>1</v>
      </c>
      <c r="R1673" t="b">
        <v>1</v>
      </c>
      <c r="S1673" t="s">
        <v>3129</v>
      </c>
      <c r="T1673" t="s">
        <v>446</v>
      </c>
      <c r="U1673" t="s">
        <v>1951</v>
      </c>
      <c r="V1673" t="s">
        <v>1093</v>
      </c>
      <c r="W1673" t="s">
        <v>1952</v>
      </c>
      <c r="X1673" t="s">
        <v>446</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54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14" customWidth="1"/>
    <col min="4" max="4" width="12" customWidth="1"/>
    <col min="5" max="5" width="14" customWidth="1"/>
    <col min="6" max="6" width="16" customWidth="1"/>
    <col min="7" max="7" width="32" customWidth="1"/>
    <col min="8" max="8" width="10" customWidth="1"/>
    <col min="9" max="9" width="14" customWidth="1"/>
    <col min="10" max="11" width="26" customWidth="1"/>
    <col min="12" max="12" width="24" customWidth="1"/>
    <col min="13" max="13" width="16" customWidth="1"/>
    <col min="14" max="14" width="22" customWidth="1"/>
    <col min="15" max="15" width="14" customWidth="1"/>
    <col min="16" max="16" width="18" customWidth="1"/>
    <col min="17" max="17" width="20" customWidth="1"/>
    <col min="18" max="19" width="44" customWidth="1"/>
    <col min="20" max="20" width="34" customWidth="1"/>
    <col min="21" max="21" width="10" customWidth="1"/>
    <col min="22" max="22" width="60" customWidth="1"/>
  </cols>
  <sheetData>
    <row r="1" spans="1:22" s="918" customFormat="1" x14ac:dyDescent="0.25">
      <c r="A1" s="918" t="s">
        <v>1057</v>
      </c>
      <c r="B1" s="918" t="s">
        <v>3145</v>
      </c>
      <c r="C1" s="918" t="s">
        <v>971</v>
      </c>
      <c r="D1" s="918" t="s">
        <v>3146</v>
      </c>
      <c r="E1" s="918" t="s">
        <v>3147</v>
      </c>
      <c r="F1" s="918" t="s">
        <v>3148</v>
      </c>
      <c r="G1" s="918" t="s">
        <v>3149</v>
      </c>
      <c r="H1" s="918" t="s">
        <v>3150</v>
      </c>
      <c r="I1" s="918" t="s">
        <v>3151</v>
      </c>
      <c r="J1" s="918" t="s">
        <v>3152</v>
      </c>
      <c r="K1" s="918" t="s">
        <v>3153</v>
      </c>
      <c r="L1" s="918" t="s">
        <v>3154</v>
      </c>
      <c r="M1" s="918" t="s">
        <v>3155</v>
      </c>
      <c r="N1" s="918" t="s">
        <v>3156</v>
      </c>
      <c r="O1" s="918" t="s">
        <v>3157</v>
      </c>
      <c r="P1" s="918" t="s">
        <v>3158</v>
      </c>
      <c r="Q1" s="918" t="s">
        <v>3159</v>
      </c>
      <c r="R1" s="918" t="s">
        <v>3160</v>
      </c>
      <c r="S1" s="918" t="s">
        <v>3161</v>
      </c>
      <c r="T1" s="918" t="s">
        <v>3162</v>
      </c>
      <c r="U1" s="918" t="s">
        <v>3163</v>
      </c>
      <c r="V1" s="918" t="s">
        <v>3164</v>
      </c>
    </row>
    <row r="2" spans="1:22" x14ac:dyDescent="0.25">
      <c r="A2" t="s">
        <v>42</v>
      </c>
      <c r="B2">
        <v>24</v>
      </c>
      <c r="C2" t="s">
        <v>979</v>
      </c>
      <c r="D2" t="s">
        <v>3165</v>
      </c>
      <c r="E2" t="s">
        <v>978</v>
      </c>
      <c r="F2" t="s">
        <v>3166</v>
      </c>
      <c r="G2" t="s">
        <v>24</v>
      </c>
      <c r="H2" t="s">
        <v>26</v>
      </c>
      <c r="I2" t="s">
        <v>3167</v>
      </c>
      <c r="J2" t="s">
        <v>984</v>
      </c>
      <c r="K2" t="s">
        <v>3168</v>
      </c>
      <c r="L2" t="s">
        <v>984</v>
      </c>
      <c r="M2" t="s">
        <v>980</v>
      </c>
      <c r="N2" t="s">
        <v>981</v>
      </c>
      <c r="O2" t="s">
        <v>981</v>
      </c>
      <c r="P2" t="s">
        <v>1089</v>
      </c>
      <c r="Q2" t="s">
        <v>3169</v>
      </c>
      <c r="R2" t="s">
        <v>446</v>
      </c>
      <c r="S2" t="s">
        <v>446</v>
      </c>
      <c r="T2" t="s">
        <v>1965</v>
      </c>
      <c r="U2" t="b">
        <v>0</v>
      </c>
      <c r="V2" t="s">
        <v>446</v>
      </c>
    </row>
    <row r="3" spans="1:22" x14ac:dyDescent="0.25">
      <c r="A3" t="s">
        <v>42</v>
      </c>
      <c r="B3">
        <v>24</v>
      </c>
      <c r="C3" t="s">
        <v>987</v>
      </c>
      <c r="D3" t="s">
        <v>3170</v>
      </c>
      <c r="E3" t="s">
        <v>986</v>
      </c>
      <c r="F3" t="s">
        <v>3166</v>
      </c>
      <c r="G3" t="s">
        <v>24</v>
      </c>
      <c r="H3" t="s">
        <v>26</v>
      </c>
      <c r="I3" t="s">
        <v>3167</v>
      </c>
      <c r="J3" t="s">
        <v>990</v>
      </c>
      <c r="K3" t="s">
        <v>3171</v>
      </c>
      <c r="L3" t="s">
        <v>990</v>
      </c>
      <c r="M3" t="s">
        <v>980</v>
      </c>
      <c r="N3" t="s">
        <v>988</v>
      </c>
      <c r="O3" t="s">
        <v>988</v>
      </c>
      <c r="P3" t="s">
        <v>1089</v>
      </c>
      <c r="Q3" t="s">
        <v>3169</v>
      </c>
      <c r="R3" t="s">
        <v>446</v>
      </c>
      <c r="S3" t="s">
        <v>446</v>
      </c>
      <c r="T3" t="s">
        <v>1965</v>
      </c>
      <c r="U3" t="b">
        <v>0</v>
      </c>
      <c r="V3" t="s">
        <v>446</v>
      </c>
    </row>
    <row r="4" spans="1:22" x14ac:dyDescent="0.25">
      <c r="A4" t="s">
        <v>42</v>
      </c>
      <c r="B4">
        <v>24</v>
      </c>
      <c r="C4" t="s">
        <v>993</v>
      </c>
      <c r="D4" t="s">
        <v>3172</v>
      </c>
      <c r="E4" t="s">
        <v>992</v>
      </c>
      <c r="F4" t="s">
        <v>3166</v>
      </c>
      <c r="G4" t="s">
        <v>24</v>
      </c>
      <c r="H4" t="s">
        <v>26</v>
      </c>
      <c r="I4" t="s">
        <v>3167</v>
      </c>
      <c r="J4" t="s">
        <v>996</v>
      </c>
      <c r="K4" t="s">
        <v>3173</v>
      </c>
      <c r="L4" t="s">
        <v>996</v>
      </c>
      <c r="M4" t="s">
        <v>980</v>
      </c>
      <c r="N4" t="s">
        <v>994</v>
      </c>
      <c r="O4" t="s">
        <v>994</v>
      </c>
      <c r="P4" t="s">
        <v>1089</v>
      </c>
      <c r="Q4" t="s">
        <v>3169</v>
      </c>
      <c r="R4" t="s">
        <v>446</v>
      </c>
      <c r="S4" t="s">
        <v>446</v>
      </c>
      <c r="T4" t="s">
        <v>1965</v>
      </c>
      <c r="U4" t="b">
        <v>0</v>
      </c>
      <c r="V4" t="s">
        <v>446</v>
      </c>
    </row>
    <row r="5" spans="1:22" x14ac:dyDescent="0.25">
      <c r="A5" t="s">
        <v>42</v>
      </c>
      <c r="B5">
        <v>24</v>
      </c>
      <c r="C5" t="s">
        <v>999</v>
      </c>
      <c r="D5" t="s">
        <v>3174</v>
      </c>
      <c r="E5" t="s">
        <v>998</v>
      </c>
      <c r="F5" t="s">
        <v>3166</v>
      </c>
      <c r="G5" t="s">
        <v>24</v>
      </c>
      <c r="H5" t="s">
        <v>26</v>
      </c>
      <c r="I5" t="s">
        <v>3167</v>
      </c>
      <c r="J5" t="s">
        <v>1003</v>
      </c>
      <c r="K5" t="s">
        <v>3175</v>
      </c>
      <c r="L5" t="s">
        <v>1003</v>
      </c>
      <c r="M5" t="s">
        <v>1000</v>
      </c>
      <c r="N5" t="s">
        <v>1001</v>
      </c>
      <c r="O5" t="s">
        <v>1001</v>
      </c>
      <c r="P5" t="s">
        <v>1089</v>
      </c>
      <c r="Q5" t="s">
        <v>3169</v>
      </c>
      <c r="R5" t="s">
        <v>446</v>
      </c>
      <c r="S5" t="s">
        <v>446</v>
      </c>
      <c r="T5" t="s">
        <v>1965</v>
      </c>
      <c r="U5" t="b">
        <v>0</v>
      </c>
      <c r="V5" t="s">
        <v>446</v>
      </c>
    </row>
    <row r="6" spans="1:22" x14ac:dyDescent="0.25">
      <c r="A6" t="s">
        <v>42</v>
      </c>
      <c r="B6">
        <v>24</v>
      </c>
      <c r="C6" t="s">
        <v>1005</v>
      </c>
      <c r="D6" t="s">
        <v>3176</v>
      </c>
      <c r="E6" t="s">
        <v>982</v>
      </c>
      <c r="F6" t="s">
        <v>3166</v>
      </c>
      <c r="G6" t="s">
        <v>24</v>
      </c>
      <c r="H6" t="s">
        <v>26</v>
      </c>
      <c r="I6" t="s">
        <v>3167</v>
      </c>
      <c r="J6" t="s">
        <v>1003</v>
      </c>
      <c r="K6" t="s">
        <v>3175</v>
      </c>
      <c r="L6" t="s">
        <v>1003</v>
      </c>
      <c r="M6" t="s">
        <v>1000</v>
      </c>
      <c r="N6" t="s">
        <v>1001</v>
      </c>
      <c r="O6" t="s">
        <v>1001</v>
      </c>
      <c r="P6" t="s">
        <v>1089</v>
      </c>
      <c r="Q6" t="s">
        <v>3169</v>
      </c>
      <c r="R6" t="s">
        <v>446</v>
      </c>
      <c r="S6" t="s">
        <v>446</v>
      </c>
      <c r="T6" t="s">
        <v>1965</v>
      </c>
      <c r="U6" t="b">
        <v>0</v>
      </c>
      <c r="V6" t="s">
        <v>446</v>
      </c>
    </row>
    <row r="7" spans="1:22" x14ac:dyDescent="0.25">
      <c r="A7" t="s">
        <v>42</v>
      </c>
      <c r="B7">
        <v>24</v>
      </c>
      <c r="C7" t="s">
        <v>1007</v>
      </c>
      <c r="D7" t="s">
        <v>3177</v>
      </c>
      <c r="E7" t="s">
        <v>1006</v>
      </c>
      <c r="F7" t="s">
        <v>3178</v>
      </c>
      <c r="G7" t="s">
        <v>24</v>
      </c>
      <c r="H7" t="s">
        <v>26</v>
      </c>
      <c r="I7" t="s">
        <v>3167</v>
      </c>
      <c r="J7" t="s">
        <v>1011</v>
      </c>
      <c r="K7" t="s">
        <v>3179</v>
      </c>
      <c r="L7" t="s">
        <v>1011</v>
      </c>
      <c r="M7" t="s">
        <v>1008</v>
      </c>
      <c r="N7" t="s">
        <v>1009</v>
      </c>
      <c r="O7" t="s">
        <v>1009</v>
      </c>
      <c r="P7" t="s">
        <v>1089</v>
      </c>
      <c r="Q7" t="s">
        <v>3169</v>
      </c>
      <c r="R7" t="s">
        <v>446</v>
      </c>
      <c r="S7" t="s">
        <v>446</v>
      </c>
      <c r="T7" t="s">
        <v>1965</v>
      </c>
      <c r="U7" t="b">
        <v>0</v>
      </c>
      <c r="V7" t="s">
        <v>446</v>
      </c>
    </row>
    <row r="8" spans="1:22" x14ac:dyDescent="0.25">
      <c r="A8" t="s">
        <v>42</v>
      </c>
      <c r="B8">
        <v>24</v>
      </c>
      <c r="C8" t="s">
        <v>1014</v>
      </c>
      <c r="D8" t="s">
        <v>3180</v>
      </c>
      <c r="E8" t="s">
        <v>1013</v>
      </c>
      <c r="F8" t="s">
        <v>3178</v>
      </c>
      <c r="G8" t="s">
        <v>24</v>
      </c>
      <c r="H8" t="s">
        <v>26</v>
      </c>
      <c r="I8" t="s">
        <v>3167</v>
      </c>
      <c r="J8" t="s">
        <v>1016</v>
      </c>
      <c r="K8" t="s">
        <v>3181</v>
      </c>
      <c r="L8" t="s">
        <v>1016</v>
      </c>
      <c r="M8" t="s">
        <v>980</v>
      </c>
      <c r="N8" t="s">
        <v>1015</v>
      </c>
      <c r="O8" t="s">
        <v>1015</v>
      </c>
      <c r="P8" t="s">
        <v>1089</v>
      </c>
      <c r="Q8" t="s">
        <v>3169</v>
      </c>
      <c r="R8" t="s">
        <v>446</v>
      </c>
      <c r="S8" t="s">
        <v>446</v>
      </c>
      <c r="T8" t="s">
        <v>1965</v>
      </c>
      <c r="U8" t="b">
        <v>0</v>
      </c>
      <c r="V8" t="s">
        <v>446</v>
      </c>
    </row>
    <row r="9" spans="1:22" x14ac:dyDescent="0.25">
      <c r="A9" t="s">
        <v>42</v>
      </c>
      <c r="B9">
        <v>24</v>
      </c>
      <c r="C9" t="s">
        <v>1019</v>
      </c>
      <c r="D9" t="s">
        <v>3182</v>
      </c>
      <c r="E9" t="s">
        <v>1018</v>
      </c>
      <c r="F9" t="s">
        <v>3178</v>
      </c>
      <c r="G9" t="s">
        <v>24</v>
      </c>
      <c r="H9" t="s">
        <v>26</v>
      </c>
      <c r="I9" t="s">
        <v>3167</v>
      </c>
      <c r="J9" t="s">
        <v>1021</v>
      </c>
      <c r="K9" t="s">
        <v>3183</v>
      </c>
      <c r="L9" t="s">
        <v>1021</v>
      </c>
      <c r="M9" t="s">
        <v>980</v>
      </c>
      <c r="N9" t="s">
        <v>1020</v>
      </c>
      <c r="O9" t="s">
        <v>1020</v>
      </c>
      <c r="P9" t="s">
        <v>1089</v>
      </c>
      <c r="Q9" t="s">
        <v>3169</v>
      </c>
      <c r="R9" t="s">
        <v>446</v>
      </c>
      <c r="S9" t="s">
        <v>446</v>
      </c>
      <c r="T9" t="s">
        <v>1965</v>
      </c>
      <c r="U9" t="b">
        <v>0</v>
      </c>
      <c r="V9" t="s">
        <v>446</v>
      </c>
    </row>
    <row r="10" spans="1:22" x14ac:dyDescent="0.25">
      <c r="A10" t="s">
        <v>42</v>
      </c>
      <c r="B10">
        <v>24</v>
      </c>
      <c r="C10" t="s">
        <v>1024</v>
      </c>
      <c r="D10" t="s">
        <v>3184</v>
      </c>
      <c r="E10" t="s">
        <v>1023</v>
      </c>
      <c r="F10" t="s">
        <v>3178</v>
      </c>
      <c r="G10" t="s">
        <v>24</v>
      </c>
      <c r="H10" t="s">
        <v>26</v>
      </c>
      <c r="I10" t="s">
        <v>3167</v>
      </c>
      <c r="J10" t="s">
        <v>1026</v>
      </c>
      <c r="K10" t="s">
        <v>3185</v>
      </c>
      <c r="L10" t="s">
        <v>1026</v>
      </c>
      <c r="M10" t="s">
        <v>1000</v>
      </c>
      <c r="N10" t="s">
        <v>1025</v>
      </c>
      <c r="O10" t="s">
        <v>1025</v>
      </c>
      <c r="P10" t="s">
        <v>1089</v>
      </c>
      <c r="Q10" t="s">
        <v>3169</v>
      </c>
      <c r="R10" t="s">
        <v>446</v>
      </c>
      <c r="S10" t="s">
        <v>446</v>
      </c>
      <c r="T10" t="s">
        <v>1965</v>
      </c>
      <c r="U10" t="b">
        <v>0</v>
      </c>
      <c r="V10" t="s">
        <v>446</v>
      </c>
    </row>
    <row r="11" spans="1:22" x14ac:dyDescent="0.25">
      <c r="A11" t="s">
        <v>42</v>
      </c>
      <c r="B11">
        <v>24</v>
      </c>
      <c r="C11" t="s">
        <v>1028</v>
      </c>
      <c r="D11" t="s">
        <v>3186</v>
      </c>
      <c r="E11" t="s">
        <v>1010</v>
      </c>
      <c r="F11" t="s">
        <v>3178</v>
      </c>
      <c r="G11" t="s">
        <v>24</v>
      </c>
      <c r="H11" t="s">
        <v>26</v>
      </c>
      <c r="I11" t="s">
        <v>3167</v>
      </c>
      <c r="J11" t="s">
        <v>1026</v>
      </c>
      <c r="K11" t="s">
        <v>3185</v>
      </c>
      <c r="L11" t="s">
        <v>1026</v>
      </c>
      <c r="M11" t="s">
        <v>1000</v>
      </c>
      <c r="N11" t="s">
        <v>1025</v>
      </c>
      <c r="O11" t="s">
        <v>1025</v>
      </c>
      <c r="P11" t="s">
        <v>1089</v>
      </c>
      <c r="Q11" t="s">
        <v>3169</v>
      </c>
      <c r="R11" t="s">
        <v>446</v>
      </c>
      <c r="S11" t="s">
        <v>446</v>
      </c>
      <c r="T11" t="s">
        <v>1965</v>
      </c>
      <c r="U11" t="b">
        <v>0</v>
      </c>
      <c r="V11" t="s">
        <v>446</v>
      </c>
    </row>
    <row r="12" spans="1:22" x14ac:dyDescent="0.25">
      <c r="A12" t="s">
        <v>42</v>
      </c>
      <c r="B12">
        <v>24</v>
      </c>
      <c r="C12" t="s">
        <v>1030</v>
      </c>
      <c r="D12" t="s">
        <v>3187</v>
      </c>
      <c r="E12" t="s">
        <v>1029</v>
      </c>
      <c r="F12" t="s">
        <v>3188</v>
      </c>
      <c r="G12" t="s">
        <v>24</v>
      </c>
      <c r="H12" t="s">
        <v>26</v>
      </c>
      <c r="I12" t="s">
        <v>3167</v>
      </c>
      <c r="J12" t="s">
        <v>1033</v>
      </c>
      <c r="K12" t="s">
        <v>3189</v>
      </c>
      <c r="L12" t="s">
        <v>1033</v>
      </c>
      <c r="M12" t="s">
        <v>980</v>
      </c>
      <c r="N12" t="s">
        <v>1031</v>
      </c>
      <c r="O12" t="s">
        <v>1031</v>
      </c>
      <c r="P12" t="s">
        <v>1089</v>
      </c>
      <c r="Q12" t="s">
        <v>3169</v>
      </c>
      <c r="R12" t="s">
        <v>446</v>
      </c>
      <c r="S12" t="s">
        <v>446</v>
      </c>
      <c r="T12" t="s">
        <v>1965</v>
      </c>
      <c r="U12" t="b">
        <v>0</v>
      </c>
      <c r="V12" t="s">
        <v>446</v>
      </c>
    </row>
    <row r="13" spans="1:22" x14ac:dyDescent="0.25">
      <c r="A13" t="s">
        <v>42</v>
      </c>
      <c r="B13">
        <v>24</v>
      </c>
      <c r="C13" t="s">
        <v>1036</v>
      </c>
      <c r="D13" t="s">
        <v>3190</v>
      </c>
      <c r="E13" t="s">
        <v>1035</v>
      </c>
      <c r="F13" t="s">
        <v>3188</v>
      </c>
      <c r="G13" t="s">
        <v>24</v>
      </c>
      <c r="H13" t="s">
        <v>26</v>
      </c>
      <c r="I13" t="s">
        <v>3167</v>
      </c>
      <c r="J13" t="s">
        <v>1038</v>
      </c>
      <c r="K13" t="s">
        <v>3191</v>
      </c>
      <c r="L13" t="s">
        <v>1038</v>
      </c>
      <c r="M13" t="s">
        <v>980</v>
      </c>
      <c r="N13" t="s">
        <v>1037</v>
      </c>
      <c r="O13" t="s">
        <v>1037</v>
      </c>
      <c r="P13" t="s">
        <v>1089</v>
      </c>
      <c r="Q13" t="s">
        <v>3169</v>
      </c>
      <c r="R13" t="s">
        <v>446</v>
      </c>
      <c r="S13" t="s">
        <v>446</v>
      </c>
      <c r="T13" t="s">
        <v>1965</v>
      </c>
      <c r="U13" t="b">
        <v>0</v>
      </c>
      <c r="V13" t="s">
        <v>446</v>
      </c>
    </row>
    <row r="14" spans="1:22" x14ac:dyDescent="0.25">
      <c r="A14" t="s">
        <v>42</v>
      </c>
      <c r="B14">
        <v>24</v>
      </c>
      <c r="C14" t="s">
        <v>1041</v>
      </c>
      <c r="D14" t="s">
        <v>3192</v>
      </c>
      <c r="E14" t="s">
        <v>1040</v>
      </c>
      <c r="F14" t="s">
        <v>3188</v>
      </c>
      <c r="G14" t="s">
        <v>24</v>
      </c>
      <c r="H14" t="s">
        <v>26</v>
      </c>
      <c r="I14" t="s">
        <v>3167</v>
      </c>
      <c r="J14" t="s">
        <v>1043</v>
      </c>
      <c r="K14" t="s">
        <v>3193</v>
      </c>
      <c r="L14" t="s">
        <v>1043</v>
      </c>
      <c r="M14" t="s">
        <v>980</v>
      </c>
      <c r="N14" t="s">
        <v>1042</v>
      </c>
      <c r="O14" t="s">
        <v>1042</v>
      </c>
      <c r="P14" t="s">
        <v>1089</v>
      </c>
      <c r="Q14" t="s">
        <v>3169</v>
      </c>
      <c r="R14" t="s">
        <v>446</v>
      </c>
      <c r="S14" t="s">
        <v>446</v>
      </c>
      <c r="T14" t="s">
        <v>1965</v>
      </c>
      <c r="U14" t="b">
        <v>0</v>
      </c>
      <c r="V14" t="s">
        <v>446</v>
      </c>
    </row>
    <row r="15" spans="1:22" x14ac:dyDescent="0.25">
      <c r="A15" t="s">
        <v>42</v>
      </c>
      <c r="B15">
        <v>24</v>
      </c>
      <c r="C15" t="s">
        <v>1046</v>
      </c>
      <c r="D15" t="s">
        <v>3194</v>
      </c>
      <c r="E15" t="s">
        <v>1045</v>
      </c>
      <c r="F15" t="s">
        <v>3188</v>
      </c>
      <c r="G15" t="s">
        <v>24</v>
      </c>
      <c r="H15" t="s">
        <v>26</v>
      </c>
      <c r="I15" t="s">
        <v>3167</v>
      </c>
      <c r="J15" t="s">
        <v>1048</v>
      </c>
      <c r="K15" t="s">
        <v>3195</v>
      </c>
      <c r="L15" t="s">
        <v>1048</v>
      </c>
      <c r="M15" t="s">
        <v>1000</v>
      </c>
      <c r="N15" t="s">
        <v>1047</v>
      </c>
      <c r="O15" t="s">
        <v>1047</v>
      </c>
      <c r="P15" t="s">
        <v>1089</v>
      </c>
      <c r="Q15" t="s">
        <v>3169</v>
      </c>
      <c r="R15" t="s">
        <v>446</v>
      </c>
      <c r="S15" t="s">
        <v>446</v>
      </c>
      <c r="T15" t="s">
        <v>1965</v>
      </c>
      <c r="U15" t="b">
        <v>0</v>
      </c>
      <c r="V15" t="s">
        <v>446</v>
      </c>
    </row>
    <row r="16" spans="1:22" x14ac:dyDescent="0.25">
      <c r="A16" t="s">
        <v>42</v>
      </c>
      <c r="B16">
        <v>24</v>
      </c>
      <c r="C16" t="s">
        <v>1050</v>
      </c>
      <c r="D16" t="s">
        <v>3196</v>
      </c>
      <c r="E16" t="s">
        <v>1032</v>
      </c>
      <c r="F16" t="s">
        <v>3188</v>
      </c>
      <c r="G16" t="s">
        <v>24</v>
      </c>
      <c r="H16" t="s">
        <v>26</v>
      </c>
      <c r="I16" t="s">
        <v>3167</v>
      </c>
      <c r="J16" t="s">
        <v>1048</v>
      </c>
      <c r="K16" t="s">
        <v>3195</v>
      </c>
      <c r="L16" t="s">
        <v>1048</v>
      </c>
      <c r="M16" t="s">
        <v>1000</v>
      </c>
      <c r="N16" t="s">
        <v>1047</v>
      </c>
      <c r="O16" t="s">
        <v>1047</v>
      </c>
      <c r="P16" t="s">
        <v>1089</v>
      </c>
      <c r="Q16" t="s">
        <v>3169</v>
      </c>
      <c r="R16" t="s">
        <v>446</v>
      </c>
      <c r="S16" t="s">
        <v>446</v>
      </c>
      <c r="T16" t="s">
        <v>1965</v>
      </c>
      <c r="U16" t="b">
        <v>0</v>
      </c>
      <c r="V16" t="s">
        <v>446</v>
      </c>
    </row>
    <row r="17" spans="1:22" x14ac:dyDescent="0.25">
      <c r="A17" t="s">
        <v>42</v>
      </c>
      <c r="B17">
        <v>24</v>
      </c>
      <c r="C17" t="s">
        <v>1052</v>
      </c>
      <c r="D17" t="s">
        <v>3197</v>
      </c>
      <c r="E17" t="s">
        <v>1051</v>
      </c>
      <c r="F17" t="s">
        <v>3198</v>
      </c>
      <c r="G17" t="s">
        <v>24</v>
      </c>
      <c r="H17" t="s">
        <v>26</v>
      </c>
      <c r="I17" t="s">
        <v>3167</v>
      </c>
      <c r="J17" t="s">
        <v>1055</v>
      </c>
      <c r="K17" t="s">
        <v>3199</v>
      </c>
      <c r="L17" t="s">
        <v>1055</v>
      </c>
      <c r="M17" t="s">
        <v>980</v>
      </c>
      <c r="N17" t="s">
        <v>1053</v>
      </c>
      <c r="O17" t="s">
        <v>1053</v>
      </c>
      <c r="P17" t="s">
        <v>1089</v>
      </c>
      <c r="Q17" t="s">
        <v>3169</v>
      </c>
      <c r="R17" t="s">
        <v>446</v>
      </c>
      <c r="S17" t="s">
        <v>446</v>
      </c>
      <c r="T17" t="s">
        <v>1965</v>
      </c>
      <c r="U17" t="b">
        <v>0</v>
      </c>
      <c r="V17" t="s">
        <v>446</v>
      </c>
    </row>
    <row r="18" spans="1:22" x14ac:dyDescent="0.25">
      <c r="A18" t="s">
        <v>42</v>
      </c>
      <c r="B18">
        <v>25</v>
      </c>
      <c r="C18" t="s">
        <v>979</v>
      </c>
      <c r="D18" t="s">
        <v>3200</v>
      </c>
      <c r="E18" t="s">
        <v>978</v>
      </c>
      <c r="F18" t="s">
        <v>978</v>
      </c>
      <c r="G18" t="s">
        <v>24</v>
      </c>
      <c r="H18" t="s">
        <v>26</v>
      </c>
      <c r="I18" t="s">
        <v>3167</v>
      </c>
      <c r="J18" t="s">
        <v>984</v>
      </c>
      <c r="K18" t="s">
        <v>3168</v>
      </c>
      <c r="L18" t="s">
        <v>984</v>
      </c>
      <c r="M18" t="s">
        <v>980</v>
      </c>
      <c r="N18" t="s">
        <v>981</v>
      </c>
      <c r="O18" t="s">
        <v>981</v>
      </c>
      <c r="P18" t="s">
        <v>1089</v>
      </c>
      <c r="Q18" t="s">
        <v>3169</v>
      </c>
      <c r="R18" t="s">
        <v>446</v>
      </c>
      <c r="S18" t="s">
        <v>446</v>
      </c>
      <c r="T18" t="s">
        <v>1965</v>
      </c>
      <c r="U18" t="b">
        <v>0</v>
      </c>
      <c r="V18" t="s">
        <v>446</v>
      </c>
    </row>
    <row r="19" spans="1:22" x14ac:dyDescent="0.25">
      <c r="A19" t="s">
        <v>42</v>
      </c>
      <c r="B19">
        <v>25</v>
      </c>
      <c r="C19" t="s">
        <v>987</v>
      </c>
      <c r="D19" t="s">
        <v>3201</v>
      </c>
      <c r="E19" t="s">
        <v>986</v>
      </c>
      <c r="F19" t="s">
        <v>986</v>
      </c>
      <c r="G19" t="s">
        <v>24</v>
      </c>
      <c r="H19" t="s">
        <v>26</v>
      </c>
      <c r="I19" t="s">
        <v>3167</v>
      </c>
      <c r="J19" t="s">
        <v>990</v>
      </c>
      <c r="K19" t="s">
        <v>3171</v>
      </c>
      <c r="L19" t="s">
        <v>990</v>
      </c>
      <c r="M19" t="s">
        <v>980</v>
      </c>
      <c r="N19" t="s">
        <v>988</v>
      </c>
      <c r="O19" t="s">
        <v>988</v>
      </c>
      <c r="P19" t="s">
        <v>1089</v>
      </c>
      <c r="Q19" t="s">
        <v>3169</v>
      </c>
      <c r="R19" t="s">
        <v>446</v>
      </c>
      <c r="S19" t="s">
        <v>446</v>
      </c>
      <c r="T19" t="s">
        <v>1965</v>
      </c>
      <c r="U19" t="b">
        <v>0</v>
      </c>
      <c r="V19" t="s">
        <v>446</v>
      </c>
    </row>
    <row r="20" spans="1:22" x14ac:dyDescent="0.25">
      <c r="A20" t="s">
        <v>42</v>
      </c>
      <c r="B20">
        <v>25</v>
      </c>
      <c r="C20" t="s">
        <v>993</v>
      </c>
      <c r="D20" t="s">
        <v>3202</v>
      </c>
      <c r="E20" t="s">
        <v>992</v>
      </c>
      <c r="F20" t="s">
        <v>992</v>
      </c>
      <c r="G20" t="s">
        <v>24</v>
      </c>
      <c r="H20" t="s">
        <v>26</v>
      </c>
      <c r="I20" t="s">
        <v>3167</v>
      </c>
      <c r="J20" t="s">
        <v>996</v>
      </c>
      <c r="K20" t="s">
        <v>3173</v>
      </c>
      <c r="L20" t="s">
        <v>996</v>
      </c>
      <c r="M20" t="s">
        <v>980</v>
      </c>
      <c r="N20" t="s">
        <v>994</v>
      </c>
      <c r="O20" t="s">
        <v>994</v>
      </c>
      <c r="P20" t="s">
        <v>1089</v>
      </c>
      <c r="Q20" t="s">
        <v>3169</v>
      </c>
      <c r="R20" t="s">
        <v>446</v>
      </c>
      <c r="S20" t="s">
        <v>446</v>
      </c>
      <c r="T20" t="s">
        <v>1965</v>
      </c>
      <c r="U20" t="b">
        <v>0</v>
      </c>
      <c r="V20" t="s">
        <v>446</v>
      </c>
    </row>
    <row r="21" spans="1:22" x14ac:dyDescent="0.25">
      <c r="A21" t="s">
        <v>42</v>
      </c>
      <c r="B21">
        <v>25</v>
      </c>
      <c r="C21" t="s">
        <v>999</v>
      </c>
      <c r="D21" t="s">
        <v>3203</v>
      </c>
      <c r="E21" t="s">
        <v>998</v>
      </c>
      <c r="F21" t="s">
        <v>998</v>
      </c>
      <c r="G21" t="s">
        <v>24</v>
      </c>
      <c r="H21" t="s">
        <v>26</v>
      </c>
      <c r="I21" t="s">
        <v>3167</v>
      </c>
      <c r="J21" t="s">
        <v>1003</v>
      </c>
      <c r="K21" t="s">
        <v>3175</v>
      </c>
      <c r="L21" t="s">
        <v>1003</v>
      </c>
      <c r="M21" t="s">
        <v>1000</v>
      </c>
      <c r="N21" t="s">
        <v>1001</v>
      </c>
      <c r="O21" t="s">
        <v>1001</v>
      </c>
      <c r="P21" t="s">
        <v>1089</v>
      </c>
      <c r="Q21" t="s">
        <v>3169</v>
      </c>
      <c r="R21" t="s">
        <v>446</v>
      </c>
      <c r="S21" t="s">
        <v>446</v>
      </c>
      <c r="T21" t="s">
        <v>1965</v>
      </c>
      <c r="U21" t="b">
        <v>0</v>
      </c>
      <c r="V21" t="s">
        <v>446</v>
      </c>
    </row>
    <row r="22" spans="1:22" x14ac:dyDescent="0.25">
      <c r="A22" t="s">
        <v>42</v>
      </c>
      <c r="B22">
        <v>25</v>
      </c>
      <c r="C22" t="s">
        <v>1005</v>
      </c>
      <c r="D22" t="s">
        <v>3204</v>
      </c>
      <c r="E22" t="s">
        <v>982</v>
      </c>
      <c r="F22" t="s">
        <v>3166</v>
      </c>
      <c r="G22" t="s">
        <v>24</v>
      </c>
      <c r="H22" t="s">
        <v>26</v>
      </c>
      <c r="I22" t="s">
        <v>3167</v>
      </c>
      <c r="J22" t="s">
        <v>1003</v>
      </c>
      <c r="K22" t="s">
        <v>3175</v>
      </c>
      <c r="L22" t="s">
        <v>1003</v>
      </c>
      <c r="M22" t="s">
        <v>1000</v>
      </c>
      <c r="N22" t="s">
        <v>1001</v>
      </c>
      <c r="O22" t="s">
        <v>1001</v>
      </c>
      <c r="P22" t="s">
        <v>1089</v>
      </c>
      <c r="Q22" t="s">
        <v>3169</v>
      </c>
      <c r="R22" t="s">
        <v>446</v>
      </c>
      <c r="S22" t="s">
        <v>446</v>
      </c>
      <c r="T22" t="s">
        <v>1965</v>
      </c>
      <c r="U22" t="b">
        <v>0</v>
      </c>
      <c r="V22" t="s">
        <v>446</v>
      </c>
    </row>
    <row r="23" spans="1:22" x14ac:dyDescent="0.25">
      <c r="A23" t="s">
        <v>42</v>
      </c>
      <c r="B23">
        <v>25</v>
      </c>
      <c r="C23" t="s">
        <v>1007</v>
      </c>
      <c r="D23" t="s">
        <v>3205</v>
      </c>
      <c r="E23" t="s">
        <v>1006</v>
      </c>
      <c r="F23" t="s">
        <v>1006</v>
      </c>
      <c r="G23" t="s">
        <v>24</v>
      </c>
      <c r="H23" t="s">
        <v>26</v>
      </c>
      <c r="I23" t="s">
        <v>3167</v>
      </c>
      <c r="J23" t="s">
        <v>1011</v>
      </c>
      <c r="K23" t="s">
        <v>3179</v>
      </c>
      <c r="L23" t="s">
        <v>1011</v>
      </c>
      <c r="M23" t="s">
        <v>1008</v>
      </c>
      <c r="N23" t="s">
        <v>1009</v>
      </c>
      <c r="O23" t="s">
        <v>1009</v>
      </c>
      <c r="P23" t="s">
        <v>1089</v>
      </c>
      <c r="Q23" t="s">
        <v>3169</v>
      </c>
      <c r="R23" t="s">
        <v>446</v>
      </c>
      <c r="S23" t="s">
        <v>446</v>
      </c>
      <c r="T23" t="s">
        <v>1965</v>
      </c>
      <c r="U23" t="b">
        <v>0</v>
      </c>
      <c r="V23" t="s">
        <v>446</v>
      </c>
    </row>
    <row r="24" spans="1:22" x14ac:dyDescent="0.25">
      <c r="A24" t="s">
        <v>42</v>
      </c>
      <c r="B24">
        <v>25</v>
      </c>
      <c r="C24" t="s">
        <v>1014</v>
      </c>
      <c r="D24" t="s">
        <v>3206</v>
      </c>
      <c r="E24" t="s">
        <v>1013</v>
      </c>
      <c r="F24" t="s">
        <v>1013</v>
      </c>
      <c r="G24" t="s">
        <v>24</v>
      </c>
      <c r="H24" t="s">
        <v>26</v>
      </c>
      <c r="I24" t="s">
        <v>3167</v>
      </c>
      <c r="J24" t="s">
        <v>1016</v>
      </c>
      <c r="K24" t="s">
        <v>3181</v>
      </c>
      <c r="L24" t="s">
        <v>1016</v>
      </c>
      <c r="M24" t="s">
        <v>980</v>
      </c>
      <c r="N24" t="s">
        <v>1015</v>
      </c>
      <c r="O24" t="s">
        <v>1015</v>
      </c>
      <c r="P24" t="s">
        <v>1089</v>
      </c>
      <c r="Q24" t="s">
        <v>3169</v>
      </c>
      <c r="R24" t="s">
        <v>446</v>
      </c>
      <c r="S24" t="s">
        <v>446</v>
      </c>
      <c r="T24" t="s">
        <v>1965</v>
      </c>
      <c r="U24" t="b">
        <v>0</v>
      </c>
      <c r="V24" t="s">
        <v>446</v>
      </c>
    </row>
    <row r="25" spans="1:22" x14ac:dyDescent="0.25">
      <c r="A25" t="s">
        <v>42</v>
      </c>
      <c r="B25">
        <v>25</v>
      </c>
      <c r="C25" t="s">
        <v>1019</v>
      </c>
      <c r="D25" t="s">
        <v>3207</v>
      </c>
      <c r="E25" t="s">
        <v>1018</v>
      </c>
      <c r="F25" t="s">
        <v>1018</v>
      </c>
      <c r="G25" t="s">
        <v>24</v>
      </c>
      <c r="H25" t="s">
        <v>26</v>
      </c>
      <c r="I25" t="s">
        <v>3167</v>
      </c>
      <c r="J25" t="s">
        <v>1021</v>
      </c>
      <c r="K25" t="s">
        <v>3183</v>
      </c>
      <c r="L25" t="s">
        <v>1021</v>
      </c>
      <c r="M25" t="s">
        <v>980</v>
      </c>
      <c r="N25" t="s">
        <v>1020</v>
      </c>
      <c r="O25" t="s">
        <v>1020</v>
      </c>
      <c r="P25" t="s">
        <v>1089</v>
      </c>
      <c r="Q25" t="s">
        <v>3169</v>
      </c>
      <c r="R25" t="s">
        <v>446</v>
      </c>
      <c r="S25" t="s">
        <v>446</v>
      </c>
      <c r="T25" t="s">
        <v>1965</v>
      </c>
      <c r="U25" t="b">
        <v>0</v>
      </c>
      <c r="V25" t="s">
        <v>446</v>
      </c>
    </row>
    <row r="26" spans="1:22" x14ac:dyDescent="0.25">
      <c r="A26" t="s">
        <v>42</v>
      </c>
      <c r="B26">
        <v>25</v>
      </c>
      <c r="C26" t="s">
        <v>1024</v>
      </c>
      <c r="D26" t="s">
        <v>3208</v>
      </c>
      <c r="E26" t="s">
        <v>1023</v>
      </c>
      <c r="F26" t="s">
        <v>1023</v>
      </c>
      <c r="G26" t="s">
        <v>24</v>
      </c>
      <c r="H26" t="s">
        <v>26</v>
      </c>
      <c r="I26" t="s">
        <v>3167</v>
      </c>
      <c r="J26" t="s">
        <v>1026</v>
      </c>
      <c r="K26" t="s">
        <v>3185</v>
      </c>
      <c r="L26" t="s">
        <v>1026</v>
      </c>
      <c r="M26" t="s">
        <v>1000</v>
      </c>
      <c r="N26" t="s">
        <v>1025</v>
      </c>
      <c r="O26" t="s">
        <v>1025</v>
      </c>
      <c r="P26" t="s">
        <v>1089</v>
      </c>
      <c r="Q26" t="s">
        <v>3169</v>
      </c>
      <c r="R26" t="s">
        <v>446</v>
      </c>
      <c r="S26" t="s">
        <v>446</v>
      </c>
      <c r="T26" t="s">
        <v>1965</v>
      </c>
      <c r="U26" t="b">
        <v>0</v>
      </c>
      <c r="V26" t="s">
        <v>446</v>
      </c>
    </row>
    <row r="27" spans="1:22" x14ac:dyDescent="0.25">
      <c r="A27" t="s">
        <v>42</v>
      </c>
      <c r="B27">
        <v>25</v>
      </c>
      <c r="C27" t="s">
        <v>1028</v>
      </c>
      <c r="D27" t="s">
        <v>3209</v>
      </c>
      <c r="E27" t="s">
        <v>1010</v>
      </c>
      <c r="F27" t="s">
        <v>3178</v>
      </c>
      <c r="G27" t="s">
        <v>24</v>
      </c>
      <c r="H27" t="s">
        <v>26</v>
      </c>
      <c r="I27" t="s">
        <v>3167</v>
      </c>
      <c r="J27" t="s">
        <v>1026</v>
      </c>
      <c r="K27" t="s">
        <v>3185</v>
      </c>
      <c r="L27" t="s">
        <v>1026</v>
      </c>
      <c r="M27" t="s">
        <v>1000</v>
      </c>
      <c r="N27" t="s">
        <v>1025</v>
      </c>
      <c r="O27" t="s">
        <v>1025</v>
      </c>
      <c r="P27" t="s">
        <v>1089</v>
      </c>
      <c r="Q27" t="s">
        <v>3169</v>
      </c>
      <c r="R27" t="s">
        <v>446</v>
      </c>
      <c r="S27" t="s">
        <v>446</v>
      </c>
      <c r="T27" t="s">
        <v>1965</v>
      </c>
      <c r="U27" t="b">
        <v>0</v>
      </c>
      <c r="V27" t="s">
        <v>446</v>
      </c>
    </row>
    <row r="28" spans="1:22" x14ac:dyDescent="0.25">
      <c r="A28" t="s">
        <v>42</v>
      </c>
      <c r="B28">
        <v>25</v>
      </c>
      <c r="C28" t="s">
        <v>1030</v>
      </c>
      <c r="D28" t="s">
        <v>3210</v>
      </c>
      <c r="E28" t="s">
        <v>1029</v>
      </c>
      <c r="F28" t="s">
        <v>1029</v>
      </c>
      <c r="G28" t="s">
        <v>24</v>
      </c>
      <c r="H28" t="s">
        <v>26</v>
      </c>
      <c r="I28" t="s">
        <v>3167</v>
      </c>
      <c r="J28" t="s">
        <v>1033</v>
      </c>
      <c r="K28" t="s">
        <v>3189</v>
      </c>
      <c r="L28" t="s">
        <v>1033</v>
      </c>
      <c r="M28" t="s">
        <v>980</v>
      </c>
      <c r="N28" t="s">
        <v>1031</v>
      </c>
      <c r="O28" t="s">
        <v>1031</v>
      </c>
      <c r="P28" t="s">
        <v>1089</v>
      </c>
      <c r="Q28" t="s">
        <v>3169</v>
      </c>
      <c r="R28" t="s">
        <v>446</v>
      </c>
      <c r="S28" t="s">
        <v>446</v>
      </c>
      <c r="T28" t="s">
        <v>1965</v>
      </c>
      <c r="U28" t="b">
        <v>0</v>
      </c>
      <c r="V28" t="s">
        <v>446</v>
      </c>
    </row>
    <row r="29" spans="1:22" x14ac:dyDescent="0.25">
      <c r="A29" t="s">
        <v>42</v>
      </c>
      <c r="B29">
        <v>25</v>
      </c>
      <c r="C29" t="s">
        <v>1036</v>
      </c>
      <c r="D29" t="s">
        <v>3211</v>
      </c>
      <c r="E29" t="s">
        <v>1035</v>
      </c>
      <c r="F29" t="s">
        <v>1035</v>
      </c>
      <c r="G29" t="s">
        <v>24</v>
      </c>
      <c r="H29" t="s">
        <v>26</v>
      </c>
      <c r="I29" t="s">
        <v>3167</v>
      </c>
      <c r="J29" t="s">
        <v>1038</v>
      </c>
      <c r="K29" t="s">
        <v>3191</v>
      </c>
      <c r="L29" t="s">
        <v>1038</v>
      </c>
      <c r="M29" t="s">
        <v>980</v>
      </c>
      <c r="N29" t="s">
        <v>1037</v>
      </c>
      <c r="O29" t="s">
        <v>1037</v>
      </c>
      <c r="P29" t="s">
        <v>1089</v>
      </c>
      <c r="Q29" t="s">
        <v>3169</v>
      </c>
      <c r="R29" t="s">
        <v>446</v>
      </c>
      <c r="S29" t="s">
        <v>446</v>
      </c>
      <c r="T29" t="s">
        <v>1965</v>
      </c>
      <c r="U29" t="b">
        <v>0</v>
      </c>
      <c r="V29" t="s">
        <v>446</v>
      </c>
    </row>
    <row r="30" spans="1:22" x14ac:dyDescent="0.25">
      <c r="A30" t="s">
        <v>42</v>
      </c>
      <c r="B30">
        <v>25</v>
      </c>
      <c r="C30" t="s">
        <v>1041</v>
      </c>
      <c r="D30" t="s">
        <v>3212</v>
      </c>
      <c r="E30" t="s">
        <v>1040</v>
      </c>
      <c r="F30" t="s">
        <v>1040</v>
      </c>
      <c r="G30" t="s">
        <v>24</v>
      </c>
      <c r="H30" t="s">
        <v>26</v>
      </c>
      <c r="I30" t="s">
        <v>3167</v>
      </c>
      <c r="J30" t="s">
        <v>1043</v>
      </c>
      <c r="K30" t="s">
        <v>3193</v>
      </c>
      <c r="L30" t="s">
        <v>1043</v>
      </c>
      <c r="M30" t="s">
        <v>980</v>
      </c>
      <c r="N30" t="s">
        <v>1042</v>
      </c>
      <c r="O30" t="s">
        <v>1042</v>
      </c>
      <c r="P30" t="s">
        <v>1089</v>
      </c>
      <c r="Q30" t="s">
        <v>3169</v>
      </c>
      <c r="R30" t="s">
        <v>446</v>
      </c>
      <c r="S30" t="s">
        <v>446</v>
      </c>
      <c r="T30" t="s">
        <v>1965</v>
      </c>
      <c r="U30" t="b">
        <v>0</v>
      </c>
      <c r="V30" t="s">
        <v>446</v>
      </c>
    </row>
    <row r="31" spans="1:22" x14ac:dyDescent="0.25">
      <c r="A31" t="s">
        <v>42</v>
      </c>
      <c r="B31">
        <v>25</v>
      </c>
      <c r="C31" t="s">
        <v>1046</v>
      </c>
      <c r="D31" t="s">
        <v>3213</v>
      </c>
      <c r="E31" t="s">
        <v>1045</v>
      </c>
      <c r="F31" t="s">
        <v>1045</v>
      </c>
      <c r="G31" t="s">
        <v>24</v>
      </c>
      <c r="H31" t="s">
        <v>26</v>
      </c>
      <c r="I31" t="s">
        <v>3167</v>
      </c>
      <c r="J31" t="s">
        <v>1048</v>
      </c>
      <c r="K31" t="s">
        <v>3195</v>
      </c>
      <c r="L31" t="s">
        <v>1048</v>
      </c>
      <c r="M31" t="s">
        <v>1000</v>
      </c>
      <c r="N31" t="s">
        <v>1047</v>
      </c>
      <c r="O31" t="s">
        <v>1047</v>
      </c>
      <c r="P31" t="s">
        <v>1089</v>
      </c>
      <c r="Q31" t="s">
        <v>3169</v>
      </c>
      <c r="R31" t="s">
        <v>446</v>
      </c>
      <c r="S31" t="s">
        <v>446</v>
      </c>
      <c r="T31" t="s">
        <v>1965</v>
      </c>
      <c r="U31" t="b">
        <v>0</v>
      </c>
      <c r="V31" t="s">
        <v>446</v>
      </c>
    </row>
    <row r="32" spans="1:22" x14ac:dyDescent="0.25">
      <c r="A32" t="s">
        <v>42</v>
      </c>
      <c r="B32">
        <v>25</v>
      </c>
      <c r="C32" t="s">
        <v>1050</v>
      </c>
      <c r="D32" t="s">
        <v>3214</v>
      </c>
      <c r="E32" t="s">
        <v>1032</v>
      </c>
      <c r="F32" t="s">
        <v>3188</v>
      </c>
      <c r="G32" t="s">
        <v>24</v>
      </c>
      <c r="H32" t="s">
        <v>26</v>
      </c>
      <c r="I32" t="s">
        <v>3167</v>
      </c>
      <c r="J32" t="s">
        <v>1048</v>
      </c>
      <c r="K32" t="s">
        <v>3195</v>
      </c>
      <c r="L32" t="s">
        <v>1048</v>
      </c>
      <c r="M32" t="s">
        <v>1000</v>
      </c>
      <c r="N32" t="s">
        <v>1047</v>
      </c>
      <c r="O32" t="s">
        <v>1047</v>
      </c>
      <c r="P32" t="s">
        <v>1089</v>
      </c>
      <c r="Q32" t="s">
        <v>3169</v>
      </c>
      <c r="R32" t="s">
        <v>446</v>
      </c>
      <c r="S32" t="s">
        <v>446</v>
      </c>
      <c r="T32" t="s">
        <v>1965</v>
      </c>
      <c r="U32" t="b">
        <v>0</v>
      </c>
      <c r="V32" t="s">
        <v>446</v>
      </c>
    </row>
    <row r="33" spans="1:22" x14ac:dyDescent="0.25">
      <c r="A33" t="s">
        <v>42</v>
      </c>
      <c r="B33">
        <v>25</v>
      </c>
      <c r="C33" t="s">
        <v>1052</v>
      </c>
      <c r="D33" t="s">
        <v>3215</v>
      </c>
      <c r="E33" t="s">
        <v>1051</v>
      </c>
      <c r="F33" t="s">
        <v>1051</v>
      </c>
      <c r="G33" t="s">
        <v>24</v>
      </c>
      <c r="H33" t="s">
        <v>26</v>
      </c>
      <c r="I33" t="s">
        <v>3167</v>
      </c>
      <c r="J33" t="s">
        <v>1055</v>
      </c>
      <c r="K33" t="s">
        <v>3199</v>
      </c>
      <c r="L33" t="s">
        <v>1055</v>
      </c>
      <c r="M33" t="s">
        <v>980</v>
      </c>
      <c r="N33" t="s">
        <v>1053</v>
      </c>
      <c r="O33" t="s">
        <v>1053</v>
      </c>
      <c r="P33" t="s">
        <v>1089</v>
      </c>
      <c r="Q33" t="s">
        <v>3169</v>
      </c>
      <c r="R33" t="s">
        <v>446</v>
      </c>
      <c r="S33" t="s">
        <v>446</v>
      </c>
      <c r="T33" t="s">
        <v>1965</v>
      </c>
      <c r="U33" t="b">
        <v>0</v>
      </c>
      <c r="V33" t="s">
        <v>446</v>
      </c>
    </row>
    <row r="34" spans="1:22" x14ac:dyDescent="0.25">
      <c r="A34" t="s">
        <v>42</v>
      </c>
      <c r="B34">
        <v>26</v>
      </c>
      <c r="C34" t="s">
        <v>979</v>
      </c>
      <c r="D34" t="s">
        <v>1087</v>
      </c>
      <c r="E34" t="s">
        <v>978</v>
      </c>
      <c r="G34" t="s">
        <v>24</v>
      </c>
      <c r="H34" t="s">
        <v>26</v>
      </c>
      <c r="I34" t="s">
        <v>3167</v>
      </c>
      <c r="J34" t="s">
        <v>984</v>
      </c>
      <c r="K34" t="s">
        <v>3168</v>
      </c>
      <c r="L34" t="s">
        <v>984</v>
      </c>
      <c r="M34" t="s">
        <v>980</v>
      </c>
      <c r="N34" t="s">
        <v>981</v>
      </c>
      <c r="O34" t="s">
        <v>981</v>
      </c>
      <c r="P34" t="s">
        <v>1089</v>
      </c>
      <c r="Q34" t="s">
        <v>3169</v>
      </c>
      <c r="R34" t="s">
        <v>446</v>
      </c>
      <c r="S34" t="s">
        <v>446</v>
      </c>
      <c r="T34" t="s">
        <v>3216</v>
      </c>
      <c r="U34" t="b">
        <v>0</v>
      </c>
      <c r="V34" t="s">
        <v>1094</v>
      </c>
    </row>
    <row r="35" spans="1:22" x14ac:dyDescent="0.25">
      <c r="A35" t="s">
        <v>42</v>
      </c>
      <c r="B35">
        <v>26</v>
      </c>
      <c r="C35" t="s">
        <v>987</v>
      </c>
      <c r="D35" t="s">
        <v>1095</v>
      </c>
      <c r="E35" t="s">
        <v>986</v>
      </c>
      <c r="G35" t="s">
        <v>24</v>
      </c>
      <c r="H35" t="s">
        <v>26</v>
      </c>
      <c r="I35" t="s">
        <v>3167</v>
      </c>
      <c r="J35" t="s">
        <v>990</v>
      </c>
      <c r="K35" t="s">
        <v>3171</v>
      </c>
      <c r="L35" t="s">
        <v>990</v>
      </c>
      <c r="M35" t="s">
        <v>980</v>
      </c>
      <c r="N35" t="s">
        <v>988</v>
      </c>
      <c r="O35" t="s">
        <v>988</v>
      </c>
      <c r="P35" t="s">
        <v>1089</v>
      </c>
      <c r="Q35" t="s">
        <v>3169</v>
      </c>
      <c r="R35" t="s">
        <v>446</v>
      </c>
      <c r="S35" t="s">
        <v>446</v>
      </c>
      <c r="T35" t="s">
        <v>3216</v>
      </c>
      <c r="U35" t="b">
        <v>0</v>
      </c>
      <c r="V35" t="s">
        <v>1094</v>
      </c>
    </row>
    <row r="36" spans="1:22" x14ac:dyDescent="0.25">
      <c r="A36" t="s">
        <v>42</v>
      </c>
      <c r="B36">
        <v>26</v>
      </c>
      <c r="C36" t="s">
        <v>993</v>
      </c>
      <c r="D36" t="s">
        <v>1096</v>
      </c>
      <c r="E36" t="s">
        <v>992</v>
      </c>
      <c r="G36" t="s">
        <v>24</v>
      </c>
      <c r="H36" t="s">
        <v>26</v>
      </c>
      <c r="I36" t="s">
        <v>3167</v>
      </c>
      <c r="J36" t="s">
        <v>996</v>
      </c>
      <c r="K36" t="s">
        <v>3173</v>
      </c>
      <c r="L36" t="s">
        <v>996</v>
      </c>
      <c r="M36" t="s">
        <v>980</v>
      </c>
      <c r="N36" t="s">
        <v>994</v>
      </c>
      <c r="O36" t="s">
        <v>994</v>
      </c>
      <c r="P36" t="s">
        <v>1089</v>
      </c>
      <c r="Q36" t="s">
        <v>3169</v>
      </c>
      <c r="R36" t="s">
        <v>446</v>
      </c>
      <c r="S36" t="s">
        <v>446</v>
      </c>
      <c r="T36" t="s">
        <v>3216</v>
      </c>
      <c r="U36" t="b">
        <v>0</v>
      </c>
      <c r="V36" t="s">
        <v>1094</v>
      </c>
    </row>
    <row r="37" spans="1:22" x14ac:dyDescent="0.25">
      <c r="A37" t="s">
        <v>42</v>
      </c>
      <c r="B37">
        <v>26</v>
      </c>
      <c r="C37" t="s">
        <v>999</v>
      </c>
      <c r="D37" t="s">
        <v>1098</v>
      </c>
      <c r="E37" t="s">
        <v>998</v>
      </c>
      <c r="G37" t="s">
        <v>24</v>
      </c>
      <c r="H37" t="s">
        <v>26</v>
      </c>
      <c r="I37" t="s">
        <v>3167</v>
      </c>
      <c r="J37" t="s">
        <v>1003</v>
      </c>
      <c r="K37" t="s">
        <v>3175</v>
      </c>
      <c r="L37" t="s">
        <v>1003</v>
      </c>
      <c r="M37" t="s">
        <v>1000</v>
      </c>
      <c r="N37" t="s">
        <v>1001</v>
      </c>
      <c r="O37" t="s">
        <v>1001</v>
      </c>
      <c r="P37" t="s">
        <v>1089</v>
      </c>
      <c r="Q37" t="s">
        <v>3169</v>
      </c>
      <c r="R37" t="s">
        <v>446</v>
      </c>
      <c r="S37" t="s">
        <v>446</v>
      </c>
      <c r="T37" t="s">
        <v>3216</v>
      </c>
      <c r="U37" t="b">
        <v>0</v>
      </c>
      <c r="V37" t="s">
        <v>1094</v>
      </c>
    </row>
    <row r="38" spans="1:22" x14ac:dyDescent="0.25">
      <c r="A38" t="s">
        <v>42</v>
      </c>
      <c r="B38">
        <v>26</v>
      </c>
      <c r="C38" t="s">
        <v>1005</v>
      </c>
      <c r="D38" t="s">
        <v>3217</v>
      </c>
      <c r="E38" t="s">
        <v>982</v>
      </c>
      <c r="F38" t="s">
        <v>3218</v>
      </c>
      <c r="G38" t="s">
        <v>24</v>
      </c>
      <c r="H38" t="s">
        <v>26</v>
      </c>
      <c r="I38" t="s">
        <v>3167</v>
      </c>
      <c r="J38" t="s">
        <v>1003</v>
      </c>
      <c r="K38" t="s">
        <v>3175</v>
      </c>
      <c r="L38" t="s">
        <v>1003</v>
      </c>
      <c r="M38" t="s">
        <v>1000</v>
      </c>
      <c r="N38" t="s">
        <v>1001</v>
      </c>
      <c r="O38" t="s">
        <v>1001</v>
      </c>
      <c r="P38" t="s">
        <v>1089</v>
      </c>
      <c r="Q38" t="s">
        <v>3169</v>
      </c>
      <c r="R38" t="s">
        <v>446</v>
      </c>
      <c r="S38" t="s">
        <v>446</v>
      </c>
      <c r="T38" t="s">
        <v>1965</v>
      </c>
      <c r="U38" t="b">
        <v>0</v>
      </c>
      <c r="V38" t="s">
        <v>446</v>
      </c>
    </row>
    <row r="39" spans="1:22" x14ac:dyDescent="0.25">
      <c r="A39" t="s">
        <v>42</v>
      </c>
      <c r="B39">
        <v>26</v>
      </c>
      <c r="C39" t="s">
        <v>1007</v>
      </c>
      <c r="D39" t="s">
        <v>1099</v>
      </c>
      <c r="E39" t="s">
        <v>1006</v>
      </c>
      <c r="G39" t="s">
        <v>24</v>
      </c>
      <c r="H39" t="s">
        <v>26</v>
      </c>
      <c r="I39" t="s">
        <v>3167</v>
      </c>
      <c r="J39" t="s">
        <v>1011</v>
      </c>
      <c r="K39" t="s">
        <v>3179</v>
      </c>
      <c r="L39" t="s">
        <v>1011</v>
      </c>
      <c r="M39" t="s">
        <v>1008</v>
      </c>
      <c r="N39" t="s">
        <v>1009</v>
      </c>
      <c r="O39" t="s">
        <v>1009</v>
      </c>
      <c r="P39" t="s">
        <v>1089</v>
      </c>
      <c r="Q39" t="s">
        <v>3169</v>
      </c>
      <c r="R39" t="s">
        <v>446</v>
      </c>
      <c r="S39" t="s">
        <v>446</v>
      </c>
      <c r="T39" t="s">
        <v>3216</v>
      </c>
      <c r="U39" t="b">
        <v>0</v>
      </c>
      <c r="V39" t="s">
        <v>1094</v>
      </c>
    </row>
    <row r="40" spans="1:22" x14ac:dyDescent="0.25">
      <c r="A40" t="s">
        <v>42</v>
      </c>
      <c r="B40">
        <v>26</v>
      </c>
      <c r="C40" t="s">
        <v>1014</v>
      </c>
      <c r="D40" t="s">
        <v>1101</v>
      </c>
      <c r="E40" t="s">
        <v>1013</v>
      </c>
      <c r="G40" t="s">
        <v>24</v>
      </c>
      <c r="H40" t="s">
        <v>26</v>
      </c>
      <c r="I40" t="s">
        <v>3167</v>
      </c>
      <c r="J40" t="s">
        <v>1016</v>
      </c>
      <c r="K40" t="s">
        <v>3181</v>
      </c>
      <c r="L40" t="s">
        <v>1016</v>
      </c>
      <c r="M40" t="s">
        <v>980</v>
      </c>
      <c r="N40" t="s">
        <v>1015</v>
      </c>
      <c r="O40" t="s">
        <v>1015</v>
      </c>
      <c r="P40" t="s">
        <v>1089</v>
      </c>
      <c r="Q40" t="s">
        <v>3169</v>
      </c>
      <c r="R40" t="s">
        <v>446</v>
      </c>
      <c r="S40" t="s">
        <v>446</v>
      </c>
      <c r="T40" t="s">
        <v>3216</v>
      </c>
      <c r="U40" t="b">
        <v>0</v>
      </c>
      <c r="V40" t="s">
        <v>1094</v>
      </c>
    </row>
    <row r="41" spans="1:22" x14ac:dyDescent="0.25">
      <c r="A41" t="s">
        <v>42</v>
      </c>
      <c r="B41">
        <v>26</v>
      </c>
      <c r="C41" t="s">
        <v>1019</v>
      </c>
      <c r="D41" t="s">
        <v>1102</v>
      </c>
      <c r="E41" t="s">
        <v>1018</v>
      </c>
      <c r="G41" t="s">
        <v>24</v>
      </c>
      <c r="H41" t="s">
        <v>26</v>
      </c>
      <c r="I41" t="s">
        <v>3167</v>
      </c>
      <c r="J41" t="s">
        <v>1021</v>
      </c>
      <c r="K41" t="s">
        <v>3183</v>
      </c>
      <c r="L41" t="s">
        <v>1021</v>
      </c>
      <c r="M41" t="s">
        <v>980</v>
      </c>
      <c r="N41" t="s">
        <v>1020</v>
      </c>
      <c r="O41" t="s">
        <v>1020</v>
      </c>
      <c r="P41" t="s">
        <v>1089</v>
      </c>
      <c r="Q41" t="s">
        <v>3169</v>
      </c>
      <c r="R41" t="s">
        <v>446</v>
      </c>
      <c r="S41" t="s">
        <v>446</v>
      </c>
      <c r="T41" t="s">
        <v>3216</v>
      </c>
      <c r="U41" t="b">
        <v>0</v>
      </c>
      <c r="V41" t="s">
        <v>1094</v>
      </c>
    </row>
    <row r="42" spans="1:22" x14ac:dyDescent="0.25">
      <c r="A42" t="s">
        <v>42</v>
      </c>
      <c r="B42">
        <v>26</v>
      </c>
      <c r="C42" t="s">
        <v>1024</v>
      </c>
      <c r="D42" t="s">
        <v>1103</v>
      </c>
      <c r="E42" t="s">
        <v>1023</v>
      </c>
      <c r="G42" t="s">
        <v>24</v>
      </c>
      <c r="H42" t="s">
        <v>26</v>
      </c>
      <c r="I42" t="s">
        <v>3167</v>
      </c>
      <c r="J42" t="s">
        <v>1026</v>
      </c>
      <c r="K42" t="s">
        <v>3185</v>
      </c>
      <c r="L42" t="s">
        <v>1026</v>
      </c>
      <c r="M42" t="s">
        <v>1000</v>
      </c>
      <c r="N42" t="s">
        <v>1025</v>
      </c>
      <c r="O42" t="s">
        <v>1025</v>
      </c>
      <c r="P42" t="s">
        <v>1089</v>
      </c>
      <c r="Q42" t="s">
        <v>3169</v>
      </c>
      <c r="R42" t="s">
        <v>446</v>
      </c>
      <c r="S42" t="s">
        <v>446</v>
      </c>
      <c r="T42" t="s">
        <v>3216</v>
      </c>
      <c r="U42" t="b">
        <v>0</v>
      </c>
      <c r="V42" t="s">
        <v>1094</v>
      </c>
    </row>
    <row r="43" spans="1:22" x14ac:dyDescent="0.25">
      <c r="A43" t="s">
        <v>42</v>
      </c>
      <c r="B43">
        <v>26</v>
      </c>
      <c r="C43" t="s">
        <v>1028</v>
      </c>
      <c r="D43" t="s">
        <v>3219</v>
      </c>
      <c r="E43" t="s">
        <v>1010</v>
      </c>
      <c r="F43" t="s">
        <v>3218</v>
      </c>
      <c r="G43" t="s">
        <v>24</v>
      </c>
      <c r="H43" t="s">
        <v>26</v>
      </c>
      <c r="I43" t="s">
        <v>3167</v>
      </c>
      <c r="J43" t="s">
        <v>1026</v>
      </c>
      <c r="K43" t="s">
        <v>3185</v>
      </c>
      <c r="L43" t="s">
        <v>1026</v>
      </c>
      <c r="M43" t="s">
        <v>1000</v>
      </c>
      <c r="N43" t="s">
        <v>1025</v>
      </c>
      <c r="O43" t="s">
        <v>1025</v>
      </c>
      <c r="P43" t="s">
        <v>1089</v>
      </c>
      <c r="Q43" t="s">
        <v>3169</v>
      </c>
      <c r="R43" t="s">
        <v>446</v>
      </c>
      <c r="S43" t="s">
        <v>446</v>
      </c>
      <c r="T43" t="s">
        <v>1965</v>
      </c>
      <c r="U43" t="b">
        <v>0</v>
      </c>
      <c r="V43" t="s">
        <v>446</v>
      </c>
    </row>
    <row r="44" spans="1:22" x14ac:dyDescent="0.25">
      <c r="A44" t="s">
        <v>42</v>
      </c>
      <c r="B44">
        <v>26</v>
      </c>
      <c r="C44" t="s">
        <v>1030</v>
      </c>
      <c r="D44" t="s">
        <v>1104</v>
      </c>
      <c r="E44" t="s">
        <v>1029</v>
      </c>
      <c r="G44" t="s">
        <v>24</v>
      </c>
      <c r="H44" t="s">
        <v>26</v>
      </c>
      <c r="I44" t="s">
        <v>3167</v>
      </c>
      <c r="J44" t="s">
        <v>1033</v>
      </c>
      <c r="K44" t="s">
        <v>3189</v>
      </c>
      <c r="L44" t="s">
        <v>1033</v>
      </c>
      <c r="M44" t="s">
        <v>980</v>
      </c>
      <c r="N44" t="s">
        <v>1031</v>
      </c>
      <c r="O44" t="s">
        <v>1031</v>
      </c>
      <c r="P44" t="s">
        <v>1089</v>
      </c>
      <c r="Q44" t="s">
        <v>3169</v>
      </c>
      <c r="R44" t="s">
        <v>446</v>
      </c>
      <c r="S44" t="s">
        <v>446</v>
      </c>
      <c r="T44" t="s">
        <v>3216</v>
      </c>
      <c r="U44" t="b">
        <v>0</v>
      </c>
      <c r="V44" t="s">
        <v>1094</v>
      </c>
    </row>
    <row r="45" spans="1:22" x14ac:dyDescent="0.25">
      <c r="A45" t="s">
        <v>42</v>
      </c>
      <c r="B45">
        <v>26</v>
      </c>
      <c r="C45" t="s">
        <v>1036</v>
      </c>
      <c r="D45" t="s">
        <v>1105</v>
      </c>
      <c r="E45" t="s">
        <v>1035</v>
      </c>
      <c r="G45" t="s">
        <v>24</v>
      </c>
      <c r="H45" t="s">
        <v>26</v>
      </c>
      <c r="I45" t="s">
        <v>3167</v>
      </c>
      <c r="J45" t="s">
        <v>1038</v>
      </c>
      <c r="K45" t="s">
        <v>3191</v>
      </c>
      <c r="L45" t="s">
        <v>1038</v>
      </c>
      <c r="M45" t="s">
        <v>980</v>
      </c>
      <c r="N45" t="s">
        <v>1037</v>
      </c>
      <c r="O45" t="s">
        <v>1037</v>
      </c>
      <c r="P45" t="s">
        <v>1089</v>
      </c>
      <c r="Q45" t="s">
        <v>3169</v>
      </c>
      <c r="R45" t="s">
        <v>446</v>
      </c>
      <c r="S45" t="s">
        <v>446</v>
      </c>
      <c r="T45" t="s">
        <v>3216</v>
      </c>
      <c r="U45" t="b">
        <v>0</v>
      </c>
      <c r="V45" t="s">
        <v>1094</v>
      </c>
    </row>
    <row r="46" spans="1:22" x14ac:dyDescent="0.25">
      <c r="A46" t="s">
        <v>42</v>
      </c>
      <c r="B46">
        <v>26</v>
      </c>
      <c r="C46" t="s">
        <v>1041</v>
      </c>
      <c r="D46" t="s">
        <v>1106</v>
      </c>
      <c r="E46" t="s">
        <v>1040</v>
      </c>
      <c r="G46" t="s">
        <v>24</v>
      </c>
      <c r="H46" t="s">
        <v>26</v>
      </c>
      <c r="I46" t="s">
        <v>3167</v>
      </c>
      <c r="J46" t="s">
        <v>1043</v>
      </c>
      <c r="K46" t="s">
        <v>3193</v>
      </c>
      <c r="L46" t="s">
        <v>1043</v>
      </c>
      <c r="M46" t="s">
        <v>980</v>
      </c>
      <c r="N46" t="s">
        <v>1042</v>
      </c>
      <c r="O46" t="s">
        <v>1042</v>
      </c>
      <c r="P46" t="s">
        <v>1089</v>
      </c>
      <c r="Q46" t="s">
        <v>3169</v>
      </c>
      <c r="R46" t="s">
        <v>446</v>
      </c>
      <c r="S46" t="s">
        <v>446</v>
      </c>
      <c r="T46" t="s">
        <v>3216</v>
      </c>
      <c r="U46" t="b">
        <v>0</v>
      </c>
      <c r="V46" t="s">
        <v>1094</v>
      </c>
    </row>
    <row r="47" spans="1:22" x14ac:dyDescent="0.25">
      <c r="A47" t="s">
        <v>42</v>
      </c>
      <c r="B47">
        <v>26</v>
      </c>
      <c r="C47" t="s">
        <v>1046</v>
      </c>
      <c r="D47" t="s">
        <v>1107</v>
      </c>
      <c r="E47" t="s">
        <v>1045</v>
      </c>
      <c r="G47" t="s">
        <v>24</v>
      </c>
      <c r="H47" t="s">
        <v>26</v>
      </c>
      <c r="I47" t="s">
        <v>3167</v>
      </c>
      <c r="J47" t="s">
        <v>1048</v>
      </c>
      <c r="K47" t="s">
        <v>3195</v>
      </c>
      <c r="L47" t="s">
        <v>1048</v>
      </c>
      <c r="M47" t="s">
        <v>1000</v>
      </c>
      <c r="N47" t="s">
        <v>1047</v>
      </c>
      <c r="O47" t="s">
        <v>1047</v>
      </c>
      <c r="P47" t="s">
        <v>1089</v>
      </c>
      <c r="Q47" t="s">
        <v>3169</v>
      </c>
      <c r="R47" t="s">
        <v>446</v>
      </c>
      <c r="S47" t="s">
        <v>446</v>
      </c>
      <c r="T47" t="s">
        <v>3216</v>
      </c>
      <c r="U47" t="b">
        <v>0</v>
      </c>
      <c r="V47" t="s">
        <v>1094</v>
      </c>
    </row>
    <row r="48" spans="1:22" x14ac:dyDescent="0.25">
      <c r="A48" t="s">
        <v>42</v>
      </c>
      <c r="B48">
        <v>26</v>
      </c>
      <c r="C48" t="s">
        <v>1050</v>
      </c>
      <c r="D48" t="s">
        <v>3220</v>
      </c>
      <c r="E48" t="s">
        <v>1032</v>
      </c>
      <c r="F48" t="s">
        <v>3218</v>
      </c>
      <c r="G48" t="s">
        <v>24</v>
      </c>
      <c r="H48" t="s">
        <v>26</v>
      </c>
      <c r="I48" t="s">
        <v>3167</v>
      </c>
      <c r="J48" t="s">
        <v>1048</v>
      </c>
      <c r="K48" t="s">
        <v>3195</v>
      </c>
      <c r="L48" t="s">
        <v>1048</v>
      </c>
      <c r="M48" t="s">
        <v>1000</v>
      </c>
      <c r="N48" t="s">
        <v>1047</v>
      </c>
      <c r="O48" t="s">
        <v>1047</v>
      </c>
      <c r="P48" t="s">
        <v>1089</v>
      </c>
      <c r="Q48" t="s">
        <v>3169</v>
      </c>
      <c r="R48" t="s">
        <v>446</v>
      </c>
      <c r="S48" t="s">
        <v>446</v>
      </c>
      <c r="T48" t="s">
        <v>1965</v>
      </c>
      <c r="U48" t="b">
        <v>0</v>
      </c>
      <c r="V48" t="s">
        <v>446</v>
      </c>
    </row>
    <row r="49" spans="1:22" x14ac:dyDescent="0.25">
      <c r="A49" t="s">
        <v>42</v>
      </c>
      <c r="B49">
        <v>26</v>
      </c>
      <c r="C49" t="s">
        <v>1052</v>
      </c>
      <c r="D49" t="s">
        <v>1108</v>
      </c>
      <c r="E49" t="s">
        <v>1051</v>
      </c>
      <c r="G49" t="s">
        <v>24</v>
      </c>
      <c r="H49" t="s">
        <v>26</v>
      </c>
      <c r="I49" t="s">
        <v>3167</v>
      </c>
      <c r="J49" t="s">
        <v>1055</v>
      </c>
      <c r="K49" t="s">
        <v>3199</v>
      </c>
      <c r="L49" t="s">
        <v>1055</v>
      </c>
      <c r="M49" t="s">
        <v>980</v>
      </c>
      <c r="N49" t="s">
        <v>1053</v>
      </c>
      <c r="O49" t="s">
        <v>1053</v>
      </c>
      <c r="P49" t="s">
        <v>1089</v>
      </c>
      <c r="Q49" t="s">
        <v>3169</v>
      </c>
      <c r="R49" t="s">
        <v>446</v>
      </c>
      <c r="S49" t="s">
        <v>446</v>
      </c>
      <c r="T49" t="s">
        <v>3216</v>
      </c>
      <c r="U49" t="b">
        <v>0</v>
      </c>
      <c r="V49" t="s">
        <v>1094</v>
      </c>
    </row>
    <row r="50" spans="1:22" x14ac:dyDescent="0.25">
      <c r="A50" t="s">
        <v>42</v>
      </c>
      <c r="B50">
        <v>28</v>
      </c>
      <c r="C50" t="s">
        <v>979</v>
      </c>
      <c r="D50" t="s">
        <v>2878</v>
      </c>
      <c r="E50" t="s">
        <v>978</v>
      </c>
      <c r="F50" t="s">
        <v>3221</v>
      </c>
      <c r="G50" t="s">
        <v>24</v>
      </c>
      <c r="H50" t="s">
        <v>26</v>
      </c>
      <c r="I50" t="s">
        <v>3167</v>
      </c>
      <c r="J50" t="s">
        <v>984</v>
      </c>
      <c r="K50" t="s">
        <v>3168</v>
      </c>
      <c r="L50" t="s">
        <v>984</v>
      </c>
      <c r="M50" t="s">
        <v>980</v>
      </c>
      <c r="N50" t="s">
        <v>981</v>
      </c>
      <c r="O50" t="s">
        <v>981</v>
      </c>
      <c r="P50" t="s">
        <v>1110</v>
      </c>
      <c r="Q50" t="s">
        <v>3169</v>
      </c>
      <c r="R50" t="s">
        <v>446</v>
      </c>
      <c r="S50" t="s">
        <v>2880</v>
      </c>
      <c r="T50" t="s">
        <v>1965</v>
      </c>
      <c r="U50" t="b">
        <v>0</v>
      </c>
      <c r="V50" t="s">
        <v>2881</v>
      </c>
    </row>
    <row r="51" spans="1:22" x14ac:dyDescent="0.25">
      <c r="A51" t="s">
        <v>42</v>
      </c>
      <c r="B51">
        <v>28</v>
      </c>
      <c r="C51" t="s">
        <v>987</v>
      </c>
      <c r="D51" t="s">
        <v>2882</v>
      </c>
      <c r="E51" t="s">
        <v>986</v>
      </c>
      <c r="F51" t="s">
        <v>3222</v>
      </c>
      <c r="G51" t="s">
        <v>24</v>
      </c>
      <c r="H51" t="s">
        <v>26</v>
      </c>
      <c r="I51" t="s">
        <v>3167</v>
      </c>
      <c r="J51" t="s">
        <v>990</v>
      </c>
      <c r="K51" t="s">
        <v>3171</v>
      </c>
      <c r="L51" t="s">
        <v>990</v>
      </c>
      <c r="M51" t="s">
        <v>980</v>
      </c>
      <c r="N51" t="s">
        <v>988</v>
      </c>
      <c r="O51" t="s">
        <v>988</v>
      </c>
      <c r="P51" t="s">
        <v>1110</v>
      </c>
      <c r="Q51" t="s">
        <v>3169</v>
      </c>
      <c r="R51" t="s">
        <v>446</v>
      </c>
      <c r="S51" t="s">
        <v>2880</v>
      </c>
      <c r="T51" t="s">
        <v>1965</v>
      </c>
      <c r="U51" t="b">
        <v>0</v>
      </c>
      <c r="V51" t="s">
        <v>2881</v>
      </c>
    </row>
    <row r="52" spans="1:22" x14ac:dyDescent="0.25">
      <c r="A52" t="s">
        <v>42</v>
      </c>
      <c r="B52">
        <v>28</v>
      </c>
      <c r="C52" t="s">
        <v>993</v>
      </c>
      <c r="D52" t="s">
        <v>2883</v>
      </c>
      <c r="E52" t="s">
        <v>992</v>
      </c>
      <c r="F52" t="s">
        <v>3223</v>
      </c>
      <c r="G52" t="s">
        <v>24</v>
      </c>
      <c r="H52" t="s">
        <v>26</v>
      </c>
      <c r="I52" t="s">
        <v>3167</v>
      </c>
      <c r="J52" t="s">
        <v>996</v>
      </c>
      <c r="K52" t="s">
        <v>3173</v>
      </c>
      <c r="L52" t="s">
        <v>996</v>
      </c>
      <c r="M52" t="s">
        <v>980</v>
      </c>
      <c r="N52" t="s">
        <v>994</v>
      </c>
      <c r="O52" t="s">
        <v>994</v>
      </c>
      <c r="P52" t="s">
        <v>1110</v>
      </c>
      <c r="Q52" t="s">
        <v>3169</v>
      </c>
      <c r="R52" t="s">
        <v>446</v>
      </c>
      <c r="S52" t="s">
        <v>2880</v>
      </c>
      <c r="T52" t="s">
        <v>1965</v>
      </c>
      <c r="U52" t="b">
        <v>0</v>
      </c>
      <c r="V52" t="s">
        <v>2881</v>
      </c>
    </row>
    <row r="53" spans="1:22" x14ac:dyDescent="0.25">
      <c r="A53" t="s">
        <v>42</v>
      </c>
      <c r="B53">
        <v>28</v>
      </c>
      <c r="C53" t="s">
        <v>999</v>
      </c>
      <c r="D53" t="s">
        <v>2884</v>
      </c>
      <c r="E53" t="s">
        <v>998</v>
      </c>
      <c r="F53" t="s">
        <v>3224</v>
      </c>
      <c r="G53" t="s">
        <v>24</v>
      </c>
      <c r="H53" t="s">
        <v>26</v>
      </c>
      <c r="I53" t="s">
        <v>3167</v>
      </c>
      <c r="J53" t="s">
        <v>1003</v>
      </c>
      <c r="K53" t="s">
        <v>3175</v>
      </c>
      <c r="L53" t="s">
        <v>1003</v>
      </c>
      <c r="M53" t="s">
        <v>1000</v>
      </c>
      <c r="N53" t="s">
        <v>1001</v>
      </c>
      <c r="O53" t="s">
        <v>1001</v>
      </c>
      <c r="P53" t="s">
        <v>1110</v>
      </c>
      <c r="Q53" t="s">
        <v>3169</v>
      </c>
      <c r="R53" t="s">
        <v>446</v>
      </c>
      <c r="S53" t="s">
        <v>2880</v>
      </c>
      <c r="T53" t="s">
        <v>1965</v>
      </c>
      <c r="U53" t="b">
        <v>0</v>
      </c>
      <c r="V53" t="s">
        <v>2160</v>
      </c>
    </row>
    <row r="54" spans="1:22" x14ac:dyDescent="0.25">
      <c r="A54" t="s">
        <v>42</v>
      </c>
      <c r="B54">
        <v>28</v>
      </c>
      <c r="C54" t="s">
        <v>1005</v>
      </c>
      <c r="D54" t="s">
        <v>2885</v>
      </c>
      <c r="E54" t="s">
        <v>982</v>
      </c>
      <c r="F54" t="s">
        <v>3225</v>
      </c>
      <c r="G54" t="s">
        <v>24</v>
      </c>
      <c r="H54" t="s">
        <v>26</v>
      </c>
      <c r="I54" t="s">
        <v>3167</v>
      </c>
      <c r="J54" t="s">
        <v>1003</v>
      </c>
      <c r="K54" t="s">
        <v>3175</v>
      </c>
      <c r="L54" t="s">
        <v>1003</v>
      </c>
      <c r="M54" t="s">
        <v>1000</v>
      </c>
      <c r="N54" t="s">
        <v>1001</v>
      </c>
      <c r="O54" t="s">
        <v>1001</v>
      </c>
      <c r="P54" t="s">
        <v>1110</v>
      </c>
      <c r="Q54" t="s">
        <v>3169</v>
      </c>
      <c r="R54" t="s">
        <v>446</v>
      </c>
      <c r="S54" t="s">
        <v>2880</v>
      </c>
      <c r="T54" t="s">
        <v>1965</v>
      </c>
      <c r="U54" t="b">
        <v>0</v>
      </c>
      <c r="V54" t="s">
        <v>2881</v>
      </c>
    </row>
    <row r="55" spans="1:22" x14ac:dyDescent="0.25">
      <c r="A55" t="s">
        <v>42</v>
      </c>
      <c r="B55">
        <v>28</v>
      </c>
      <c r="C55" t="s">
        <v>1007</v>
      </c>
      <c r="D55" t="s">
        <v>2886</v>
      </c>
      <c r="E55" t="s">
        <v>1006</v>
      </c>
      <c r="F55" t="s">
        <v>3226</v>
      </c>
      <c r="G55" t="s">
        <v>24</v>
      </c>
      <c r="H55" t="s">
        <v>26</v>
      </c>
      <c r="I55" t="s">
        <v>3167</v>
      </c>
      <c r="J55" t="s">
        <v>1967</v>
      </c>
      <c r="K55" t="s">
        <v>3227</v>
      </c>
      <c r="L55" t="s">
        <v>1967</v>
      </c>
      <c r="M55" t="s">
        <v>1008</v>
      </c>
      <c r="N55" t="s">
        <v>1009</v>
      </c>
      <c r="O55" t="s">
        <v>1009</v>
      </c>
      <c r="P55" t="s">
        <v>1110</v>
      </c>
      <c r="Q55" t="s">
        <v>3169</v>
      </c>
      <c r="R55" t="s">
        <v>446</v>
      </c>
      <c r="S55" t="s">
        <v>2880</v>
      </c>
      <c r="T55" t="s">
        <v>1965</v>
      </c>
      <c r="U55" t="b">
        <v>0</v>
      </c>
      <c r="V55" t="s">
        <v>2881</v>
      </c>
    </row>
    <row r="56" spans="1:22" x14ac:dyDescent="0.25">
      <c r="A56" t="s">
        <v>42</v>
      </c>
      <c r="B56">
        <v>28</v>
      </c>
      <c r="C56" t="s">
        <v>1014</v>
      </c>
      <c r="D56" t="s">
        <v>2887</v>
      </c>
      <c r="E56" t="s">
        <v>1013</v>
      </c>
      <c r="F56" t="s">
        <v>3228</v>
      </c>
      <c r="G56" t="s">
        <v>24</v>
      </c>
      <c r="H56" t="s">
        <v>26</v>
      </c>
      <c r="I56" t="s">
        <v>3167</v>
      </c>
      <c r="J56" t="s">
        <v>1016</v>
      </c>
      <c r="K56" t="s">
        <v>3181</v>
      </c>
      <c r="L56" t="s">
        <v>1016</v>
      </c>
      <c r="M56" t="s">
        <v>980</v>
      </c>
      <c r="N56" t="s">
        <v>1015</v>
      </c>
      <c r="O56" t="s">
        <v>1015</v>
      </c>
      <c r="P56" t="s">
        <v>1110</v>
      </c>
      <c r="Q56" t="s">
        <v>3169</v>
      </c>
      <c r="R56" t="s">
        <v>446</v>
      </c>
      <c r="S56" t="s">
        <v>2880</v>
      </c>
      <c r="T56" t="s">
        <v>1965</v>
      </c>
      <c r="U56" t="b">
        <v>0</v>
      </c>
      <c r="V56" t="s">
        <v>2881</v>
      </c>
    </row>
    <row r="57" spans="1:22" x14ac:dyDescent="0.25">
      <c r="A57" t="s">
        <v>42</v>
      </c>
      <c r="B57">
        <v>28</v>
      </c>
      <c r="C57" t="s">
        <v>1019</v>
      </c>
      <c r="D57" t="s">
        <v>2888</v>
      </c>
      <c r="E57" t="s">
        <v>1018</v>
      </c>
      <c r="F57" t="s">
        <v>3229</v>
      </c>
      <c r="G57" t="s">
        <v>24</v>
      </c>
      <c r="H57" t="s">
        <v>26</v>
      </c>
      <c r="I57" t="s">
        <v>3167</v>
      </c>
      <c r="J57" t="s">
        <v>1021</v>
      </c>
      <c r="K57" t="s">
        <v>3183</v>
      </c>
      <c r="L57" t="s">
        <v>1021</v>
      </c>
      <c r="M57" t="s">
        <v>980</v>
      </c>
      <c r="N57" t="s">
        <v>1020</v>
      </c>
      <c r="O57" t="s">
        <v>1020</v>
      </c>
      <c r="P57" t="s">
        <v>1110</v>
      </c>
      <c r="Q57" t="s">
        <v>3169</v>
      </c>
      <c r="R57" t="s">
        <v>446</v>
      </c>
      <c r="S57" t="s">
        <v>2880</v>
      </c>
      <c r="T57" t="s">
        <v>1965</v>
      </c>
      <c r="U57" t="b">
        <v>0</v>
      </c>
      <c r="V57" t="s">
        <v>2881</v>
      </c>
    </row>
    <row r="58" spans="1:22" x14ac:dyDescent="0.25">
      <c r="A58" t="s">
        <v>42</v>
      </c>
      <c r="B58">
        <v>28</v>
      </c>
      <c r="C58" t="s">
        <v>1024</v>
      </c>
      <c r="D58" t="s">
        <v>2889</v>
      </c>
      <c r="E58" t="s">
        <v>1023</v>
      </c>
      <c r="F58" t="s">
        <v>3230</v>
      </c>
      <c r="G58" t="s">
        <v>24</v>
      </c>
      <c r="H58" t="s">
        <v>26</v>
      </c>
      <c r="I58" t="s">
        <v>3167</v>
      </c>
      <c r="J58" t="s">
        <v>1026</v>
      </c>
      <c r="K58" t="s">
        <v>3185</v>
      </c>
      <c r="L58" t="s">
        <v>1026</v>
      </c>
      <c r="M58" t="s">
        <v>1000</v>
      </c>
      <c r="N58" t="s">
        <v>1025</v>
      </c>
      <c r="O58" t="s">
        <v>1025</v>
      </c>
      <c r="P58" t="s">
        <v>1110</v>
      </c>
      <c r="Q58" t="s">
        <v>3169</v>
      </c>
      <c r="R58" t="s">
        <v>446</v>
      </c>
      <c r="S58" t="s">
        <v>2880</v>
      </c>
      <c r="T58" t="s">
        <v>1965</v>
      </c>
      <c r="U58" t="b">
        <v>0</v>
      </c>
      <c r="V58" t="s">
        <v>2160</v>
      </c>
    </row>
    <row r="59" spans="1:22" x14ac:dyDescent="0.25">
      <c r="A59" t="s">
        <v>42</v>
      </c>
      <c r="B59">
        <v>28</v>
      </c>
      <c r="C59" t="s">
        <v>1028</v>
      </c>
      <c r="D59" t="s">
        <v>2890</v>
      </c>
      <c r="E59" t="s">
        <v>1010</v>
      </c>
      <c r="F59" t="s">
        <v>3231</v>
      </c>
      <c r="G59" t="s">
        <v>24</v>
      </c>
      <c r="H59" t="s">
        <v>26</v>
      </c>
      <c r="I59" t="s">
        <v>3167</v>
      </c>
      <c r="J59" t="s">
        <v>1026</v>
      </c>
      <c r="K59" t="s">
        <v>3185</v>
      </c>
      <c r="L59" t="s">
        <v>1026</v>
      </c>
      <c r="M59" t="s">
        <v>1000</v>
      </c>
      <c r="N59" t="s">
        <v>1025</v>
      </c>
      <c r="O59" t="s">
        <v>1025</v>
      </c>
      <c r="P59" t="s">
        <v>1110</v>
      </c>
      <c r="Q59" t="s">
        <v>3169</v>
      </c>
      <c r="R59" t="s">
        <v>446</v>
      </c>
      <c r="S59" t="s">
        <v>2880</v>
      </c>
      <c r="T59" t="s">
        <v>1965</v>
      </c>
      <c r="U59" t="b">
        <v>0</v>
      </c>
      <c r="V59" t="s">
        <v>2881</v>
      </c>
    </row>
    <row r="60" spans="1:22" x14ac:dyDescent="0.25">
      <c r="A60" t="s">
        <v>42</v>
      </c>
      <c r="B60">
        <v>28</v>
      </c>
      <c r="C60" t="s">
        <v>1030</v>
      </c>
      <c r="D60" t="s">
        <v>2891</v>
      </c>
      <c r="E60" t="s">
        <v>1029</v>
      </c>
      <c r="F60" t="s">
        <v>3232</v>
      </c>
      <c r="G60" t="s">
        <v>24</v>
      </c>
      <c r="H60" t="s">
        <v>26</v>
      </c>
      <c r="I60" t="s">
        <v>3167</v>
      </c>
      <c r="J60" t="s">
        <v>1033</v>
      </c>
      <c r="K60" t="s">
        <v>3189</v>
      </c>
      <c r="L60" t="s">
        <v>1033</v>
      </c>
      <c r="M60" t="s">
        <v>980</v>
      </c>
      <c r="N60" t="s">
        <v>1031</v>
      </c>
      <c r="O60" t="s">
        <v>1031</v>
      </c>
      <c r="P60" t="s">
        <v>1110</v>
      </c>
      <c r="Q60" t="s">
        <v>3169</v>
      </c>
      <c r="R60" t="s">
        <v>446</v>
      </c>
      <c r="S60" t="s">
        <v>2880</v>
      </c>
      <c r="T60" t="s">
        <v>1965</v>
      </c>
      <c r="U60" t="b">
        <v>0</v>
      </c>
      <c r="V60" t="s">
        <v>2881</v>
      </c>
    </row>
    <row r="61" spans="1:22" x14ac:dyDescent="0.25">
      <c r="A61" t="s">
        <v>42</v>
      </c>
      <c r="B61">
        <v>28</v>
      </c>
      <c r="C61" t="s">
        <v>1036</v>
      </c>
      <c r="D61" t="s">
        <v>2892</v>
      </c>
      <c r="E61" t="s">
        <v>1035</v>
      </c>
      <c r="F61" t="s">
        <v>3233</v>
      </c>
      <c r="G61" t="s">
        <v>24</v>
      </c>
      <c r="H61" t="s">
        <v>26</v>
      </c>
      <c r="I61" t="s">
        <v>3167</v>
      </c>
      <c r="J61" t="s">
        <v>1038</v>
      </c>
      <c r="K61" t="s">
        <v>3191</v>
      </c>
      <c r="L61" t="s">
        <v>1038</v>
      </c>
      <c r="M61" t="s">
        <v>980</v>
      </c>
      <c r="N61" t="s">
        <v>1037</v>
      </c>
      <c r="O61" t="s">
        <v>1037</v>
      </c>
      <c r="P61" t="s">
        <v>1110</v>
      </c>
      <c r="Q61" t="s">
        <v>3169</v>
      </c>
      <c r="R61" t="s">
        <v>446</v>
      </c>
      <c r="S61" t="s">
        <v>2880</v>
      </c>
      <c r="T61" t="s">
        <v>1965</v>
      </c>
      <c r="U61" t="b">
        <v>0</v>
      </c>
      <c r="V61" t="s">
        <v>2881</v>
      </c>
    </row>
    <row r="62" spans="1:22" x14ac:dyDescent="0.25">
      <c r="A62" t="s">
        <v>42</v>
      </c>
      <c r="B62">
        <v>28</v>
      </c>
      <c r="C62" t="s">
        <v>1041</v>
      </c>
      <c r="D62" t="s">
        <v>2893</v>
      </c>
      <c r="E62" t="s">
        <v>1040</v>
      </c>
      <c r="F62" t="s">
        <v>3234</v>
      </c>
      <c r="G62" t="s">
        <v>24</v>
      </c>
      <c r="H62" t="s">
        <v>26</v>
      </c>
      <c r="I62" t="s">
        <v>3167</v>
      </c>
      <c r="J62" t="s">
        <v>1043</v>
      </c>
      <c r="K62" t="s">
        <v>3193</v>
      </c>
      <c r="L62" t="s">
        <v>1043</v>
      </c>
      <c r="M62" t="s">
        <v>980</v>
      </c>
      <c r="N62" t="s">
        <v>1042</v>
      </c>
      <c r="O62" t="s">
        <v>1042</v>
      </c>
      <c r="P62" t="s">
        <v>1110</v>
      </c>
      <c r="Q62" t="s">
        <v>3169</v>
      </c>
      <c r="R62" t="s">
        <v>446</v>
      </c>
      <c r="S62" t="s">
        <v>2880</v>
      </c>
      <c r="T62" t="s">
        <v>1965</v>
      </c>
      <c r="U62" t="b">
        <v>0</v>
      </c>
      <c r="V62" t="s">
        <v>2881</v>
      </c>
    </row>
    <row r="63" spans="1:22" x14ac:dyDescent="0.25">
      <c r="A63" t="s">
        <v>42</v>
      </c>
      <c r="B63">
        <v>28</v>
      </c>
      <c r="C63" t="s">
        <v>1046</v>
      </c>
      <c r="D63" t="s">
        <v>2894</v>
      </c>
      <c r="E63" t="s">
        <v>1045</v>
      </c>
      <c r="F63" t="s">
        <v>3235</v>
      </c>
      <c r="G63" t="s">
        <v>24</v>
      </c>
      <c r="H63" t="s">
        <v>26</v>
      </c>
      <c r="I63" t="s">
        <v>3167</v>
      </c>
      <c r="J63" t="s">
        <v>1048</v>
      </c>
      <c r="K63" t="s">
        <v>3195</v>
      </c>
      <c r="L63" t="s">
        <v>1048</v>
      </c>
      <c r="M63" t="s">
        <v>1000</v>
      </c>
      <c r="N63" t="s">
        <v>1047</v>
      </c>
      <c r="O63" t="s">
        <v>1047</v>
      </c>
      <c r="P63" t="s">
        <v>1110</v>
      </c>
      <c r="Q63" t="s">
        <v>3169</v>
      </c>
      <c r="R63" t="s">
        <v>446</v>
      </c>
      <c r="S63" t="s">
        <v>2880</v>
      </c>
      <c r="T63" t="s">
        <v>1965</v>
      </c>
      <c r="U63" t="b">
        <v>0</v>
      </c>
      <c r="V63" t="s">
        <v>2160</v>
      </c>
    </row>
    <row r="64" spans="1:22" x14ac:dyDescent="0.25">
      <c r="A64" t="s">
        <v>42</v>
      </c>
      <c r="B64">
        <v>28</v>
      </c>
      <c r="C64" t="s">
        <v>1050</v>
      </c>
      <c r="D64" t="s">
        <v>2895</v>
      </c>
      <c r="E64" t="s">
        <v>1032</v>
      </c>
      <c r="F64" t="s">
        <v>3236</v>
      </c>
      <c r="G64" t="s">
        <v>24</v>
      </c>
      <c r="H64" t="s">
        <v>26</v>
      </c>
      <c r="I64" t="s">
        <v>3167</v>
      </c>
      <c r="J64" t="s">
        <v>1048</v>
      </c>
      <c r="K64" t="s">
        <v>3195</v>
      </c>
      <c r="L64" t="s">
        <v>1048</v>
      </c>
      <c r="M64" t="s">
        <v>1000</v>
      </c>
      <c r="N64" t="s">
        <v>1047</v>
      </c>
      <c r="O64" t="s">
        <v>1047</v>
      </c>
      <c r="P64" t="s">
        <v>1110</v>
      </c>
      <c r="Q64" t="s">
        <v>3169</v>
      </c>
      <c r="R64" t="s">
        <v>446</v>
      </c>
      <c r="S64" t="s">
        <v>2880</v>
      </c>
      <c r="T64" t="s">
        <v>1965</v>
      </c>
      <c r="U64" t="b">
        <v>0</v>
      </c>
      <c r="V64" t="s">
        <v>2881</v>
      </c>
    </row>
    <row r="65" spans="1:22" x14ac:dyDescent="0.25">
      <c r="A65" t="s">
        <v>42</v>
      </c>
      <c r="B65">
        <v>28</v>
      </c>
      <c r="C65" t="s">
        <v>1052</v>
      </c>
      <c r="D65" t="s">
        <v>2896</v>
      </c>
      <c r="E65" t="s">
        <v>1051</v>
      </c>
      <c r="F65" t="s">
        <v>3237</v>
      </c>
      <c r="G65" t="s">
        <v>24</v>
      </c>
      <c r="H65" t="s">
        <v>26</v>
      </c>
      <c r="I65" t="s">
        <v>3167</v>
      </c>
      <c r="J65" t="s">
        <v>1055</v>
      </c>
      <c r="K65" t="s">
        <v>3199</v>
      </c>
      <c r="L65" t="s">
        <v>1055</v>
      </c>
      <c r="M65" t="s">
        <v>980</v>
      </c>
      <c r="N65" t="s">
        <v>1053</v>
      </c>
      <c r="O65" t="s">
        <v>1053</v>
      </c>
      <c r="P65" t="s">
        <v>1110</v>
      </c>
      <c r="Q65" t="s">
        <v>3169</v>
      </c>
      <c r="R65" t="s">
        <v>446</v>
      </c>
      <c r="S65" t="s">
        <v>2880</v>
      </c>
      <c r="T65" t="s">
        <v>1965</v>
      </c>
      <c r="U65" t="b">
        <v>0</v>
      </c>
      <c r="V65" t="s">
        <v>2881</v>
      </c>
    </row>
    <row r="66" spans="1:22" x14ac:dyDescent="0.25">
      <c r="A66" t="s">
        <v>42</v>
      </c>
      <c r="B66">
        <v>29</v>
      </c>
      <c r="C66" t="s">
        <v>979</v>
      </c>
      <c r="D66" t="s">
        <v>1109</v>
      </c>
      <c r="E66" t="s">
        <v>978</v>
      </c>
      <c r="F66">
        <v>-4317</v>
      </c>
      <c r="G66" t="s">
        <v>24</v>
      </c>
      <c r="H66" t="s">
        <v>26</v>
      </c>
      <c r="I66" t="s">
        <v>3167</v>
      </c>
      <c r="J66" t="s">
        <v>984</v>
      </c>
      <c r="K66" t="s">
        <v>3168</v>
      </c>
      <c r="L66" t="s">
        <v>984</v>
      </c>
      <c r="M66" t="s">
        <v>980</v>
      </c>
      <c r="N66" t="s">
        <v>981</v>
      </c>
      <c r="O66" t="s">
        <v>981</v>
      </c>
      <c r="P66" t="s">
        <v>1110</v>
      </c>
      <c r="Q66" t="s">
        <v>3169</v>
      </c>
      <c r="R66" t="s">
        <v>1947</v>
      </c>
      <c r="S66" t="s">
        <v>3238</v>
      </c>
      <c r="T66" t="s">
        <v>3239</v>
      </c>
      <c r="U66" t="b">
        <v>0</v>
      </c>
      <c r="V66" t="s">
        <v>1953</v>
      </c>
    </row>
    <row r="67" spans="1:22" x14ac:dyDescent="0.25">
      <c r="A67" t="s">
        <v>42</v>
      </c>
      <c r="B67">
        <v>29</v>
      </c>
      <c r="C67" t="s">
        <v>987</v>
      </c>
      <c r="D67" t="s">
        <v>1112</v>
      </c>
      <c r="E67" t="s">
        <v>986</v>
      </c>
      <c r="F67">
        <v>-4912</v>
      </c>
      <c r="G67" t="s">
        <v>24</v>
      </c>
      <c r="H67" t="s">
        <v>26</v>
      </c>
      <c r="I67" t="s">
        <v>3167</v>
      </c>
      <c r="J67" t="s">
        <v>990</v>
      </c>
      <c r="K67" t="s">
        <v>3171</v>
      </c>
      <c r="L67" t="s">
        <v>990</v>
      </c>
      <c r="M67" t="s">
        <v>980</v>
      </c>
      <c r="N67" t="s">
        <v>988</v>
      </c>
      <c r="O67" t="s">
        <v>988</v>
      </c>
      <c r="P67" t="s">
        <v>1110</v>
      </c>
      <c r="Q67" t="s">
        <v>3169</v>
      </c>
      <c r="R67" t="s">
        <v>1947</v>
      </c>
      <c r="S67" t="s">
        <v>3238</v>
      </c>
      <c r="T67" t="s">
        <v>3239</v>
      </c>
      <c r="U67" t="b">
        <v>0</v>
      </c>
      <c r="V67" t="s">
        <v>1953</v>
      </c>
    </row>
    <row r="68" spans="1:22" x14ac:dyDescent="0.25">
      <c r="A68" t="s">
        <v>42</v>
      </c>
      <c r="B68">
        <v>29</v>
      </c>
      <c r="C68" t="s">
        <v>993</v>
      </c>
      <c r="D68" t="s">
        <v>1114</v>
      </c>
      <c r="E68" t="s">
        <v>992</v>
      </c>
      <c r="F68">
        <v>-4657</v>
      </c>
      <c r="G68" t="s">
        <v>24</v>
      </c>
      <c r="H68" t="s">
        <v>26</v>
      </c>
      <c r="I68" t="s">
        <v>3167</v>
      </c>
      <c r="J68" t="s">
        <v>996</v>
      </c>
      <c r="K68" t="s">
        <v>3173</v>
      </c>
      <c r="L68" t="s">
        <v>996</v>
      </c>
      <c r="M68" t="s">
        <v>980</v>
      </c>
      <c r="N68" t="s">
        <v>994</v>
      </c>
      <c r="O68" t="s">
        <v>994</v>
      </c>
      <c r="P68" t="s">
        <v>1110</v>
      </c>
      <c r="Q68" t="s">
        <v>3169</v>
      </c>
      <c r="R68" t="s">
        <v>1947</v>
      </c>
      <c r="S68" t="s">
        <v>3238</v>
      </c>
      <c r="T68" t="s">
        <v>3239</v>
      </c>
      <c r="U68" t="b">
        <v>0</v>
      </c>
      <c r="V68" t="s">
        <v>1953</v>
      </c>
    </row>
    <row r="69" spans="1:22" x14ac:dyDescent="0.25">
      <c r="A69" t="s">
        <v>42</v>
      </c>
      <c r="B69">
        <v>29</v>
      </c>
      <c r="C69" t="s">
        <v>999</v>
      </c>
      <c r="D69" t="s">
        <v>1960</v>
      </c>
      <c r="E69" t="s">
        <v>998</v>
      </c>
      <c r="F69" t="s">
        <v>3240</v>
      </c>
      <c r="G69" t="s">
        <v>24</v>
      </c>
      <c r="H69" t="s">
        <v>26</v>
      </c>
      <c r="I69" t="s">
        <v>3167</v>
      </c>
      <c r="J69" t="s">
        <v>1003</v>
      </c>
      <c r="K69" t="s">
        <v>3175</v>
      </c>
      <c r="L69" t="s">
        <v>1003</v>
      </c>
      <c r="M69" t="s">
        <v>1000</v>
      </c>
      <c r="N69" t="s">
        <v>1001</v>
      </c>
      <c r="O69" t="s">
        <v>1001</v>
      </c>
      <c r="P69" t="s">
        <v>1110</v>
      </c>
      <c r="Q69" t="s">
        <v>3169</v>
      </c>
      <c r="R69" t="s">
        <v>446</v>
      </c>
      <c r="S69" t="s">
        <v>446</v>
      </c>
      <c r="T69" t="s">
        <v>1965</v>
      </c>
      <c r="U69" t="b">
        <v>0</v>
      </c>
      <c r="V69" t="s">
        <v>1962</v>
      </c>
    </row>
    <row r="70" spans="1:22" x14ac:dyDescent="0.25">
      <c r="A70" t="s">
        <v>42</v>
      </c>
      <c r="B70">
        <v>29</v>
      </c>
      <c r="C70" t="s">
        <v>1005</v>
      </c>
      <c r="D70" t="s">
        <v>3241</v>
      </c>
      <c r="E70" t="s">
        <v>982</v>
      </c>
      <c r="F70" t="s">
        <v>3242</v>
      </c>
      <c r="G70" t="s">
        <v>24</v>
      </c>
      <c r="H70" t="s">
        <v>26</v>
      </c>
      <c r="I70" t="s">
        <v>3167</v>
      </c>
      <c r="J70" t="s">
        <v>1003</v>
      </c>
      <c r="K70" t="s">
        <v>3175</v>
      </c>
      <c r="L70" t="s">
        <v>1003</v>
      </c>
      <c r="M70" t="s">
        <v>1000</v>
      </c>
      <c r="N70" t="s">
        <v>1001</v>
      </c>
      <c r="O70" t="s">
        <v>1001</v>
      </c>
      <c r="P70" t="s">
        <v>1110</v>
      </c>
      <c r="Q70" t="s">
        <v>3169</v>
      </c>
      <c r="R70" t="s">
        <v>446</v>
      </c>
      <c r="S70" t="s">
        <v>446</v>
      </c>
      <c r="T70" t="s">
        <v>1965</v>
      </c>
      <c r="U70" t="b">
        <v>0</v>
      </c>
      <c r="V70" t="s">
        <v>446</v>
      </c>
    </row>
    <row r="71" spans="1:22" x14ac:dyDescent="0.25">
      <c r="A71" t="s">
        <v>42</v>
      </c>
      <c r="B71">
        <v>29</v>
      </c>
      <c r="C71" t="s">
        <v>1007</v>
      </c>
      <c r="D71" t="s">
        <v>1116</v>
      </c>
      <c r="E71" t="s">
        <v>1006</v>
      </c>
      <c r="F71">
        <v>-4235</v>
      </c>
      <c r="G71" t="s">
        <v>24</v>
      </c>
      <c r="H71" t="s">
        <v>26</v>
      </c>
      <c r="I71" t="s">
        <v>3167</v>
      </c>
      <c r="J71" t="s">
        <v>1967</v>
      </c>
      <c r="K71" t="s">
        <v>3227</v>
      </c>
      <c r="L71" t="s">
        <v>1967</v>
      </c>
      <c r="M71" t="s">
        <v>980</v>
      </c>
      <c r="N71" t="s">
        <v>1009</v>
      </c>
      <c r="O71" t="s">
        <v>1009</v>
      </c>
      <c r="P71" t="s">
        <v>1110</v>
      </c>
      <c r="Q71" t="s">
        <v>3169</v>
      </c>
      <c r="R71" t="s">
        <v>1947</v>
      </c>
      <c r="S71" t="s">
        <v>3238</v>
      </c>
      <c r="T71" t="s">
        <v>3239</v>
      </c>
      <c r="U71" t="b">
        <v>0</v>
      </c>
      <c r="V71" t="s">
        <v>1953</v>
      </c>
    </row>
    <row r="72" spans="1:22" x14ac:dyDescent="0.25">
      <c r="A72" t="s">
        <v>42</v>
      </c>
      <c r="B72">
        <v>29</v>
      </c>
      <c r="C72" t="s">
        <v>1014</v>
      </c>
      <c r="D72" t="s">
        <v>1118</v>
      </c>
      <c r="E72" t="s">
        <v>1013</v>
      </c>
      <c r="F72">
        <v>-4812</v>
      </c>
      <c r="G72" t="s">
        <v>24</v>
      </c>
      <c r="H72" t="s">
        <v>26</v>
      </c>
      <c r="I72" t="s">
        <v>3167</v>
      </c>
      <c r="J72" t="s">
        <v>1016</v>
      </c>
      <c r="K72" t="s">
        <v>3181</v>
      </c>
      <c r="L72" t="s">
        <v>1016</v>
      </c>
      <c r="M72" t="s">
        <v>980</v>
      </c>
      <c r="N72" t="s">
        <v>1015</v>
      </c>
      <c r="O72" t="s">
        <v>1015</v>
      </c>
      <c r="P72" t="s">
        <v>1110</v>
      </c>
      <c r="Q72" t="s">
        <v>3169</v>
      </c>
      <c r="R72" t="s">
        <v>1947</v>
      </c>
      <c r="S72" t="s">
        <v>3238</v>
      </c>
      <c r="T72" t="s">
        <v>3239</v>
      </c>
      <c r="U72" t="b">
        <v>0</v>
      </c>
      <c r="V72" t="s">
        <v>1953</v>
      </c>
    </row>
    <row r="73" spans="1:22" x14ac:dyDescent="0.25">
      <c r="A73" t="s">
        <v>42</v>
      </c>
      <c r="B73">
        <v>29</v>
      </c>
      <c r="C73" t="s">
        <v>1019</v>
      </c>
      <c r="D73" t="s">
        <v>1120</v>
      </c>
      <c r="E73" t="s">
        <v>1018</v>
      </c>
      <c r="F73">
        <v>-4664</v>
      </c>
      <c r="G73" t="s">
        <v>24</v>
      </c>
      <c r="H73" t="s">
        <v>26</v>
      </c>
      <c r="I73" t="s">
        <v>3167</v>
      </c>
      <c r="J73" t="s">
        <v>1021</v>
      </c>
      <c r="K73" t="s">
        <v>3183</v>
      </c>
      <c r="L73" t="s">
        <v>1021</v>
      </c>
      <c r="M73" t="s">
        <v>980</v>
      </c>
      <c r="N73" t="s">
        <v>1020</v>
      </c>
      <c r="O73" t="s">
        <v>1020</v>
      </c>
      <c r="P73" t="s">
        <v>1110</v>
      </c>
      <c r="Q73" t="s">
        <v>3169</v>
      </c>
      <c r="R73" t="s">
        <v>1947</v>
      </c>
      <c r="S73" t="s">
        <v>3238</v>
      </c>
      <c r="T73" t="s">
        <v>3239</v>
      </c>
      <c r="U73" t="b">
        <v>0</v>
      </c>
      <c r="V73" t="s">
        <v>1953</v>
      </c>
    </row>
    <row r="74" spans="1:22" x14ac:dyDescent="0.25">
      <c r="A74" t="s">
        <v>42</v>
      </c>
      <c r="B74">
        <v>29</v>
      </c>
      <c r="C74" t="s">
        <v>1024</v>
      </c>
      <c r="D74" t="s">
        <v>1122</v>
      </c>
      <c r="E74" t="s">
        <v>1023</v>
      </c>
      <c r="F74">
        <v>-4613</v>
      </c>
      <c r="G74" t="s">
        <v>24</v>
      </c>
      <c r="H74" t="s">
        <v>26</v>
      </c>
      <c r="I74" t="s">
        <v>3167</v>
      </c>
      <c r="J74" t="s">
        <v>1026</v>
      </c>
      <c r="K74" t="s">
        <v>3185</v>
      </c>
      <c r="L74" t="s">
        <v>1026</v>
      </c>
      <c r="M74" t="s">
        <v>1000</v>
      </c>
      <c r="N74" t="s">
        <v>1025</v>
      </c>
      <c r="O74" t="s">
        <v>1025</v>
      </c>
      <c r="P74" t="s">
        <v>1110</v>
      </c>
      <c r="Q74" t="s">
        <v>3169</v>
      </c>
      <c r="R74" t="s">
        <v>1978</v>
      </c>
      <c r="S74" t="s">
        <v>3238</v>
      </c>
      <c r="T74" t="s">
        <v>3239</v>
      </c>
      <c r="U74" t="b">
        <v>0</v>
      </c>
      <c r="V74" t="s">
        <v>1950</v>
      </c>
    </row>
    <row r="75" spans="1:22" x14ac:dyDescent="0.25">
      <c r="A75" t="s">
        <v>42</v>
      </c>
      <c r="B75">
        <v>29</v>
      </c>
      <c r="C75" t="s">
        <v>1028</v>
      </c>
      <c r="D75" t="s">
        <v>3243</v>
      </c>
      <c r="E75" t="s">
        <v>1010</v>
      </c>
      <c r="F75" t="s">
        <v>3244</v>
      </c>
      <c r="G75" t="s">
        <v>24</v>
      </c>
      <c r="H75" t="s">
        <v>26</v>
      </c>
      <c r="I75" t="s">
        <v>3167</v>
      </c>
      <c r="J75" t="s">
        <v>1026</v>
      </c>
      <c r="K75" t="s">
        <v>3185</v>
      </c>
      <c r="L75" t="s">
        <v>1026</v>
      </c>
      <c r="M75" t="s">
        <v>1000</v>
      </c>
      <c r="N75" t="s">
        <v>1025</v>
      </c>
      <c r="O75" t="s">
        <v>1025</v>
      </c>
      <c r="P75" t="s">
        <v>1110</v>
      </c>
      <c r="Q75" t="s">
        <v>3169</v>
      </c>
      <c r="R75" t="s">
        <v>446</v>
      </c>
      <c r="S75" t="s">
        <v>446</v>
      </c>
      <c r="T75" t="s">
        <v>1965</v>
      </c>
      <c r="U75" t="b">
        <v>0</v>
      </c>
      <c r="V75" t="s">
        <v>446</v>
      </c>
    </row>
    <row r="76" spans="1:22" x14ac:dyDescent="0.25">
      <c r="A76" t="s">
        <v>42</v>
      </c>
      <c r="B76">
        <v>29</v>
      </c>
      <c r="C76" t="s">
        <v>1030</v>
      </c>
      <c r="D76" t="s">
        <v>1124</v>
      </c>
      <c r="E76" t="s">
        <v>1029</v>
      </c>
      <c r="F76">
        <v>-4163</v>
      </c>
      <c r="G76" t="s">
        <v>24</v>
      </c>
      <c r="H76" t="s">
        <v>26</v>
      </c>
      <c r="I76" t="s">
        <v>3167</v>
      </c>
      <c r="J76" t="s">
        <v>1033</v>
      </c>
      <c r="K76" t="s">
        <v>3189</v>
      </c>
      <c r="L76" t="s">
        <v>1033</v>
      </c>
      <c r="M76" t="s">
        <v>980</v>
      </c>
      <c r="N76" t="s">
        <v>1031</v>
      </c>
      <c r="O76" t="s">
        <v>1031</v>
      </c>
      <c r="P76" t="s">
        <v>1110</v>
      </c>
      <c r="Q76" t="s">
        <v>3169</v>
      </c>
      <c r="R76" t="s">
        <v>1947</v>
      </c>
      <c r="S76" t="s">
        <v>3238</v>
      </c>
      <c r="T76" t="s">
        <v>3239</v>
      </c>
      <c r="U76" t="b">
        <v>0</v>
      </c>
      <c r="V76" t="s">
        <v>1953</v>
      </c>
    </row>
    <row r="77" spans="1:22" x14ac:dyDescent="0.25">
      <c r="A77" t="s">
        <v>42</v>
      </c>
      <c r="B77">
        <v>29</v>
      </c>
      <c r="C77" t="s">
        <v>1036</v>
      </c>
      <c r="D77" t="s">
        <v>1126</v>
      </c>
      <c r="E77" t="s">
        <v>1035</v>
      </c>
      <c r="F77">
        <v>-4714</v>
      </c>
      <c r="G77" t="s">
        <v>24</v>
      </c>
      <c r="H77" t="s">
        <v>26</v>
      </c>
      <c r="I77" t="s">
        <v>3167</v>
      </c>
      <c r="J77" t="s">
        <v>1038</v>
      </c>
      <c r="K77" t="s">
        <v>3191</v>
      </c>
      <c r="L77" t="s">
        <v>1038</v>
      </c>
      <c r="M77" t="s">
        <v>980</v>
      </c>
      <c r="N77" t="s">
        <v>1037</v>
      </c>
      <c r="O77" t="s">
        <v>1037</v>
      </c>
      <c r="P77" t="s">
        <v>1110</v>
      </c>
      <c r="Q77" t="s">
        <v>3169</v>
      </c>
      <c r="R77" t="s">
        <v>1947</v>
      </c>
      <c r="S77" t="s">
        <v>3238</v>
      </c>
      <c r="T77" t="s">
        <v>3239</v>
      </c>
      <c r="U77" t="b">
        <v>0</v>
      </c>
      <c r="V77" t="s">
        <v>1953</v>
      </c>
    </row>
    <row r="78" spans="1:22" x14ac:dyDescent="0.25">
      <c r="A78" t="s">
        <v>42</v>
      </c>
      <c r="B78">
        <v>29</v>
      </c>
      <c r="C78" t="s">
        <v>1041</v>
      </c>
      <c r="D78" t="s">
        <v>1128</v>
      </c>
      <c r="E78" t="s">
        <v>1040</v>
      </c>
      <c r="F78">
        <v>-4797</v>
      </c>
      <c r="G78" t="s">
        <v>24</v>
      </c>
      <c r="H78" t="s">
        <v>26</v>
      </c>
      <c r="I78" t="s">
        <v>3167</v>
      </c>
      <c r="J78" t="s">
        <v>1043</v>
      </c>
      <c r="K78" t="s">
        <v>3193</v>
      </c>
      <c r="L78" t="s">
        <v>1043</v>
      </c>
      <c r="M78" t="s">
        <v>980</v>
      </c>
      <c r="N78" t="s">
        <v>1042</v>
      </c>
      <c r="O78" t="s">
        <v>1042</v>
      </c>
      <c r="P78" t="s">
        <v>1110</v>
      </c>
      <c r="Q78" t="s">
        <v>3169</v>
      </c>
      <c r="R78" t="s">
        <v>1947</v>
      </c>
      <c r="S78" t="s">
        <v>3238</v>
      </c>
      <c r="T78" t="s">
        <v>3239</v>
      </c>
      <c r="U78" t="b">
        <v>0</v>
      </c>
      <c r="V78" t="s">
        <v>1953</v>
      </c>
    </row>
    <row r="79" spans="1:22" x14ac:dyDescent="0.25">
      <c r="A79" t="s">
        <v>42</v>
      </c>
      <c r="B79">
        <v>29</v>
      </c>
      <c r="C79" t="s">
        <v>1046</v>
      </c>
      <c r="D79" t="s">
        <v>1130</v>
      </c>
      <c r="E79" t="s">
        <v>1045</v>
      </c>
      <c r="F79">
        <v>-4723</v>
      </c>
      <c r="G79" t="s">
        <v>24</v>
      </c>
      <c r="H79" t="s">
        <v>26</v>
      </c>
      <c r="I79" t="s">
        <v>3167</v>
      </c>
      <c r="J79" t="s">
        <v>1048</v>
      </c>
      <c r="K79" t="s">
        <v>3195</v>
      </c>
      <c r="L79" t="s">
        <v>1048</v>
      </c>
      <c r="M79" t="s">
        <v>1000</v>
      </c>
      <c r="N79" t="s">
        <v>1047</v>
      </c>
      <c r="O79" t="s">
        <v>1047</v>
      </c>
      <c r="P79" t="s">
        <v>1110</v>
      </c>
      <c r="Q79" t="s">
        <v>3169</v>
      </c>
      <c r="R79" t="s">
        <v>1978</v>
      </c>
      <c r="S79" t="s">
        <v>3238</v>
      </c>
      <c r="T79" t="s">
        <v>3239</v>
      </c>
      <c r="U79" t="b">
        <v>0</v>
      </c>
      <c r="V79" t="s">
        <v>1950</v>
      </c>
    </row>
    <row r="80" spans="1:22" x14ac:dyDescent="0.25">
      <c r="A80" t="s">
        <v>42</v>
      </c>
      <c r="B80">
        <v>29</v>
      </c>
      <c r="C80" t="s">
        <v>1050</v>
      </c>
      <c r="D80" t="s">
        <v>3245</v>
      </c>
      <c r="E80" t="s">
        <v>1032</v>
      </c>
      <c r="F80" t="s">
        <v>3246</v>
      </c>
      <c r="G80" t="s">
        <v>24</v>
      </c>
      <c r="H80" t="s">
        <v>26</v>
      </c>
      <c r="I80" t="s">
        <v>3167</v>
      </c>
      <c r="J80" t="s">
        <v>1048</v>
      </c>
      <c r="K80" t="s">
        <v>3195</v>
      </c>
      <c r="L80" t="s">
        <v>1048</v>
      </c>
      <c r="M80" t="s">
        <v>1000</v>
      </c>
      <c r="N80" t="s">
        <v>1047</v>
      </c>
      <c r="O80" t="s">
        <v>1047</v>
      </c>
      <c r="P80" t="s">
        <v>1110</v>
      </c>
      <c r="Q80" t="s">
        <v>3169</v>
      </c>
      <c r="R80" t="s">
        <v>446</v>
      </c>
      <c r="S80" t="s">
        <v>446</v>
      </c>
      <c r="T80" t="s">
        <v>1965</v>
      </c>
      <c r="U80" t="b">
        <v>0</v>
      </c>
      <c r="V80" t="s">
        <v>446</v>
      </c>
    </row>
    <row r="81" spans="1:22" x14ac:dyDescent="0.25">
      <c r="A81" t="s">
        <v>42</v>
      </c>
      <c r="B81">
        <v>29</v>
      </c>
      <c r="C81" t="s">
        <v>1052</v>
      </c>
      <c r="D81" t="s">
        <v>1132</v>
      </c>
      <c r="E81" t="s">
        <v>1051</v>
      </c>
      <c r="F81">
        <v>-4620</v>
      </c>
      <c r="G81" t="s">
        <v>24</v>
      </c>
      <c r="H81" t="s">
        <v>26</v>
      </c>
      <c r="I81" t="s">
        <v>3167</v>
      </c>
      <c r="J81" t="s">
        <v>1055</v>
      </c>
      <c r="K81" t="s">
        <v>3199</v>
      </c>
      <c r="L81" t="s">
        <v>1055</v>
      </c>
      <c r="M81" t="s">
        <v>980</v>
      </c>
      <c r="N81" t="s">
        <v>1053</v>
      </c>
      <c r="O81" t="s">
        <v>1053</v>
      </c>
      <c r="P81" t="s">
        <v>1110</v>
      </c>
      <c r="Q81" t="s">
        <v>3169</v>
      </c>
      <c r="R81" t="s">
        <v>1947</v>
      </c>
      <c r="S81" t="s">
        <v>3238</v>
      </c>
      <c r="T81" t="s">
        <v>3239</v>
      </c>
      <c r="U81" t="b">
        <v>0</v>
      </c>
      <c r="V81" t="s">
        <v>1953</v>
      </c>
    </row>
    <row r="82" spans="1:22" x14ac:dyDescent="0.25">
      <c r="A82" t="s">
        <v>42</v>
      </c>
      <c r="B82">
        <v>30</v>
      </c>
      <c r="C82" t="s">
        <v>979</v>
      </c>
      <c r="D82" t="s">
        <v>2897</v>
      </c>
      <c r="E82" t="s">
        <v>978</v>
      </c>
      <c r="F82" t="s">
        <v>3247</v>
      </c>
      <c r="G82" t="s">
        <v>24</v>
      </c>
      <c r="H82" t="s">
        <v>26</v>
      </c>
      <c r="I82" t="s">
        <v>3167</v>
      </c>
      <c r="J82" t="s">
        <v>984</v>
      </c>
      <c r="K82" t="s">
        <v>3168</v>
      </c>
      <c r="L82" t="s">
        <v>984</v>
      </c>
      <c r="M82" t="s">
        <v>980</v>
      </c>
      <c r="N82" t="s">
        <v>981</v>
      </c>
      <c r="O82" t="s">
        <v>981</v>
      </c>
      <c r="P82" t="s">
        <v>1110</v>
      </c>
      <c r="Q82" t="s">
        <v>3169</v>
      </c>
      <c r="R82" t="s">
        <v>446</v>
      </c>
      <c r="S82" t="s">
        <v>2898</v>
      </c>
      <c r="T82" t="s">
        <v>1965</v>
      </c>
      <c r="U82" t="b">
        <v>0</v>
      </c>
      <c r="V82" t="s">
        <v>2899</v>
      </c>
    </row>
    <row r="83" spans="1:22" x14ac:dyDescent="0.25">
      <c r="A83" t="s">
        <v>42</v>
      </c>
      <c r="B83">
        <v>30</v>
      </c>
      <c r="C83" t="s">
        <v>987</v>
      </c>
      <c r="D83" t="s">
        <v>2900</v>
      </c>
      <c r="E83" t="s">
        <v>986</v>
      </c>
      <c r="F83" t="s">
        <v>3248</v>
      </c>
      <c r="G83" t="s">
        <v>24</v>
      </c>
      <c r="H83" t="s">
        <v>26</v>
      </c>
      <c r="I83" t="s">
        <v>3167</v>
      </c>
      <c r="J83" t="s">
        <v>990</v>
      </c>
      <c r="K83" t="s">
        <v>3171</v>
      </c>
      <c r="L83" t="s">
        <v>990</v>
      </c>
      <c r="M83" t="s">
        <v>980</v>
      </c>
      <c r="N83" t="s">
        <v>988</v>
      </c>
      <c r="O83" t="s">
        <v>988</v>
      </c>
      <c r="P83" t="s">
        <v>1110</v>
      </c>
      <c r="Q83" t="s">
        <v>3169</v>
      </c>
      <c r="R83" t="s">
        <v>446</v>
      </c>
      <c r="S83" t="s">
        <v>2898</v>
      </c>
      <c r="T83" t="s">
        <v>1965</v>
      </c>
      <c r="U83" t="b">
        <v>0</v>
      </c>
      <c r="V83" t="s">
        <v>2899</v>
      </c>
    </row>
    <row r="84" spans="1:22" x14ac:dyDescent="0.25">
      <c r="A84" t="s">
        <v>42</v>
      </c>
      <c r="B84">
        <v>30</v>
      </c>
      <c r="C84" t="s">
        <v>993</v>
      </c>
      <c r="D84" t="s">
        <v>2901</v>
      </c>
      <c r="E84" t="s">
        <v>992</v>
      </c>
      <c r="F84" t="s">
        <v>3249</v>
      </c>
      <c r="G84" t="s">
        <v>24</v>
      </c>
      <c r="H84" t="s">
        <v>26</v>
      </c>
      <c r="I84" t="s">
        <v>3167</v>
      </c>
      <c r="J84" t="s">
        <v>996</v>
      </c>
      <c r="K84" t="s">
        <v>3173</v>
      </c>
      <c r="L84" t="s">
        <v>996</v>
      </c>
      <c r="M84" t="s">
        <v>980</v>
      </c>
      <c r="N84" t="s">
        <v>994</v>
      </c>
      <c r="O84" t="s">
        <v>994</v>
      </c>
      <c r="P84" t="s">
        <v>1110</v>
      </c>
      <c r="Q84" t="s">
        <v>3169</v>
      </c>
      <c r="R84" t="s">
        <v>446</v>
      </c>
      <c r="S84" t="s">
        <v>2898</v>
      </c>
      <c r="T84" t="s">
        <v>1965</v>
      </c>
      <c r="U84" t="b">
        <v>0</v>
      </c>
      <c r="V84" t="s">
        <v>2899</v>
      </c>
    </row>
    <row r="85" spans="1:22" x14ac:dyDescent="0.25">
      <c r="A85" t="s">
        <v>42</v>
      </c>
      <c r="B85">
        <v>30</v>
      </c>
      <c r="C85" t="s">
        <v>999</v>
      </c>
      <c r="D85" t="s">
        <v>2902</v>
      </c>
      <c r="E85" t="s">
        <v>998</v>
      </c>
      <c r="F85" t="s">
        <v>3250</v>
      </c>
      <c r="G85" t="s">
        <v>24</v>
      </c>
      <c r="H85" t="s">
        <v>26</v>
      </c>
      <c r="I85" t="s">
        <v>3167</v>
      </c>
      <c r="J85" t="s">
        <v>1003</v>
      </c>
      <c r="K85" t="s">
        <v>3175</v>
      </c>
      <c r="L85" t="s">
        <v>1003</v>
      </c>
      <c r="M85" t="s">
        <v>1000</v>
      </c>
      <c r="N85" t="s">
        <v>1001</v>
      </c>
      <c r="O85" t="s">
        <v>1001</v>
      </c>
      <c r="P85" t="s">
        <v>1110</v>
      </c>
      <c r="Q85" t="s">
        <v>3169</v>
      </c>
      <c r="R85" t="s">
        <v>446</v>
      </c>
      <c r="S85" t="s">
        <v>2898</v>
      </c>
      <c r="T85" t="s">
        <v>1965</v>
      </c>
      <c r="U85" t="b">
        <v>0</v>
      </c>
      <c r="V85" t="s">
        <v>2160</v>
      </c>
    </row>
    <row r="86" spans="1:22" x14ac:dyDescent="0.25">
      <c r="A86" t="s">
        <v>42</v>
      </c>
      <c r="B86">
        <v>30</v>
      </c>
      <c r="C86" t="s">
        <v>1005</v>
      </c>
      <c r="D86" t="s">
        <v>2903</v>
      </c>
      <c r="E86" t="s">
        <v>982</v>
      </c>
      <c r="F86" t="s">
        <v>3251</v>
      </c>
      <c r="G86" t="s">
        <v>24</v>
      </c>
      <c r="H86" t="s">
        <v>26</v>
      </c>
      <c r="I86" t="s">
        <v>3167</v>
      </c>
      <c r="J86" t="s">
        <v>1003</v>
      </c>
      <c r="K86" t="s">
        <v>3175</v>
      </c>
      <c r="L86" t="s">
        <v>1003</v>
      </c>
      <c r="M86" t="s">
        <v>1000</v>
      </c>
      <c r="N86" t="s">
        <v>1001</v>
      </c>
      <c r="O86" t="s">
        <v>1001</v>
      </c>
      <c r="P86" t="s">
        <v>1110</v>
      </c>
      <c r="Q86" t="s">
        <v>3169</v>
      </c>
      <c r="R86" t="s">
        <v>446</v>
      </c>
      <c r="S86" t="s">
        <v>2898</v>
      </c>
      <c r="T86" t="s">
        <v>1965</v>
      </c>
      <c r="U86" t="b">
        <v>0</v>
      </c>
      <c r="V86" t="s">
        <v>2899</v>
      </c>
    </row>
    <row r="87" spans="1:22" x14ac:dyDescent="0.25">
      <c r="A87" t="s">
        <v>42</v>
      </c>
      <c r="B87">
        <v>30</v>
      </c>
      <c r="C87" t="s">
        <v>1007</v>
      </c>
      <c r="D87" t="s">
        <v>2904</v>
      </c>
      <c r="E87" t="s">
        <v>1006</v>
      </c>
      <c r="F87" t="s">
        <v>3252</v>
      </c>
      <c r="G87" t="s">
        <v>24</v>
      </c>
      <c r="H87" t="s">
        <v>26</v>
      </c>
      <c r="I87" t="s">
        <v>3167</v>
      </c>
      <c r="J87" t="s">
        <v>1967</v>
      </c>
      <c r="K87" t="s">
        <v>3227</v>
      </c>
      <c r="L87" t="s">
        <v>1967</v>
      </c>
      <c r="M87" t="s">
        <v>1008</v>
      </c>
      <c r="N87" t="s">
        <v>1009</v>
      </c>
      <c r="O87" t="s">
        <v>1009</v>
      </c>
      <c r="P87" t="s">
        <v>1110</v>
      </c>
      <c r="Q87" t="s">
        <v>3169</v>
      </c>
      <c r="R87" t="s">
        <v>446</v>
      </c>
      <c r="S87" t="s">
        <v>2898</v>
      </c>
      <c r="T87" t="s">
        <v>1965</v>
      </c>
      <c r="U87" t="b">
        <v>0</v>
      </c>
      <c r="V87" t="s">
        <v>2899</v>
      </c>
    </row>
    <row r="88" spans="1:22" x14ac:dyDescent="0.25">
      <c r="A88" t="s">
        <v>42</v>
      </c>
      <c r="B88">
        <v>30</v>
      </c>
      <c r="C88" t="s">
        <v>1014</v>
      </c>
      <c r="D88" t="s">
        <v>2905</v>
      </c>
      <c r="E88" t="s">
        <v>1013</v>
      </c>
      <c r="F88" t="s">
        <v>3253</v>
      </c>
      <c r="G88" t="s">
        <v>24</v>
      </c>
      <c r="H88" t="s">
        <v>26</v>
      </c>
      <c r="I88" t="s">
        <v>3167</v>
      </c>
      <c r="J88" t="s">
        <v>1016</v>
      </c>
      <c r="K88" t="s">
        <v>3181</v>
      </c>
      <c r="L88" t="s">
        <v>1016</v>
      </c>
      <c r="M88" t="s">
        <v>980</v>
      </c>
      <c r="N88" t="s">
        <v>1015</v>
      </c>
      <c r="O88" t="s">
        <v>1015</v>
      </c>
      <c r="P88" t="s">
        <v>1110</v>
      </c>
      <c r="Q88" t="s">
        <v>3169</v>
      </c>
      <c r="R88" t="s">
        <v>446</v>
      </c>
      <c r="S88" t="s">
        <v>2898</v>
      </c>
      <c r="T88" t="s">
        <v>1965</v>
      </c>
      <c r="U88" t="b">
        <v>0</v>
      </c>
      <c r="V88" t="s">
        <v>2899</v>
      </c>
    </row>
    <row r="89" spans="1:22" x14ac:dyDescent="0.25">
      <c r="A89" t="s">
        <v>42</v>
      </c>
      <c r="B89">
        <v>30</v>
      </c>
      <c r="C89" t="s">
        <v>1019</v>
      </c>
      <c r="D89" t="s">
        <v>2906</v>
      </c>
      <c r="E89" t="s">
        <v>1018</v>
      </c>
      <c r="F89" t="s">
        <v>3254</v>
      </c>
      <c r="G89" t="s">
        <v>24</v>
      </c>
      <c r="H89" t="s">
        <v>26</v>
      </c>
      <c r="I89" t="s">
        <v>3167</v>
      </c>
      <c r="J89" t="s">
        <v>1021</v>
      </c>
      <c r="K89" t="s">
        <v>3183</v>
      </c>
      <c r="L89" t="s">
        <v>1021</v>
      </c>
      <c r="M89" t="s">
        <v>980</v>
      </c>
      <c r="N89" t="s">
        <v>1020</v>
      </c>
      <c r="O89" t="s">
        <v>1020</v>
      </c>
      <c r="P89" t="s">
        <v>1110</v>
      </c>
      <c r="Q89" t="s">
        <v>3169</v>
      </c>
      <c r="R89" t="s">
        <v>446</v>
      </c>
      <c r="S89" t="s">
        <v>2898</v>
      </c>
      <c r="T89" t="s">
        <v>1965</v>
      </c>
      <c r="U89" t="b">
        <v>0</v>
      </c>
      <c r="V89" t="s">
        <v>2899</v>
      </c>
    </row>
    <row r="90" spans="1:22" x14ac:dyDescent="0.25">
      <c r="A90" t="s">
        <v>42</v>
      </c>
      <c r="B90">
        <v>30</v>
      </c>
      <c r="C90" t="s">
        <v>1024</v>
      </c>
      <c r="D90" t="s">
        <v>2907</v>
      </c>
      <c r="E90" t="s">
        <v>1023</v>
      </c>
      <c r="F90" t="s">
        <v>3255</v>
      </c>
      <c r="G90" t="s">
        <v>24</v>
      </c>
      <c r="H90" t="s">
        <v>26</v>
      </c>
      <c r="I90" t="s">
        <v>3167</v>
      </c>
      <c r="J90" t="s">
        <v>1026</v>
      </c>
      <c r="K90" t="s">
        <v>3185</v>
      </c>
      <c r="L90" t="s">
        <v>1026</v>
      </c>
      <c r="M90" t="s">
        <v>1000</v>
      </c>
      <c r="N90" t="s">
        <v>1025</v>
      </c>
      <c r="O90" t="s">
        <v>1025</v>
      </c>
      <c r="P90" t="s">
        <v>1110</v>
      </c>
      <c r="Q90" t="s">
        <v>3169</v>
      </c>
      <c r="R90" t="s">
        <v>446</v>
      </c>
      <c r="S90" t="s">
        <v>2898</v>
      </c>
      <c r="T90" t="s">
        <v>1965</v>
      </c>
      <c r="U90" t="b">
        <v>0</v>
      </c>
      <c r="V90" t="s">
        <v>2160</v>
      </c>
    </row>
    <row r="91" spans="1:22" x14ac:dyDescent="0.25">
      <c r="A91" t="s">
        <v>42</v>
      </c>
      <c r="B91">
        <v>30</v>
      </c>
      <c r="C91" t="s">
        <v>1028</v>
      </c>
      <c r="D91" t="s">
        <v>2908</v>
      </c>
      <c r="E91" t="s">
        <v>1010</v>
      </c>
      <c r="F91" t="s">
        <v>3256</v>
      </c>
      <c r="G91" t="s">
        <v>24</v>
      </c>
      <c r="H91" t="s">
        <v>26</v>
      </c>
      <c r="I91" t="s">
        <v>3167</v>
      </c>
      <c r="J91" t="s">
        <v>1026</v>
      </c>
      <c r="K91" t="s">
        <v>3185</v>
      </c>
      <c r="L91" t="s">
        <v>1026</v>
      </c>
      <c r="M91" t="s">
        <v>1000</v>
      </c>
      <c r="N91" t="s">
        <v>1025</v>
      </c>
      <c r="O91" t="s">
        <v>1025</v>
      </c>
      <c r="P91" t="s">
        <v>1110</v>
      </c>
      <c r="Q91" t="s">
        <v>3169</v>
      </c>
      <c r="R91" t="s">
        <v>446</v>
      </c>
      <c r="S91" t="s">
        <v>2898</v>
      </c>
      <c r="T91" t="s">
        <v>1965</v>
      </c>
      <c r="U91" t="b">
        <v>0</v>
      </c>
      <c r="V91" t="s">
        <v>2899</v>
      </c>
    </row>
    <row r="92" spans="1:22" x14ac:dyDescent="0.25">
      <c r="A92" t="s">
        <v>42</v>
      </c>
      <c r="B92">
        <v>30</v>
      </c>
      <c r="C92" t="s">
        <v>1030</v>
      </c>
      <c r="D92" t="s">
        <v>2909</v>
      </c>
      <c r="E92" t="s">
        <v>1029</v>
      </c>
      <c r="F92" t="s">
        <v>3257</v>
      </c>
      <c r="G92" t="s">
        <v>24</v>
      </c>
      <c r="H92" t="s">
        <v>26</v>
      </c>
      <c r="I92" t="s">
        <v>3167</v>
      </c>
      <c r="J92" t="s">
        <v>1033</v>
      </c>
      <c r="K92" t="s">
        <v>3189</v>
      </c>
      <c r="L92" t="s">
        <v>1033</v>
      </c>
      <c r="M92" t="s">
        <v>980</v>
      </c>
      <c r="N92" t="s">
        <v>1031</v>
      </c>
      <c r="O92" t="s">
        <v>1031</v>
      </c>
      <c r="P92" t="s">
        <v>1110</v>
      </c>
      <c r="Q92" t="s">
        <v>3169</v>
      </c>
      <c r="R92" t="s">
        <v>446</v>
      </c>
      <c r="S92" t="s">
        <v>2898</v>
      </c>
      <c r="T92" t="s">
        <v>1965</v>
      </c>
      <c r="U92" t="b">
        <v>0</v>
      </c>
      <c r="V92" t="s">
        <v>2899</v>
      </c>
    </row>
    <row r="93" spans="1:22" x14ac:dyDescent="0.25">
      <c r="A93" t="s">
        <v>42</v>
      </c>
      <c r="B93">
        <v>30</v>
      </c>
      <c r="C93" t="s">
        <v>1036</v>
      </c>
      <c r="D93" t="s">
        <v>2910</v>
      </c>
      <c r="E93" t="s">
        <v>1035</v>
      </c>
      <c r="F93" t="s">
        <v>3258</v>
      </c>
      <c r="G93" t="s">
        <v>24</v>
      </c>
      <c r="H93" t="s">
        <v>26</v>
      </c>
      <c r="I93" t="s">
        <v>3167</v>
      </c>
      <c r="J93" t="s">
        <v>1038</v>
      </c>
      <c r="K93" t="s">
        <v>3191</v>
      </c>
      <c r="L93" t="s">
        <v>1038</v>
      </c>
      <c r="M93" t="s">
        <v>980</v>
      </c>
      <c r="N93" t="s">
        <v>1037</v>
      </c>
      <c r="O93" t="s">
        <v>1037</v>
      </c>
      <c r="P93" t="s">
        <v>1110</v>
      </c>
      <c r="Q93" t="s">
        <v>3169</v>
      </c>
      <c r="R93" t="s">
        <v>446</v>
      </c>
      <c r="S93" t="s">
        <v>2898</v>
      </c>
      <c r="T93" t="s">
        <v>1965</v>
      </c>
      <c r="U93" t="b">
        <v>0</v>
      </c>
      <c r="V93" t="s">
        <v>2899</v>
      </c>
    </row>
    <row r="94" spans="1:22" x14ac:dyDescent="0.25">
      <c r="A94" t="s">
        <v>42</v>
      </c>
      <c r="B94">
        <v>30</v>
      </c>
      <c r="C94" t="s">
        <v>1041</v>
      </c>
      <c r="D94" t="s">
        <v>2911</v>
      </c>
      <c r="E94" t="s">
        <v>1040</v>
      </c>
      <c r="F94" t="s">
        <v>3259</v>
      </c>
      <c r="G94" t="s">
        <v>24</v>
      </c>
      <c r="H94" t="s">
        <v>26</v>
      </c>
      <c r="I94" t="s">
        <v>3167</v>
      </c>
      <c r="J94" t="s">
        <v>1043</v>
      </c>
      <c r="K94" t="s">
        <v>3193</v>
      </c>
      <c r="L94" t="s">
        <v>1043</v>
      </c>
      <c r="M94" t="s">
        <v>980</v>
      </c>
      <c r="N94" t="s">
        <v>1042</v>
      </c>
      <c r="O94" t="s">
        <v>1042</v>
      </c>
      <c r="P94" t="s">
        <v>1110</v>
      </c>
      <c r="Q94" t="s">
        <v>3169</v>
      </c>
      <c r="R94" t="s">
        <v>446</v>
      </c>
      <c r="S94" t="s">
        <v>2898</v>
      </c>
      <c r="T94" t="s">
        <v>1965</v>
      </c>
      <c r="U94" t="b">
        <v>0</v>
      </c>
      <c r="V94" t="s">
        <v>2899</v>
      </c>
    </row>
    <row r="95" spans="1:22" x14ac:dyDescent="0.25">
      <c r="A95" t="s">
        <v>42</v>
      </c>
      <c r="B95">
        <v>30</v>
      </c>
      <c r="C95" t="s">
        <v>1046</v>
      </c>
      <c r="D95" t="s">
        <v>2912</v>
      </c>
      <c r="E95" t="s">
        <v>1045</v>
      </c>
      <c r="F95" t="s">
        <v>3260</v>
      </c>
      <c r="G95" t="s">
        <v>24</v>
      </c>
      <c r="H95" t="s">
        <v>26</v>
      </c>
      <c r="I95" t="s">
        <v>3167</v>
      </c>
      <c r="J95" t="s">
        <v>1048</v>
      </c>
      <c r="K95" t="s">
        <v>3195</v>
      </c>
      <c r="L95" t="s">
        <v>1048</v>
      </c>
      <c r="M95" t="s">
        <v>1000</v>
      </c>
      <c r="N95" t="s">
        <v>1047</v>
      </c>
      <c r="O95" t="s">
        <v>1047</v>
      </c>
      <c r="P95" t="s">
        <v>1110</v>
      </c>
      <c r="Q95" t="s">
        <v>3169</v>
      </c>
      <c r="R95" t="s">
        <v>446</v>
      </c>
      <c r="S95" t="s">
        <v>2898</v>
      </c>
      <c r="T95" t="s">
        <v>1965</v>
      </c>
      <c r="U95" t="b">
        <v>0</v>
      </c>
      <c r="V95" t="s">
        <v>2160</v>
      </c>
    </row>
    <row r="96" spans="1:22" x14ac:dyDescent="0.25">
      <c r="A96" t="s">
        <v>42</v>
      </c>
      <c r="B96">
        <v>30</v>
      </c>
      <c r="C96" t="s">
        <v>1050</v>
      </c>
      <c r="D96" t="s">
        <v>2913</v>
      </c>
      <c r="E96" t="s">
        <v>1032</v>
      </c>
      <c r="F96" t="s">
        <v>3261</v>
      </c>
      <c r="G96" t="s">
        <v>24</v>
      </c>
      <c r="H96" t="s">
        <v>26</v>
      </c>
      <c r="I96" t="s">
        <v>3167</v>
      </c>
      <c r="J96" t="s">
        <v>1048</v>
      </c>
      <c r="K96" t="s">
        <v>3195</v>
      </c>
      <c r="L96" t="s">
        <v>1048</v>
      </c>
      <c r="M96" t="s">
        <v>1000</v>
      </c>
      <c r="N96" t="s">
        <v>1047</v>
      </c>
      <c r="O96" t="s">
        <v>1047</v>
      </c>
      <c r="P96" t="s">
        <v>1110</v>
      </c>
      <c r="Q96" t="s">
        <v>3169</v>
      </c>
      <c r="R96" t="s">
        <v>446</v>
      </c>
      <c r="S96" t="s">
        <v>2898</v>
      </c>
      <c r="T96" t="s">
        <v>1965</v>
      </c>
      <c r="U96" t="b">
        <v>0</v>
      </c>
      <c r="V96" t="s">
        <v>2899</v>
      </c>
    </row>
    <row r="97" spans="1:22" x14ac:dyDescent="0.25">
      <c r="A97" t="s">
        <v>42</v>
      </c>
      <c r="B97">
        <v>30</v>
      </c>
      <c r="C97" t="s">
        <v>1052</v>
      </c>
      <c r="D97" t="s">
        <v>2914</v>
      </c>
      <c r="E97" t="s">
        <v>1051</v>
      </c>
      <c r="F97" t="s">
        <v>3262</v>
      </c>
      <c r="G97" t="s">
        <v>24</v>
      </c>
      <c r="H97" t="s">
        <v>26</v>
      </c>
      <c r="I97" t="s">
        <v>3167</v>
      </c>
      <c r="J97" t="s">
        <v>1055</v>
      </c>
      <c r="K97" t="s">
        <v>3199</v>
      </c>
      <c r="L97" t="s">
        <v>1055</v>
      </c>
      <c r="M97" t="s">
        <v>980</v>
      </c>
      <c r="N97" t="s">
        <v>1053</v>
      </c>
      <c r="O97" t="s">
        <v>1053</v>
      </c>
      <c r="P97" t="s">
        <v>1110</v>
      </c>
      <c r="Q97" t="s">
        <v>3169</v>
      </c>
      <c r="R97" t="s">
        <v>446</v>
      </c>
      <c r="S97" t="s">
        <v>2898</v>
      </c>
      <c r="T97" t="s">
        <v>1965</v>
      </c>
      <c r="U97" t="b">
        <v>0</v>
      </c>
      <c r="V97" t="s">
        <v>2899</v>
      </c>
    </row>
    <row r="98" spans="1:22" x14ac:dyDescent="0.25">
      <c r="A98" t="s">
        <v>42</v>
      </c>
      <c r="B98">
        <v>32</v>
      </c>
      <c r="C98" t="s">
        <v>979</v>
      </c>
      <c r="D98" t="s">
        <v>1134</v>
      </c>
      <c r="E98" t="s">
        <v>978</v>
      </c>
      <c r="F98">
        <v>-3185</v>
      </c>
      <c r="G98" t="s">
        <v>24</v>
      </c>
      <c r="H98" t="s">
        <v>26</v>
      </c>
      <c r="I98" t="s">
        <v>3167</v>
      </c>
      <c r="J98" t="s">
        <v>984</v>
      </c>
      <c r="K98" t="s">
        <v>3168</v>
      </c>
      <c r="L98" t="s">
        <v>984</v>
      </c>
      <c r="M98" t="s">
        <v>980</v>
      </c>
      <c r="N98" t="s">
        <v>981</v>
      </c>
      <c r="O98" t="s">
        <v>981</v>
      </c>
      <c r="P98" t="s">
        <v>1110</v>
      </c>
      <c r="Q98" t="s">
        <v>3169</v>
      </c>
      <c r="R98" t="s">
        <v>1998</v>
      </c>
      <c r="S98" t="s">
        <v>3263</v>
      </c>
      <c r="T98" t="s">
        <v>3239</v>
      </c>
      <c r="U98" t="b">
        <v>0</v>
      </c>
      <c r="V98" t="s">
        <v>1997</v>
      </c>
    </row>
    <row r="99" spans="1:22" x14ac:dyDescent="0.25">
      <c r="A99" t="s">
        <v>42</v>
      </c>
      <c r="B99">
        <v>32</v>
      </c>
      <c r="C99" t="s">
        <v>987</v>
      </c>
      <c r="D99" t="s">
        <v>1136</v>
      </c>
      <c r="E99" t="s">
        <v>986</v>
      </c>
      <c r="F99">
        <v>-3321</v>
      </c>
      <c r="G99" t="s">
        <v>24</v>
      </c>
      <c r="H99" t="s">
        <v>26</v>
      </c>
      <c r="I99" t="s">
        <v>3167</v>
      </c>
      <c r="J99" t="s">
        <v>990</v>
      </c>
      <c r="K99" t="s">
        <v>3171</v>
      </c>
      <c r="L99" t="s">
        <v>990</v>
      </c>
      <c r="M99" t="s">
        <v>980</v>
      </c>
      <c r="N99" t="s">
        <v>988</v>
      </c>
      <c r="O99" t="s">
        <v>988</v>
      </c>
      <c r="P99" t="s">
        <v>1110</v>
      </c>
      <c r="Q99" t="s">
        <v>3169</v>
      </c>
      <c r="R99" t="s">
        <v>1998</v>
      </c>
      <c r="S99" t="s">
        <v>3263</v>
      </c>
      <c r="T99" t="s">
        <v>3239</v>
      </c>
      <c r="U99" t="b">
        <v>0</v>
      </c>
      <c r="V99" t="s">
        <v>1997</v>
      </c>
    </row>
    <row r="100" spans="1:22" x14ac:dyDescent="0.25">
      <c r="A100" t="s">
        <v>42</v>
      </c>
      <c r="B100">
        <v>32</v>
      </c>
      <c r="C100" t="s">
        <v>993</v>
      </c>
      <c r="D100" t="s">
        <v>1138</v>
      </c>
      <c r="E100" t="s">
        <v>992</v>
      </c>
      <c r="F100">
        <v>-3667</v>
      </c>
      <c r="G100" t="s">
        <v>24</v>
      </c>
      <c r="H100" t="s">
        <v>26</v>
      </c>
      <c r="I100" t="s">
        <v>3167</v>
      </c>
      <c r="J100" t="s">
        <v>996</v>
      </c>
      <c r="K100" t="s">
        <v>3173</v>
      </c>
      <c r="L100" t="s">
        <v>996</v>
      </c>
      <c r="M100" t="s">
        <v>980</v>
      </c>
      <c r="N100" t="s">
        <v>994</v>
      </c>
      <c r="O100" t="s">
        <v>994</v>
      </c>
      <c r="P100" t="s">
        <v>1110</v>
      </c>
      <c r="Q100" t="s">
        <v>3169</v>
      </c>
      <c r="R100" t="s">
        <v>1998</v>
      </c>
      <c r="S100" t="s">
        <v>3263</v>
      </c>
      <c r="T100" t="s">
        <v>3239</v>
      </c>
      <c r="U100" t="b">
        <v>0</v>
      </c>
      <c r="V100" t="s">
        <v>1997</v>
      </c>
    </row>
    <row r="101" spans="1:22" x14ac:dyDescent="0.25">
      <c r="A101" t="s">
        <v>42</v>
      </c>
      <c r="B101">
        <v>32</v>
      </c>
      <c r="C101" t="s">
        <v>999</v>
      </c>
      <c r="D101" t="s">
        <v>2001</v>
      </c>
      <c r="E101" t="s">
        <v>998</v>
      </c>
      <c r="F101" t="s">
        <v>3264</v>
      </c>
      <c r="G101" t="s">
        <v>24</v>
      </c>
      <c r="H101" t="s">
        <v>26</v>
      </c>
      <c r="I101" t="s">
        <v>3167</v>
      </c>
      <c r="J101" t="s">
        <v>1003</v>
      </c>
      <c r="K101" t="s">
        <v>3175</v>
      </c>
      <c r="L101" t="s">
        <v>1003</v>
      </c>
      <c r="M101" t="s">
        <v>1000</v>
      </c>
      <c r="N101" t="s">
        <v>1001</v>
      </c>
      <c r="O101" t="s">
        <v>1001</v>
      </c>
      <c r="P101" t="s">
        <v>1110</v>
      </c>
      <c r="Q101" t="s">
        <v>3169</v>
      </c>
      <c r="R101" t="s">
        <v>446</v>
      </c>
      <c r="S101" t="s">
        <v>446</v>
      </c>
      <c r="T101" t="s">
        <v>1965</v>
      </c>
      <c r="U101" t="b">
        <v>0</v>
      </c>
      <c r="V101" t="s">
        <v>1962</v>
      </c>
    </row>
    <row r="102" spans="1:22" x14ac:dyDescent="0.25">
      <c r="A102" t="s">
        <v>42</v>
      </c>
      <c r="B102">
        <v>32</v>
      </c>
      <c r="C102" t="s">
        <v>1005</v>
      </c>
      <c r="D102" t="s">
        <v>3265</v>
      </c>
      <c r="E102" t="s">
        <v>982</v>
      </c>
      <c r="F102" t="s">
        <v>3266</v>
      </c>
      <c r="G102" t="s">
        <v>24</v>
      </c>
      <c r="H102" t="s">
        <v>26</v>
      </c>
      <c r="I102" t="s">
        <v>3167</v>
      </c>
      <c r="J102" t="s">
        <v>1003</v>
      </c>
      <c r="K102" t="s">
        <v>3175</v>
      </c>
      <c r="L102" t="s">
        <v>1003</v>
      </c>
      <c r="M102" t="s">
        <v>1000</v>
      </c>
      <c r="N102" t="s">
        <v>1001</v>
      </c>
      <c r="O102" t="s">
        <v>1001</v>
      </c>
      <c r="P102" t="s">
        <v>1110</v>
      </c>
      <c r="Q102" t="s">
        <v>3169</v>
      </c>
      <c r="R102" t="s">
        <v>446</v>
      </c>
      <c r="S102" t="s">
        <v>446</v>
      </c>
      <c r="T102" t="s">
        <v>1965</v>
      </c>
      <c r="U102" t="b">
        <v>0</v>
      </c>
      <c r="V102" t="s">
        <v>446</v>
      </c>
    </row>
    <row r="103" spans="1:22" x14ac:dyDescent="0.25">
      <c r="A103" t="s">
        <v>42</v>
      </c>
      <c r="B103">
        <v>32</v>
      </c>
      <c r="C103" t="s">
        <v>1007</v>
      </c>
      <c r="D103" t="s">
        <v>1140</v>
      </c>
      <c r="E103" t="s">
        <v>1006</v>
      </c>
      <c r="F103">
        <v>-3351</v>
      </c>
      <c r="G103" t="s">
        <v>24</v>
      </c>
      <c r="H103" t="s">
        <v>26</v>
      </c>
      <c r="I103" t="s">
        <v>3167</v>
      </c>
      <c r="J103" t="s">
        <v>1967</v>
      </c>
      <c r="K103" t="s">
        <v>3227</v>
      </c>
      <c r="L103" t="s">
        <v>1967</v>
      </c>
      <c r="M103" t="s">
        <v>980</v>
      </c>
      <c r="N103" t="s">
        <v>1009</v>
      </c>
      <c r="O103" t="s">
        <v>1009</v>
      </c>
      <c r="P103" t="s">
        <v>1110</v>
      </c>
      <c r="Q103" t="s">
        <v>3169</v>
      </c>
      <c r="R103" t="s">
        <v>1998</v>
      </c>
      <c r="S103" t="s">
        <v>3263</v>
      </c>
      <c r="T103" t="s">
        <v>3239</v>
      </c>
      <c r="U103" t="b">
        <v>0</v>
      </c>
      <c r="V103" t="s">
        <v>1997</v>
      </c>
    </row>
    <row r="104" spans="1:22" x14ac:dyDescent="0.25">
      <c r="A104" t="s">
        <v>42</v>
      </c>
      <c r="B104">
        <v>32</v>
      </c>
      <c r="C104" t="s">
        <v>1014</v>
      </c>
      <c r="D104" t="s">
        <v>1142</v>
      </c>
      <c r="E104" t="s">
        <v>1013</v>
      </c>
      <c r="F104">
        <v>-3549</v>
      </c>
      <c r="G104" t="s">
        <v>24</v>
      </c>
      <c r="H104" t="s">
        <v>26</v>
      </c>
      <c r="I104" t="s">
        <v>3167</v>
      </c>
      <c r="J104" t="s">
        <v>1016</v>
      </c>
      <c r="K104" t="s">
        <v>3181</v>
      </c>
      <c r="L104" t="s">
        <v>1016</v>
      </c>
      <c r="M104" t="s">
        <v>980</v>
      </c>
      <c r="N104" t="s">
        <v>1015</v>
      </c>
      <c r="O104" t="s">
        <v>1015</v>
      </c>
      <c r="P104" t="s">
        <v>1110</v>
      </c>
      <c r="Q104" t="s">
        <v>3169</v>
      </c>
      <c r="R104" t="s">
        <v>1998</v>
      </c>
      <c r="S104" t="s">
        <v>3263</v>
      </c>
      <c r="T104" t="s">
        <v>3239</v>
      </c>
      <c r="U104" t="b">
        <v>0</v>
      </c>
      <c r="V104" t="s">
        <v>1997</v>
      </c>
    </row>
    <row r="105" spans="1:22" x14ac:dyDescent="0.25">
      <c r="A105" t="s">
        <v>42</v>
      </c>
      <c r="B105">
        <v>32</v>
      </c>
      <c r="C105" t="s">
        <v>1019</v>
      </c>
      <c r="D105" t="s">
        <v>1144</v>
      </c>
      <c r="E105" t="s">
        <v>1018</v>
      </c>
      <c r="F105">
        <v>-3636</v>
      </c>
      <c r="G105" t="s">
        <v>24</v>
      </c>
      <c r="H105" t="s">
        <v>26</v>
      </c>
      <c r="I105" t="s">
        <v>3167</v>
      </c>
      <c r="J105" t="s">
        <v>1021</v>
      </c>
      <c r="K105" t="s">
        <v>3183</v>
      </c>
      <c r="L105" t="s">
        <v>1021</v>
      </c>
      <c r="M105" t="s">
        <v>980</v>
      </c>
      <c r="N105" t="s">
        <v>1020</v>
      </c>
      <c r="O105" t="s">
        <v>1020</v>
      </c>
      <c r="P105" t="s">
        <v>1110</v>
      </c>
      <c r="Q105" t="s">
        <v>3169</v>
      </c>
      <c r="R105" t="s">
        <v>1998</v>
      </c>
      <c r="S105" t="s">
        <v>3263</v>
      </c>
      <c r="T105" t="s">
        <v>3239</v>
      </c>
      <c r="U105" t="b">
        <v>0</v>
      </c>
      <c r="V105" t="s">
        <v>1997</v>
      </c>
    </row>
    <row r="106" spans="1:22" x14ac:dyDescent="0.25">
      <c r="A106" t="s">
        <v>42</v>
      </c>
      <c r="B106">
        <v>32</v>
      </c>
      <c r="C106" t="s">
        <v>1024</v>
      </c>
      <c r="D106" t="s">
        <v>1146</v>
      </c>
      <c r="E106" t="s">
        <v>1023</v>
      </c>
      <c r="F106">
        <v>-4046</v>
      </c>
      <c r="G106" t="s">
        <v>24</v>
      </c>
      <c r="H106" t="s">
        <v>26</v>
      </c>
      <c r="I106" t="s">
        <v>3167</v>
      </c>
      <c r="J106" t="s">
        <v>1026</v>
      </c>
      <c r="K106" t="s">
        <v>3185</v>
      </c>
      <c r="L106" t="s">
        <v>1026</v>
      </c>
      <c r="M106" t="s">
        <v>1000</v>
      </c>
      <c r="N106" t="s">
        <v>1025</v>
      </c>
      <c r="O106" t="s">
        <v>1025</v>
      </c>
      <c r="P106" t="s">
        <v>1110</v>
      </c>
      <c r="Q106" t="s">
        <v>3169</v>
      </c>
      <c r="R106" t="s">
        <v>2006</v>
      </c>
      <c r="S106" t="s">
        <v>3263</v>
      </c>
      <c r="T106" t="s">
        <v>3239</v>
      </c>
      <c r="U106" t="b">
        <v>0</v>
      </c>
      <c r="V106" t="s">
        <v>1950</v>
      </c>
    </row>
    <row r="107" spans="1:22" x14ac:dyDescent="0.25">
      <c r="A107" t="s">
        <v>42</v>
      </c>
      <c r="B107">
        <v>32</v>
      </c>
      <c r="C107" t="s">
        <v>1028</v>
      </c>
      <c r="D107" t="s">
        <v>3267</v>
      </c>
      <c r="E107" t="s">
        <v>1010</v>
      </c>
      <c r="F107" t="s">
        <v>3268</v>
      </c>
      <c r="G107" t="s">
        <v>24</v>
      </c>
      <c r="H107" t="s">
        <v>26</v>
      </c>
      <c r="I107" t="s">
        <v>3167</v>
      </c>
      <c r="J107" t="s">
        <v>1026</v>
      </c>
      <c r="K107" t="s">
        <v>3185</v>
      </c>
      <c r="L107" t="s">
        <v>1026</v>
      </c>
      <c r="M107" t="s">
        <v>1000</v>
      </c>
      <c r="N107" t="s">
        <v>1025</v>
      </c>
      <c r="O107" t="s">
        <v>1025</v>
      </c>
      <c r="P107" t="s">
        <v>1110</v>
      </c>
      <c r="Q107" t="s">
        <v>3169</v>
      </c>
      <c r="R107" t="s">
        <v>446</v>
      </c>
      <c r="S107" t="s">
        <v>446</v>
      </c>
      <c r="T107" t="s">
        <v>1965</v>
      </c>
      <c r="U107" t="b">
        <v>0</v>
      </c>
      <c r="V107" t="s">
        <v>446</v>
      </c>
    </row>
    <row r="108" spans="1:22" x14ac:dyDescent="0.25">
      <c r="A108" t="s">
        <v>42</v>
      </c>
      <c r="B108">
        <v>32</v>
      </c>
      <c r="C108" t="s">
        <v>1030</v>
      </c>
      <c r="D108" t="s">
        <v>1148</v>
      </c>
      <c r="E108" t="s">
        <v>1029</v>
      </c>
      <c r="F108">
        <v>-3234</v>
      </c>
      <c r="G108" t="s">
        <v>24</v>
      </c>
      <c r="H108" t="s">
        <v>26</v>
      </c>
      <c r="I108" t="s">
        <v>3167</v>
      </c>
      <c r="J108" t="s">
        <v>1033</v>
      </c>
      <c r="K108" t="s">
        <v>3189</v>
      </c>
      <c r="L108" t="s">
        <v>1033</v>
      </c>
      <c r="M108" t="s">
        <v>980</v>
      </c>
      <c r="N108" t="s">
        <v>1031</v>
      </c>
      <c r="O108" t="s">
        <v>1031</v>
      </c>
      <c r="P108" t="s">
        <v>1110</v>
      </c>
      <c r="Q108" t="s">
        <v>3169</v>
      </c>
      <c r="R108" t="s">
        <v>1998</v>
      </c>
      <c r="S108" t="s">
        <v>3263</v>
      </c>
      <c r="T108" t="s">
        <v>3239</v>
      </c>
      <c r="U108" t="b">
        <v>0</v>
      </c>
      <c r="V108" t="s">
        <v>1997</v>
      </c>
    </row>
    <row r="109" spans="1:22" x14ac:dyDescent="0.25">
      <c r="A109" t="s">
        <v>42</v>
      </c>
      <c r="B109">
        <v>32</v>
      </c>
      <c r="C109" t="s">
        <v>1036</v>
      </c>
      <c r="D109" t="s">
        <v>1150</v>
      </c>
      <c r="E109" t="s">
        <v>1035</v>
      </c>
      <c r="F109">
        <v>-3470</v>
      </c>
      <c r="G109" t="s">
        <v>24</v>
      </c>
      <c r="H109" t="s">
        <v>26</v>
      </c>
      <c r="I109" t="s">
        <v>3167</v>
      </c>
      <c r="J109" t="s">
        <v>1038</v>
      </c>
      <c r="K109" t="s">
        <v>3191</v>
      </c>
      <c r="L109" t="s">
        <v>1038</v>
      </c>
      <c r="M109" t="s">
        <v>980</v>
      </c>
      <c r="N109" t="s">
        <v>1037</v>
      </c>
      <c r="O109" t="s">
        <v>1037</v>
      </c>
      <c r="P109" t="s">
        <v>1110</v>
      </c>
      <c r="Q109" t="s">
        <v>3169</v>
      </c>
      <c r="R109" t="s">
        <v>1998</v>
      </c>
      <c r="S109" t="s">
        <v>3263</v>
      </c>
      <c r="T109" t="s">
        <v>3239</v>
      </c>
      <c r="U109" t="b">
        <v>0</v>
      </c>
      <c r="V109" t="s">
        <v>1997</v>
      </c>
    </row>
    <row r="110" spans="1:22" x14ac:dyDescent="0.25">
      <c r="A110" t="s">
        <v>42</v>
      </c>
      <c r="B110">
        <v>32</v>
      </c>
      <c r="C110" t="s">
        <v>1041</v>
      </c>
      <c r="D110" t="s">
        <v>1152</v>
      </c>
      <c r="E110" t="s">
        <v>1040</v>
      </c>
      <c r="F110">
        <v>-3618</v>
      </c>
      <c r="G110" t="s">
        <v>24</v>
      </c>
      <c r="H110" t="s">
        <v>26</v>
      </c>
      <c r="I110" t="s">
        <v>3167</v>
      </c>
      <c r="J110" t="s">
        <v>1043</v>
      </c>
      <c r="K110" t="s">
        <v>3193</v>
      </c>
      <c r="L110" t="s">
        <v>1043</v>
      </c>
      <c r="M110" t="s">
        <v>980</v>
      </c>
      <c r="N110" t="s">
        <v>1042</v>
      </c>
      <c r="O110" t="s">
        <v>1042</v>
      </c>
      <c r="P110" t="s">
        <v>1110</v>
      </c>
      <c r="Q110" t="s">
        <v>3169</v>
      </c>
      <c r="R110" t="s">
        <v>1998</v>
      </c>
      <c r="S110" t="s">
        <v>3263</v>
      </c>
      <c r="T110" t="s">
        <v>3239</v>
      </c>
      <c r="U110" t="b">
        <v>0</v>
      </c>
      <c r="V110" t="s">
        <v>1997</v>
      </c>
    </row>
    <row r="111" spans="1:22" x14ac:dyDescent="0.25">
      <c r="A111" t="s">
        <v>42</v>
      </c>
      <c r="B111">
        <v>32</v>
      </c>
      <c r="C111" t="s">
        <v>1046</v>
      </c>
      <c r="D111" t="s">
        <v>1154</v>
      </c>
      <c r="E111" t="s">
        <v>1045</v>
      </c>
      <c r="F111">
        <v>-4199</v>
      </c>
      <c r="G111" t="s">
        <v>24</v>
      </c>
      <c r="H111" t="s">
        <v>26</v>
      </c>
      <c r="I111" t="s">
        <v>3167</v>
      </c>
      <c r="J111" t="s">
        <v>1048</v>
      </c>
      <c r="K111" t="s">
        <v>3195</v>
      </c>
      <c r="L111" t="s">
        <v>1048</v>
      </c>
      <c r="M111" t="s">
        <v>1000</v>
      </c>
      <c r="N111" t="s">
        <v>1047</v>
      </c>
      <c r="O111" t="s">
        <v>1047</v>
      </c>
      <c r="P111" t="s">
        <v>1110</v>
      </c>
      <c r="Q111" t="s">
        <v>3169</v>
      </c>
      <c r="R111" t="s">
        <v>2006</v>
      </c>
      <c r="S111" t="s">
        <v>3263</v>
      </c>
      <c r="T111" t="s">
        <v>3239</v>
      </c>
      <c r="U111" t="b">
        <v>0</v>
      </c>
      <c r="V111" t="s">
        <v>1950</v>
      </c>
    </row>
    <row r="112" spans="1:22" x14ac:dyDescent="0.25">
      <c r="A112" t="s">
        <v>42</v>
      </c>
      <c r="B112">
        <v>32</v>
      </c>
      <c r="C112" t="s">
        <v>1050</v>
      </c>
      <c r="D112" t="s">
        <v>3269</v>
      </c>
      <c r="E112" t="s">
        <v>1032</v>
      </c>
      <c r="F112" t="s">
        <v>3270</v>
      </c>
      <c r="G112" t="s">
        <v>24</v>
      </c>
      <c r="H112" t="s">
        <v>26</v>
      </c>
      <c r="I112" t="s">
        <v>3167</v>
      </c>
      <c r="J112" t="s">
        <v>1048</v>
      </c>
      <c r="K112" t="s">
        <v>3195</v>
      </c>
      <c r="L112" t="s">
        <v>1048</v>
      </c>
      <c r="M112" t="s">
        <v>1000</v>
      </c>
      <c r="N112" t="s">
        <v>1047</v>
      </c>
      <c r="O112" t="s">
        <v>1047</v>
      </c>
      <c r="P112" t="s">
        <v>1110</v>
      </c>
      <c r="Q112" t="s">
        <v>3169</v>
      </c>
      <c r="R112" t="s">
        <v>446</v>
      </c>
      <c r="S112" t="s">
        <v>446</v>
      </c>
      <c r="T112" t="s">
        <v>1965</v>
      </c>
      <c r="U112" t="b">
        <v>0</v>
      </c>
      <c r="V112" t="s">
        <v>446</v>
      </c>
    </row>
    <row r="113" spans="1:22" x14ac:dyDescent="0.25">
      <c r="A113" t="s">
        <v>42</v>
      </c>
      <c r="B113">
        <v>32</v>
      </c>
      <c r="C113" t="s">
        <v>1052</v>
      </c>
      <c r="D113" t="s">
        <v>1156</v>
      </c>
      <c r="E113" t="s">
        <v>1051</v>
      </c>
      <c r="F113">
        <v>-3472</v>
      </c>
      <c r="G113" t="s">
        <v>24</v>
      </c>
      <c r="H113" t="s">
        <v>26</v>
      </c>
      <c r="I113" t="s">
        <v>3167</v>
      </c>
      <c r="J113" t="s">
        <v>1055</v>
      </c>
      <c r="K113" t="s">
        <v>3199</v>
      </c>
      <c r="L113" t="s">
        <v>1055</v>
      </c>
      <c r="M113" t="s">
        <v>980</v>
      </c>
      <c r="N113" t="s">
        <v>1053</v>
      </c>
      <c r="O113" t="s">
        <v>1053</v>
      </c>
      <c r="P113" t="s">
        <v>1110</v>
      </c>
      <c r="Q113" t="s">
        <v>3169</v>
      </c>
      <c r="R113" t="s">
        <v>1998</v>
      </c>
      <c r="S113" t="s">
        <v>3263</v>
      </c>
      <c r="T113" t="s">
        <v>3239</v>
      </c>
      <c r="U113" t="b">
        <v>0</v>
      </c>
      <c r="V113" t="s">
        <v>1997</v>
      </c>
    </row>
    <row r="114" spans="1:22" x14ac:dyDescent="0.25">
      <c r="A114" t="s">
        <v>42</v>
      </c>
      <c r="B114">
        <v>33</v>
      </c>
      <c r="C114" t="s">
        <v>979</v>
      </c>
      <c r="D114" t="s">
        <v>1158</v>
      </c>
      <c r="E114" t="s">
        <v>978</v>
      </c>
      <c r="F114">
        <v>0</v>
      </c>
      <c r="G114" t="s">
        <v>24</v>
      </c>
      <c r="H114" t="s">
        <v>26</v>
      </c>
      <c r="I114" t="s">
        <v>3167</v>
      </c>
      <c r="J114" t="s">
        <v>984</v>
      </c>
      <c r="K114" t="s">
        <v>3168</v>
      </c>
      <c r="L114" t="s">
        <v>984</v>
      </c>
      <c r="M114" t="s">
        <v>980</v>
      </c>
      <c r="N114" t="s">
        <v>981</v>
      </c>
      <c r="O114" t="s">
        <v>981</v>
      </c>
      <c r="P114" t="s">
        <v>1110</v>
      </c>
      <c r="Q114" t="s">
        <v>3169</v>
      </c>
      <c r="R114" t="s">
        <v>2014</v>
      </c>
      <c r="S114" t="s">
        <v>2014</v>
      </c>
      <c r="T114" t="s">
        <v>3271</v>
      </c>
      <c r="U114" t="b">
        <v>0</v>
      </c>
      <c r="V114" t="s">
        <v>1950</v>
      </c>
    </row>
    <row r="115" spans="1:22" x14ac:dyDescent="0.25">
      <c r="A115" t="s">
        <v>42</v>
      </c>
      <c r="B115">
        <v>33</v>
      </c>
      <c r="C115" t="s">
        <v>987</v>
      </c>
      <c r="D115" t="s">
        <v>1160</v>
      </c>
      <c r="E115" t="s">
        <v>986</v>
      </c>
      <c r="F115">
        <v>0</v>
      </c>
      <c r="G115" t="s">
        <v>24</v>
      </c>
      <c r="H115" t="s">
        <v>26</v>
      </c>
      <c r="I115" t="s">
        <v>3167</v>
      </c>
      <c r="J115" t="s">
        <v>990</v>
      </c>
      <c r="K115" t="s">
        <v>3171</v>
      </c>
      <c r="L115" t="s">
        <v>990</v>
      </c>
      <c r="M115" t="s">
        <v>980</v>
      </c>
      <c r="N115" t="s">
        <v>988</v>
      </c>
      <c r="O115" t="s">
        <v>988</v>
      </c>
      <c r="P115" t="s">
        <v>1110</v>
      </c>
      <c r="Q115" t="s">
        <v>3169</v>
      </c>
      <c r="R115" t="s">
        <v>2014</v>
      </c>
      <c r="S115" t="s">
        <v>2014</v>
      </c>
      <c r="T115" t="s">
        <v>3271</v>
      </c>
      <c r="U115" t="b">
        <v>0</v>
      </c>
      <c r="V115" t="s">
        <v>1950</v>
      </c>
    </row>
    <row r="116" spans="1:22" x14ac:dyDescent="0.25">
      <c r="A116" t="s">
        <v>42</v>
      </c>
      <c r="B116">
        <v>33</v>
      </c>
      <c r="C116" t="s">
        <v>993</v>
      </c>
      <c r="D116" t="s">
        <v>1161</v>
      </c>
      <c r="E116" t="s">
        <v>992</v>
      </c>
      <c r="F116">
        <v>0</v>
      </c>
      <c r="G116" t="s">
        <v>24</v>
      </c>
      <c r="H116" t="s">
        <v>26</v>
      </c>
      <c r="I116" t="s">
        <v>3167</v>
      </c>
      <c r="J116" t="s">
        <v>996</v>
      </c>
      <c r="K116" t="s">
        <v>3173</v>
      </c>
      <c r="L116" t="s">
        <v>996</v>
      </c>
      <c r="M116" t="s">
        <v>980</v>
      </c>
      <c r="N116" t="s">
        <v>994</v>
      </c>
      <c r="O116" t="s">
        <v>994</v>
      </c>
      <c r="P116" t="s">
        <v>1110</v>
      </c>
      <c r="Q116" t="s">
        <v>3169</v>
      </c>
      <c r="R116" t="s">
        <v>2014</v>
      </c>
      <c r="S116" t="s">
        <v>2014</v>
      </c>
      <c r="T116" t="s">
        <v>3271</v>
      </c>
      <c r="U116" t="b">
        <v>0</v>
      </c>
      <c r="V116" t="s">
        <v>1950</v>
      </c>
    </row>
    <row r="117" spans="1:22" x14ac:dyDescent="0.25">
      <c r="A117" t="s">
        <v>42</v>
      </c>
      <c r="B117">
        <v>33</v>
      </c>
      <c r="C117" t="s">
        <v>999</v>
      </c>
      <c r="D117" t="s">
        <v>1162</v>
      </c>
      <c r="E117" t="s">
        <v>998</v>
      </c>
      <c r="F117">
        <v>0</v>
      </c>
      <c r="G117" t="s">
        <v>24</v>
      </c>
      <c r="H117" t="s">
        <v>26</v>
      </c>
      <c r="I117" t="s">
        <v>3167</v>
      </c>
      <c r="J117" t="s">
        <v>1003</v>
      </c>
      <c r="K117" t="s">
        <v>3175</v>
      </c>
      <c r="L117" t="s">
        <v>1003</v>
      </c>
      <c r="M117" t="s">
        <v>1000</v>
      </c>
      <c r="N117" t="s">
        <v>1001</v>
      </c>
      <c r="O117" t="s">
        <v>1001</v>
      </c>
      <c r="P117" t="s">
        <v>1110</v>
      </c>
      <c r="Q117" t="s">
        <v>3169</v>
      </c>
      <c r="R117" t="s">
        <v>2014</v>
      </c>
      <c r="S117" t="s">
        <v>2014</v>
      </c>
      <c r="T117" t="s">
        <v>3271</v>
      </c>
      <c r="U117" t="b">
        <v>0</v>
      </c>
      <c r="V117" t="s">
        <v>1950</v>
      </c>
    </row>
    <row r="118" spans="1:22" x14ac:dyDescent="0.25">
      <c r="A118" t="s">
        <v>42</v>
      </c>
      <c r="B118">
        <v>33</v>
      </c>
      <c r="C118" t="s">
        <v>1005</v>
      </c>
      <c r="D118" t="s">
        <v>3272</v>
      </c>
      <c r="E118" t="s">
        <v>982</v>
      </c>
      <c r="F118" t="s">
        <v>3218</v>
      </c>
      <c r="G118" t="s">
        <v>24</v>
      </c>
      <c r="H118" t="s">
        <v>26</v>
      </c>
      <c r="I118" t="s">
        <v>3167</v>
      </c>
      <c r="J118" t="s">
        <v>1003</v>
      </c>
      <c r="K118" t="s">
        <v>3175</v>
      </c>
      <c r="L118" t="s">
        <v>1003</v>
      </c>
      <c r="M118" t="s">
        <v>1000</v>
      </c>
      <c r="N118" t="s">
        <v>1001</v>
      </c>
      <c r="O118" t="s">
        <v>1001</v>
      </c>
      <c r="P118" t="s">
        <v>1110</v>
      </c>
      <c r="Q118" t="s">
        <v>3169</v>
      </c>
      <c r="R118" t="s">
        <v>446</v>
      </c>
      <c r="S118" t="s">
        <v>446</v>
      </c>
      <c r="T118" t="s">
        <v>1965</v>
      </c>
      <c r="U118" t="b">
        <v>0</v>
      </c>
      <c r="V118" t="s">
        <v>446</v>
      </c>
    </row>
    <row r="119" spans="1:22" x14ac:dyDescent="0.25">
      <c r="A119" t="s">
        <v>42</v>
      </c>
      <c r="B119">
        <v>33</v>
      </c>
      <c r="C119" t="s">
        <v>1007</v>
      </c>
      <c r="D119" t="s">
        <v>1163</v>
      </c>
      <c r="E119" t="s">
        <v>1006</v>
      </c>
      <c r="F119">
        <v>0</v>
      </c>
      <c r="G119" t="s">
        <v>24</v>
      </c>
      <c r="H119" t="s">
        <v>26</v>
      </c>
      <c r="I119" t="s">
        <v>3167</v>
      </c>
      <c r="J119" t="s">
        <v>1011</v>
      </c>
      <c r="K119" t="s">
        <v>3179</v>
      </c>
      <c r="L119" t="s">
        <v>1011</v>
      </c>
      <c r="M119" t="s">
        <v>1008</v>
      </c>
      <c r="N119" t="s">
        <v>1009</v>
      </c>
      <c r="O119" t="s">
        <v>1009</v>
      </c>
      <c r="P119" t="s">
        <v>1110</v>
      </c>
      <c r="Q119" t="s">
        <v>3169</v>
      </c>
      <c r="R119" t="s">
        <v>2014</v>
      </c>
      <c r="S119" t="s">
        <v>2014</v>
      </c>
      <c r="T119" t="s">
        <v>3271</v>
      </c>
      <c r="U119" t="b">
        <v>0</v>
      </c>
      <c r="V119" t="s">
        <v>1950</v>
      </c>
    </row>
    <row r="120" spans="1:22" x14ac:dyDescent="0.25">
      <c r="A120" t="s">
        <v>42</v>
      </c>
      <c r="B120">
        <v>33</v>
      </c>
      <c r="C120" t="s">
        <v>1014</v>
      </c>
      <c r="D120" t="s">
        <v>1164</v>
      </c>
      <c r="E120" t="s">
        <v>1013</v>
      </c>
      <c r="F120">
        <v>0</v>
      </c>
      <c r="G120" t="s">
        <v>24</v>
      </c>
      <c r="H120" t="s">
        <v>26</v>
      </c>
      <c r="I120" t="s">
        <v>3167</v>
      </c>
      <c r="J120" t="s">
        <v>1016</v>
      </c>
      <c r="K120" t="s">
        <v>3181</v>
      </c>
      <c r="L120" t="s">
        <v>1016</v>
      </c>
      <c r="M120" t="s">
        <v>980</v>
      </c>
      <c r="N120" t="s">
        <v>1015</v>
      </c>
      <c r="O120" t="s">
        <v>1015</v>
      </c>
      <c r="P120" t="s">
        <v>1110</v>
      </c>
      <c r="Q120" t="s">
        <v>3169</v>
      </c>
      <c r="R120" t="s">
        <v>2014</v>
      </c>
      <c r="S120" t="s">
        <v>2014</v>
      </c>
      <c r="T120" t="s">
        <v>3271</v>
      </c>
      <c r="U120" t="b">
        <v>0</v>
      </c>
      <c r="V120" t="s">
        <v>1950</v>
      </c>
    </row>
    <row r="121" spans="1:22" x14ac:dyDescent="0.25">
      <c r="A121" t="s">
        <v>42</v>
      </c>
      <c r="B121">
        <v>33</v>
      </c>
      <c r="C121" t="s">
        <v>1019</v>
      </c>
      <c r="D121" t="s">
        <v>1165</v>
      </c>
      <c r="E121" t="s">
        <v>1018</v>
      </c>
      <c r="F121">
        <v>0</v>
      </c>
      <c r="G121" t="s">
        <v>24</v>
      </c>
      <c r="H121" t="s">
        <v>26</v>
      </c>
      <c r="I121" t="s">
        <v>3167</v>
      </c>
      <c r="J121" t="s">
        <v>1021</v>
      </c>
      <c r="K121" t="s">
        <v>3183</v>
      </c>
      <c r="L121" t="s">
        <v>1021</v>
      </c>
      <c r="M121" t="s">
        <v>980</v>
      </c>
      <c r="N121" t="s">
        <v>1020</v>
      </c>
      <c r="O121" t="s">
        <v>1020</v>
      </c>
      <c r="P121" t="s">
        <v>1110</v>
      </c>
      <c r="Q121" t="s">
        <v>3169</v>
      </c>
      <c r="R121" t="s">
        <v>2014</v>
      </c>
      <c r="S121" t="s">
        <v>2014</v>
      </c>
      <c r="T121" t="s">
        <v>3271</v>
      </c>
      <c r="U121" t="b">
        <v>0</v>
      </c>
      <c r="V121" t="s">
        <v>1950</v>
      </c>
    </row>
    <row r="122" spans="1:22" x14ac:dyDescent="0.25">
      <c r="A122" t="s">
        <v>42</v>
      </c>
      <c r="B122">
        <v>33</v>
      </c>
      <c r="C122" t="s">
        <v>1024</v>
      </c>
      <c r="D122" t="s">
        <v>1166</v>
      </c>
      <c r="E122" t="s">
        <v>1023</v>
      </c>
      <c r="F122">
        <v>0</v>
      </c>
      <c r="G122" t="s">
        <v>24</v>
      </c>
      <c r="H122" t="s">
        <v>26</v>
      </c>
      <c r="I122" t="s">
        <v>3167</v>
      </c>
      <c r="J122" t="s">
        <v>1026</v>
      </c>
      <c r="K122" t="s">
        <v>3185</v>
      </c>
      <c r="L122" t="s">
        <v>1026</v>
      </c>
      <c r="M122" t="s">
        <v>1000</v>
      </c>
      <c r="N122" t="s">
        <v>1025</v>
      </c>
      <c r="O122" t="s">
        <v>1025</v>
      </c>
      <c r="P122" t="s">
        <v>1110</v>
      </c>
      <c r="Q122" t="s">
        <v>3169</v>
      </c>
      <c r="R122" t="s">
        <v>2014</v>
      </c>
      <c r="S122" t="s">
        <v>2014</v>
      </c>
      <c r="T122" t="s">
        <v>3271</v>
      </c>
      <c r="U122" t="b">
        <v>0</v>
      </c>
      <c r="V122" t="s">
        <v>1950</v>
      </c>
    </row>
    <row r="123" spans="1:22" x14ac:dyDescent="0.25">
      <c r="A123" t="s">
        <v>42</v>
      </c>
      <c r="B123">
        <v>33</v>
      </c>
      <c r="C123" t="s">
        <v>1028</v>
      </c>
      <c r="D123" t="s">
        <v>3273</v>
      </c>
      <c r="E123" t="s">
        <v>1010</v>
      </c>
      <c r="F123" t="s">
        <v>3218</v>
      </c>
      <c r="G123" t="s">
        <v>24</v>
      </c>
      <c r="H123" t="s">
        <v>26</v>
      </c>
      <c r="I123" t="s">
        <v>3167</v>
      </c>
      <c r="J123" t="s">
        <v>1026</v>
      </c>
      <c r="K123" t="s">
        <v>3185</v>
      </c>
      <c r="L123" t="s">
        <v>1026</v>
      </c>
      <c r="M123" t="s">
        <v>1000</v>
      </c>
      <c r="N123" t="s">
        <v>1025</v>
      </c>
      <c r="O123" t="s">
        <v>1025</v>
      </c>
      <c r="P123" t="s">
        <v>1110</v>
      </c>
      <c r="Q123" t="s">
        <v>3169</v>
      </c>
      <c r="R123" t="s">
        <v>446</v>
      </c>
      <c r="S123" t="s">
        <v>446</v>
      </c>
      <c r="T123" t="s">
        <v>1965</v>
      </c>
      <c r="U123" t="b">
        <v>0</v>
      </c>
      <c r="V123" t="s">
        <v>446</v>
      </c>
    </row>
    <row r="124" spans="1:22" x14ac:dyDescent="0.25">
      <c r="A124" t="s">
        <v>42</v>
      </c>
      <c r="B124">
        <v>33</v>
      </c>
      <c r="C124" t="s">
        <v>1030</v>
      </c>
      <c r="D124" t="s">
        <v>1167</v>
      </c>
      <c r="E124" t="s">
        <v>1029</v>
      </c>
      <c r="F124">
        <v>0</v>
      </c>
      <c r="G124" t="s">
        <v>24</v>
      </c>
      <c r="H124" t="s">
        <v>26</v>
      </c>
      <c r="I124" t="s">
        <v>3167</v>
      </c>
      <c r="J124" t="s">
        <v>1033</v>
      </c>
      <c r="K124" t="s">
        <v>3189</v>
      </c>
      <c r="L124" t="s">
        <v>1033</v>
      </c>
      <c r="M124" t="s">
        <v>980</v>
      </c>
      <c r="N124" t="s">
        <v>1031</v>
      </c>
      <c r="O124" t="s">
        <v>1031</v>
      </c>
      <c r="P124" t="s">
        <v>1110</v>
      </c>
      <c r="Q124" t="s">
        <v>3169</v>
      </c>
      <c r="R124" t="s">
        <v>2014</v>
      </c>
      <c r="S124" t="s">
        <v>2014</v>
      </c>
      <c r="T124" t="s">
        <v>3271</v>
      </c>
      <c r="U124" t="b">
        <v>0</v>
      </c>
      <c r="V124" t="s">
        <v>1950</v>
      </c>
    </row>
    <row r="125" spans="1:22" x14ac:dyDescent="0.25">
      <c r="A125" t="s">
        <v>42</v>
      </c>
      <c r="B125">
        <v>33</v>
      </c>
      <c r="C125" t="s">
        <v>1036</v>
      </c>
      <c r="D125" t="s">
        <v>1168</v>
      </c>
      <c r="E125" t="s">
        <v>1035</v>
      </c>
      <c r="F125">
        <v>0</v>
      </c>
      <c r="G125" t="s">
        <v>24</v>
      </c>
      <c r="H125" t="s">
        <v>26</v>
      </c>
      <c r="I125" t="s">
        <v>3167</v>
      </c>
      <c r="J125" t="s">
        <v>1038</v>
      </c>
      <c r="K125" t="s">
        <v>3191</v>
      </c>
      <c r="L125" t="s">
        <v>1038</v>
      </c>
      <c r="M125" t="s">
        <v>980</v>
      </c>
      <c r="N125" t="s">
        <v>1037</v>
      </c>
      <c r="O125" t="s">
        <v>1037</v>
      </c>
      <c r="P125" t="s">
        <v>1110</v>
      </c>
      <c r="Q125" t="s">
        <v>3169</v>
      </c>
      <c r="R125" t="s">
        <v>2014</v>
      </c>
      <c r="S125" t="s">
        <v>2014</v>
      </c>
      <c r="T125" t="s">
        <v>3271</v>
      </c>
      <c r="U125" t="b">
        <v>0</v>
      </c>
      <c r="V125" t="s">
        <v>1950</v>
      </c>
    </row>
    <row r="126" spans="1:22" x14ac:dyDescent="0.25">
      <c r="A126" t="s">
        <v>42</v>
      </c>
      <c r="B126">
        <v>33</v>
      </c>
      <c r="C126" t="s">
        <v>1041</v>
      </c>
      <c r="D126" t="s">
        <v>1169</v>
      </c>
      <c r="E126" t="s">
        <v>1040</v>
      </c>
      <c r="F126">
        <v>0</v>
      </c>
      <c r="G126" t="s">
        <v>24</v>
      </c>
      <c r="H126" t="s">
        <v>26</v>
      </c>
      <c r="I126" t="s">
        <v>3167</v>
      </c>
      <c r="J126" t="s">
        <v>1043</v>
      </c>
      <c r="K126" t="s">
        <v>3193</v>
      </c>
      <c r="L126" t="s">
        <v>1043</v>
      </c>
      <c r="M126" t="s">
        <v>980</v>
      </c>
      <c r="N126" t="s">
        <v>1042</v>
      </c>
      <c r="O126" t="s">
        <v>1042</v>
      </c>
      <c r="P126" t="s">
        <v>1110</v>
      </c>
      <c r="Q126" t="s">
        <v>3169</v>
      </c>
      <c r="R126" t="s">
        <v>2014</v>
      </c>
      <c r="S126" t="s">
        <v>2014</v>
      </c>
      <c r="T126" t="s">
        <v>3271</v>
      </c>
      <c r="U126" t="b">
        <v>0</v>
      </c>
      <c r="V126" t="s">
        <v>1950</v>
      </c>
    </row>
    <row r="127" spans="1:22" x14ac:dyDescent="0.25">
      <c r="A127" t="s">
        <v>42</v>
      </c>
      <c r="B127">
        <v>33</v>
      </c>
      <c r="C127" t="s">
        <v>1046</v>
      </c>
      <c r="D127" t="s">
        <v>1170</v>
      </c>
      <c r="E127" t="s">
        <v>1045</v>
      </c>
      <c r="F127">
        <v>0</v>
      </c>
      <c r="G127" t="s">
        <v>24</v>
      </c>
      <c r="H127" t="s">
        <v>26</v>
      </c>
      <c r="I127" t="s">
        <v>3167</v>
      </c>
      <c r="J127" t="s">
        <v>1048</v>
      </c>
      <c r="K127" t="s">
        <v>3195</v>
      </c>
      <c r="L127" t="s">
        <v>1048</v>
      </c>
      <c r="M127" t="s">
        <v>1000</v>
      </c>
      <c r="N127" t="s">
        <v>1047</v>
      </c>
      <c r="O127" t="s">
        <v>1047</v>
      </c>
      <c r="P127" t="s">
        <v>1110</v>
      </c>
      <c r="Q127" t="s">
        <v>3169</v>
      </c>
      <c r="R127" t="s">
        <v>2014</v>
      </c>
      <c r="S127" t="s">
        <v>2014</v>
      </c>
      <c r="T127" t="s">
        <v>3271</v>
      </c>
      <c r="U127" t="b">
        <v>0</v>
      </c>
      <c r="V127" t="s">
        <v>1950</v>
      </c>
    </row>
    <row r="128" spans="1:22" x14ac:dyDescent="0.25">
      <c r="A128" t="s">
        <v>42</v>
      </c>
      <c r="B128">
        <v>33</v>
      </c>
      <c r="C128" t="s">
        <v>1050</v>
      </c>
      <c r="D128" t="s">
        <v>3274</v>
      </c>
      <c r="E128" t="s">
        <v>1032</v>
      </c>
      <c r="F128" t="s">
        <v>3218</v>
      </c>
      <c r="G128" t="s">
        <v>24</v>
      </c>
      <c r="H128" t="s">
        <v>26</v>
      </c>
      <c r="I128" t="s">
        <v>3167</v>
      </c>
      <c r="J128" t="s">
        <v>1048</v>
      </c>
      <c r="K128" t="s">
        <v>3195</v>
      </c>
      <c r="L128" t="s">
        <v>1048</v>
      </c>
      <c r="M128" t="s">
        <v>1000</v>
      </c>
      <c r="N128" t="s">
        <v>1047</v>
      </c>
      <c r="O128" t="s">
        <v>1047</v>
      </c>
      <c r="P128" t="s">
        <v>1110</v>
      </c>
      <c r="Q128" t="s">
        <v>3169</v>
      </c>
      <c r="R128" t="s">
        <v>446</v>
      </c>
      <c r="S128" t="s">
        <v>446</v>
      </c>
      <c r="T128" t="s">
        <v>1965</v>
      </c>
      <c r="U128" t="b">
        <v>0</v>
      </c>
      <c r="V128" t="s">
        <v>446</v>
      </c>
    </row>
    <row r="129" spans="1:22" x14ac:dyDescent="0.25">
      <c r="A129" t="s">
        <v>42</v>
      </c>
      <c r="B129">
        <v>33</v>
      </c>
      <c r="C129" t="s">
        <v>1052</v>
      </c>
      <c r="D129" t="s">
        <v>1171</v>
      </c>
      <c r="E129" t="s">
        <v>1051</v>
      </c>
      <c r="F129">
        <v>0</v>
      </c>
      <c r="G129" t="s">
        <v>24</v>
      </c>
      <c r="H129" t="s">
        <v>26</v>
      </c>
      <c r="I129" t="s">
        <v>3167</v>
      </c>
      <c r="J129" t="s">
        <v>1055</v>
      </c>
      <c r="K129" t="s">
        <v>3199</v>
      </c>
      <c r="L129" t="s">
        <v>1055</v>
      </c>
      <c r="M129" t="s">
        <v>980</v>
      </c>
      <c r="N129" t="s">
        <v>1053</v>
      </c>
      <c r="O129" t="s">
        <v>1053</v>
      </c>
      <c r="P129" t="s">
        <v>1110</v>
      </c>
      <c r="Q129" t="s">
        <v>3169</v>
      </c>
      <c r="R129" t="s">
        <v>2014</v>
      </c>
      <c r="S129" t="s">
        <v>2014</v>
      </c>
      <c r="T129" t="s">
        <v>3271</v>
      </c>
      <c r="U129" t="b">
        <v>0</v>
      </c>
      <c r="V129" t="s">
        <v>1950</v>
      </c>
    </row>
    <row r="130" spans="1:22" x14ac:dyDescent="0.25">
      <c r="A130" t="s">
        <v>42</v>
      </c>
      <c r="B130">
        <v>34</v>
      </c>
      <c r="C130" t="s">
        <v>979</v>
      </c>
      <c r="D130" t="s">
        <v>1172</v>
      </c>
      <c r="E130" t="s">
        <v>978</v>
      </c>
      <c r="F130">
        <v>0</v>
      </c>
      <c r="G130" t="s">
        <v>24</v>
      </c>
      <c r="H130" t="s">
        <v>26</v>
      </c>
      <c r="I130" t="s">
        <v>3167</v>
      </c>
      <c r="J130" t="s">
        <v>984</v>
      </c>
      <c r="K130" t="s">
        <v>3168</v>
      </c>
      <c r="L130" t="s">
        <v>984</v>
      </c>
      <c r="M130" t="s">
        <v>980</v>
      </c>
      <c r="N130" t="s">
        <v>981</v>
      </c>
      <c r="O130" t="s">
        <v>981</v>
      </c>
      <c r="P130" t="s">
        <v>1110</v>
      </c>
      <c r="Q130" t="s">
        <v>3169</v>
      </c>
      <c r="R130" t="s">
        <v>2017</v>
      </c>
      <c r="S130" t="s">
        <v>2017</v>
      </c>
      <c r="T130" t="s">
        <v>3271</v>
      </c>
      <c r="U130" t="b">
        <v>0</v>
      </c>
      <c r="V130" t="s">
        <v>1950</v>
      </c>
    </row>
    <row r="131" spans="1:22" x14ac:dyDescent="0.25">
      <c r="A131" t="s">
        <v>42</v>
      </c>
      <c r="B131">
        <v>34</v>
      </c>
      <c r="C131" t="s">
        <v>987</v>
      </c>
      <c r="D131" t="s">
        <v>1174</v>
      </c>
      <c r="E131" t="s">
        <v>986</v>
      </c>
      <c r="F131">
        <v>0</v>
      </c>
      <c r="G131" t="s">
        <v>24</v>
      </c>
      <c r="H131" t="s">
        <v>26</v>
      </c>
      <c r="I131" t="s">
        <v>3167</v>
      </c>
      <c r="J131" t="s">
        <v>990</v>
      </c>
      <c r="K131" t="s">
        <v>3171</v>
      </c>
      <c r="L131" t="s">
        <v>990</v>
      </c>
      <c r="M131" t="s">
        <v>980</v>
      </c>
      <c r="N131" t="s">
        <v>988</v>
      </c>
      <c r="O131" t="s">
        <v>988</v>
      </c>
      <c r="P131" t="s">
        <v>1110</v>
      </c>
      <c r="Q131" t="s">
        <v>3169</v>
      </c>
      <c r="R131" t="s">
        <v>2017</v>
      </c>
      <c r="S131" t="s">
        <v>2017</v>
      </c>
      <c r="T131" t="s">
        <v>3271</v>
      </c>
      <c r="U131" t="b">
        <v>0</v>
      </c>
      <c r="V131" t="s">
        <v>1950</v>
      </c>
    </row>
    <row r="132" spans="1:22" x14ac:dyDescent="0.25">
      <c r="A132" t="s">
        <v>42</v>
      </c>
      <c r="B132">
        <v>34</v>
      </c>
      <c r="C132" t="s">
        <v>993</v>
      </c>
      <c r="D132" t="s">
        <v>1176</v>
      </c>
      <c r="E132" t="s">
        <v>992</v>
      </c>
      <c r="F132">
        <v>0</v>
      </c>
      <c r="G132" t="s">
        <v>24</v>
      </c>
      <c r="H132" t="s">
        <v>26</v>
      </c>
      <c r="I132" t="s">
        <v>3167</v>
      </c>
      <c r="J132" t="s">
        <v>996</v>
      </c>
      <c r="K132" t="s">
        <v>3173</v>
      </c>
      <c r="L132" t="s">
        <v>996</v>
      </c>
      <c r="M132" t="s">
        <v>980</v>
      </c>
      <c r="N132" t="s">
        <v>994</v>
      </c>
      <c r="O132" t="s">
        <v>994</v>
      </c>
      <c r="P132" t="s">
        <v>1110</v>
      </c>
      <c r="Q132" t="s">
        <v>3169</v>
      </c>
      <c r="R132" t="s">
        <v>2017</v>
      </c>
      <c r="S132" t="s">
        <v>2017</v>
      </c>
      <c r="T132" t="s">
        <v>3271</v>
      </c>
      <c r="U132" t="b">
        <v>0</v>
      </c>
      <c r="V132" t="s">
        <v>1950</v>
      </c>
    </row>
    <row r="133" spans="1:22" x14ac:dyDescent="0.25">
      <c r="A133" t="s">
        <v>42</v>
      </c>
      <c r="B133">
        <v>34</v>
      </c>
      <c r="C133" t="s">
        <v>999</v>
      </c>
      <c r="D133" t="s">
        <v>2018</v>
      </c>
      <c r="E133" t="s">
        <v>998</v>
      </c>
      <c r="F133" t="s">
        <v>3275</v>
      </c>
      <c r="G133" t="s">
        <v>24</v>
      </c>
      <c r="H133" t="s">
        <v>26</v>
      </c>
      <c r="I133" t="s">
        <v>3167</v>
      </c>
      <c r="J133" t="s">
        <v>1003</v>
      </c>
      <c r="K133" t="s">
        <v>3175</v>
      </c>
      <c r="L133" t="s">
        <v>1003</v>
      </c>
      <c r="M133" t="s">
        <v>1000</v>
      </c>
      <c r="N133" t="s">
        <v>1001</v>
      </c>
      <c r="O133" t="s">
        <v>1001</v>
      </c>
      <c r="P133" t="s">
        <v>1110</v>
      </c>
      <c r="Q133" t="s">
        <v>3169</v>
      </c>
      <c r="R133" t="s">
        <v>446</v>
      </c>
      <c r="S133" t="s">
        <v>446</v>
      </c>
      <c r="T133" t="s">
        <v>1965</v>
      </c>
      <c r="U133" t="b">
        <v>0</v>
      </c>
      <c r="V133" t="s">
        <v>1962</v>
      </c>
    </row>
    <row r="134" spans="1:22" x14ac:dyDescent="0.25">
      <c r="A134" t="s">
        <v>42</v>
      </c>
      <c r="B134">
        <v>34</v>
      </c>
      <c r="C134" t="s">
        <v>1005</v>
      </c>
      <c r="D134" t="s">
        <v>3276</v>
      </c>
      <c r="E134" t="s">
        <v>982</v>
      </c>
      <c r="F134" t="s">
        <v>3275</v>
      </c>
      <c r="G134" t="s">
        <v>24</v>
      </c>
      <c r="H134" t="s">
        <v>26</v>
      </c>
      <c r="I134" t="s">
        <v>3167</v>
      </c>
      <c r="J134" t="s">
        <v>1003</v>
      </c>
      <c r="K134" t="s">
        <v>3175</v>
      </c>
      <c r="L134" t="s">
        <v>1003</v>
      </c>
      <c r="M134" t="s">
        <v>1000</v>
      </c>
      <c r="N134" t="s">
        <v>1001</v>
      </c>
      <c r="O134" t="s">
        <v>1001</v>
      </c>
      <c r="P134" t="s">
        <v>1110</v>
      </c>
      <c r="Q134" t="s">
        <v>3169</v>
      </c>
      <c r="R134" t="s">
        <v>446</v>
      </c>
      <c r="S134" t="s">
        <v>446</v>
      </c>
      <c r="T134" t="s">
        <v>1965</v>
      </c>
      <c r="U134" t="b">
        <v>0</v>
      </c>
      <c r="V134" t="s">
        <v>446</v>
      </c>
    </row>
    <row r="135" spans="1:22" x14ac:dyDescent="0.25">
      <c r="A135" t="s">
        <v>42</v>
      </c>
      <c r="B135">
        <v>34</v>
      </c>
      <c r="C135" t="s">
        <v>1007</v>
      </c>
      <c r="D135" t="s">
        <v>1178</v>
      </c>
      <c r="E135" t="s">
        <v>1006</v>
      </c>
      <c r="F135">
        <v>0</v>
      </c>
      <c r="G135" t="s">
        <v>24</v>
      </c>
      <c r="H135" t="s">
        <v>26</v>
      </c>
      <c r="I135" t="s">
        <v>3167</v>
      </c>
      <c r="J135" t="s">
        <v>1011</v>
      </c>
      <c r="K135" t="s">
        <v>3179</v>
      </c>
      <c r="L135" t="s">
        <v>1011</v>
      </c>
      <c r="M135" t="s">
        <v>1008</v>
      </c>
      <c r="N135" t="s">
        <v>1009</v>
      </c>
      <c r="O135" t="s">
        <v>1009</v>
      </c>
      <c r="P135" t="s">
        <v>1110</v>
      </c>
      <c r="Q135" t="s">
        <v>3169</v>
      </c>
      <c r="R135" t="s">
        <v>2017</v>
      </c>
      <c r="S135" t="s">
        <v>2017</v>
      </c>
      <c r="T135" t="s">
        <v>3271</v>
      </c>
      <c r="U135" t="b">
        <v>0</v>
      </c>
      <c r="V135" t="s">
        <v>1950</v>
      </c>
    </row>
    <row r="136" spans="1:22" x14ac:dyDescent="0.25">
      <c r="A136" t="s">
        <v>42</v>
      </c>
      <c r="B136">
        <v>34</v>
      </c>
      <c r="C136" t="s">
        <v>1014</v>
      </c>
      <c r="D136" t="s">
        <v>1180</v>
      </c>
      <c r="E136" t="s">
        <v>1013</v>
      </c>
      <c r="F136">
        <v>0</v>
      </c>
      <c r="G136" t="s">
        <v>24</v>
      </c>
      <c r="H136" t="s">
        <v>26</v>
      </c>
      <c r="I136" t="s">
        <v>3167</v>
      </c>
      <c r="J136" t="s">
        <v>1016</v>
      </c>
      <c r="K136" t="s">
        <v>3181</v>
      </c>
      <c r="L136" t="s">
        <v>1016</v>
      </c>
      <c r="M136" t="s">
        <v>980</v>
      </c>
      <c r="N136" t="s">
        <v>1015</v>
      </c>
      <c r="O136" t="s">
        <v>1015</v>
      </c>
      <c r="P136" t="s">
        <v>1110</v>
      </c>
      <c r="Q136" t="s">
        <v>3169</v>
      </c>
      <c r="R136" t="s">
        <v>2017</v>
      </c>
      <c r="S136" t="s">
        <v>2017</v>
      </c>
      <c r="T136" t="s">
        <v>3271</v>
      </c>
      <c r="U136" t="b">
        <v>0</v>
      </c>
      <c r="V136" t="s">
        <v>1950</v>
      </c>
    </row>
    <row r="137" spans="1:22" x14ac:dyDescent="0.25">
      <c r="A137" t="s">
        <v>42</v>
      </c>
      <c r="B137">
        <v>34</v>
      </c>
      <c r="C137" t="s">
        <v>1019</v>
      </c>
      <c r="D137" t="s">
        <v>1182</v>
      </c>
      <c r="E137" t="s">
        <v>1018</v>
      </c>
      <c r="F137">
        <v>0</v>
      </c>
      <c r="G137" t="s">
        <v>24</v>
      </c>
      <c r="H137" t="s">
        <v>26</v>
      </c>
      <c r="I137" t="s">
        <v>3167</v>
      </c>
      <c r="J137" t="s">
        <v>1021</v>
      </c>
      <c r="K137" t="s">
        <v>3183</v>
      </c>
      <c r="L137" t="s">
        <v>1021</v>
      </c>
      <c r="M137" t="s">
        <v>980</v>
      </c>
      <c r="N137" t="s">
        <v>1020</v>
      </c>
      <c r="O137" t="s">
        <v>1020</v>
      </c>
      <c r="P137" t="s">
        <v>1110</v>
      </c>
      <c r="Q137" t="s">
        <v>3169</v>
      </c>
      <c r="R137" t="s">
        <v>2017</v>
      </c>
      <c r="S137" t="s">
        <v>2017</v>
      </c>
      <c r="T137" t="s">
        <v>3271</v>
      </c>
      <c r="U137" t="b">
        <v>0</v>
      </c>
      <c r="V137" t="s">
        <v>1950</v>
      </c>
    </row>
    <row r="138" spans="1:22" x14ac:dyDescent="0.25">
      <c r="A138" t="s">
        <v>42</v>
      </c>
      <c r="B138">
        <v>34</v>
      </c>
      <c r="C138" t="s">
        <v>1024</v>
      </c>
      <c r="D138" t="s">
        <v>1184</v>
      </c>
      <c r="E138" t="s">
        <v>1023</v>
      </c>
      <c r="F138">
        <v>0</v>
      </c>
      <c r="G138" t="s">
        <v>24</v>
      </c>
      <c r="H138" t="s">
        <v>26</v>
      </c>
      <c r="I138" t="s">
        <v>3167</v>
      </c>
      <c r="J138" t="s">
        <v>1026</v>
      </c>
      <c r="K138" t="s">
        <v>3185</v>
      </c>
      <c r="L138" t="s">
        <v>1026</v>
      </c>
      <c r="M138" t="s">
        <v>1000</v>
      </c>
      <c r="N138" t="s">
        <v>1025</v>
      </c>
      <c r="O138" t="s">
        <v>1025</v>
      </c>
      <c r="P138" t="s">
        <v>1110</v>
      </c>
      <c r="Q138" t="s">
        <v>3169</v>
      </c>
      <c r="R138" t="s">
        <v>2017</v>
      </c>
      <c r="S138" t="s">
        <v>2017</v>
      </c>
      <c r="T138" t="s">
        <v>3271</v>
      </c>
      <c r="U138" t="b">
        <v>0</v>
      </c>
      <c r="V138" t="s">
        <v>1950</v>
      </c>
    </row>
    <row r="139" spans="1:22" x14ac:dyDescent="0.25">
      <c r="A139" t="s">
        <v>42</v>
      </c>
      <c r="B139">
        <v>34</v>
      </c>
      <c r="C139" t="s">
        <v>1028</v>
      </c>
      <c r="D139" t="s">
        <v>3277</v>
      </c>
      <c r="E139" t="s">
        <v>1010</v>
      </c>
      <c r="F139" t="s">
        <v>3218</v>
      </c>
      <c r="G139" t="s">
        <v>24</v>
      </c>
      <c r="H139" t="s">
        <v>26</v>
      </c>
      <c r="I139" t="s">
        <v>3167</v>
      </c>
      <c r="J139" t="s">
        <v>1026</v>
      </c>
      <c r="K139" t="s">
        <v>3185</v>
      </c>
      <c r="L139" t="s">
        <v>1026</v>
      </c>
      <c r="M139" t="s">
        <v>1000</v>
      </c>
      <c r="N139" t="s">
        <v>1025</v>
      </c>
      <c r="O139" t="s">
        <v>1025</v>
      </c>
      <c r="P139" t="s">
        <v>1110</v>
      </c>
      <c r="Q139" t="s">
        <v>3169</v>
      </c>
      <c r="R139" t="s">
        <v>446</v>
      </c>
      <c r="S139" t="s">
        <v>446</v>
      </c>
      <c r="T139" t="s">
        <v>1965</v>
      </c>
      <c r="U139" t="b">
        <v>0</v>
      </c>
      <c r="V139" t="s">
        <v>446</v>
      </c>
    </row>
    <row r="140" spans="1:22" x14ac:dyDescent="0.25">
      <c r="A140" t="s">
        <v>42</v>
      </c>
      <c r="B140">
        <v>34</v>
      </c>
      <c r="C140" t="s">
        <v>1030</v>
      </c>
      <c r="D140" t="s">
        <v>1186</v>
      </c>
      <c r="E140" t="s">
        <v>1029</v>
      </c>
      <c r="F140">
        <v>0</v>
      </c>
      <c r="G140" t="s">
        <v>24</v>
      </c>
      <c r="H140" t="s">
        <v>26</v>
      </c>
      <c r="I140" t="s">
        <v>3167</v>
      </c>
      <c r="J140" t="s">
        <v>1033</v>
      </c>
      <c r="K140" t="s">
        <v>3189</v>
      </c>
      <c r="L140" t="s">
        <v>1033</v>
      </c>
      <c r="M140" t="s">
        <v>980</v>
      </c>
      <c r="N140" t="s">
        <v>1031</v>
      </c>
      <c r="O140" t="s">
        <v>1031</v>
      </c>
      <c r="P140" t="s">
        <v>1110</v>
      </c>
      <c r="Q140" t="s">
        <v>3169</v>
      </c>
      <c r="R140" t="s">
        <v>2017</v>
      </c>
      <c r="S140" t="s">
        <v>2017</v>
      </c>
      <c r="T140" t="s">
        <v>3271</v>
      </c>
      <c r="U140" t="b">
        <v>0</v>
      </c>
      <c r="V140" t="s">
        <v>1950</v>
      </c>
    </row>
    <row r="141" spans="1:22" x14ac:dyDescent="0.25">
      <c r="A141" t="s">
        <v>42</v>
      </c>
      <c r="B141">
        <v>34</v>
      </c>
      <c r="C141" t="s">
        <v>1036</v>
      </c>
      <c r="D141" t="s">
        <v>1188</v>
      </c>
      <c r="E141" t="s">
        <v>1035</v>
      </c>
      <c r="F141">
        <v>0</v>
      </c>
      <c r="G141" t="s">
        <v>24</v>
      </c>
      <c r="H141" t="s">
        <v>26</v>
      </c>
      <c r="I141" t="s">
        <v>3167</v>
      </c>
      <c r="J141" t="s">
        <v>1038</v>
      </c>
      <c r="K141" t="s">
        <v>3191</v>
      </c>
      <c r="L141" t="s">
        <v>1038</v>
      </c>
      <c r="M141" t="s">
        <v>980</v>
      </c>
      <c r="N141" t="s">
        <v>1037</v>
      </c>
      <c r="O141" t="s">
        <v>1037</v>
      </c>
      <c r="P141" t="s">
        <v>1110</v>
      </c>
      <c r="Q141" t="s">
        <v>3169</v>
      </c>
      <c r="R141" t="s">
        <v>2017</v>
      </c>
      <c r="S141" t="s">
        <v>2017</v>
      </c>
      <c r="T141" t="s">
        <v>3271</v>
      </c>
      <c r="U141" t="b">
        <v>0</v>
      </c>
      <c r="V141" t="s">
        <v>1950</v>
      </c>
    </row>
    <row r="142" spans="1:22" x14ac:dyDescent="0.25">
      <c r="A142" t="s">
        <v>42</v>
      </c>
      <c r="B142">
        <v>34</v>
      </c>
      <c r="C142" t="s">
        <v>1041</v>
      </c>
      <c r="D142" t="s">
        <v>1190</v>
      </c>
      <c r="E142" t="s">
        <v>1040</v>
      </c>
      <c r="F142">
        <v>0</v>
      </c>
      <c r="G142" t="s">
        <v>24</v>
      </c>
      <c r="H142" t="s">
        <v>26</v>
      </c>
      <c r="I142" t="s">
        <v>3167</v>
      </c>
      <c r="J142" t="s">
        <v>1043</v>
      </c>
      <c r="K142" t="s">
        <v>3193</v>
      </c>
      <c r="L142" t="s">
        <v>1043</v>
      </c>
      <c r="M142" t="s">
        <v>980</v>
      </c>
      <c r="N142" t="s">
        <v>1042</v>
      </c>
      <c r="O142" t="s">
        <v>1042</v>
      </c>
      <c r="P142" t="s">
        <v>1110</v>
      </c>
      <c r="Q142" t="s">
        <v>3169</v>
      </c>
      <c r="R142" t="s">
        <v>2017</v>
      </c>
      <c r="S142" t="s">
        <v>2017</v>
      </c>
      <c r="T142" t="s">
        <v>3271</v>
      </c>
      <c r="U142" t="b">
        <v>0</v>
      </c>
      <c r="V142" t="s">
        <v>1950</v>
      </c>
    </row>
    <row r="143" spans="1:22" x14ac:dyDescent="0.25">
      <c r="A143" t="s">
        <v>42</v>
      </c>
      <c r="B143">
        <v>34</v>
      </c>
      <c r="C143" t="s">
        <v>1046</v>
      </c>
      <c r="D143" t="s">
        <v>1192</v>
      </c>
      <c r="E143" t="s">
        <v>1045</v>
      </c>
      <c r="F143">
        <v>0</v>
      </c>
      <c r="G143" t="s">
        <v>24</v>
      </c>
      <c r="H143" t="s">
        <v>26</v>
      </c>
      <c r="I143" t="s">
        <v>3167</v>
      </c>
      <c r="J143" t="s">
        <v>1048</v>
      </c>
      <c r="K143" t="s">
        <v>3195</v>
      </c>
      <c r="L143" t="s">
        <v>1048</v>
      </c>
      <c r="M143" t="s">
        <v>1000</v>
      </c>
      <c r="N143" t="s">
        <v>1047</v>
      </c>
      <c r="O143" t="s">
        <v>1047</v>
      </c>
      <c r="P143" t="s">
        <v>1110</v>
      </c>
      <c r="Q143" t="s">
        <v>3169</v>
      </c>
      <c r="R143" t="s">
        <v>2017</v>
      </c>
      <c r="S143" t="s">
        <v>2017</v>
      </c>
      <c r="T143" t="s">
        <v>3271</v>
      </c>
      <c r="U143" t="b">
        <v>0</v>
      </c>
      <c r="V143" t="s">
        <v>1950</v>
      </c>
    </row>
    <row r="144" spans="1:22" x14ac:dyDescent="0.25">
      <c r="A144" t="s">
        <v>42</v>
      </c>
      <c r="B144">
        <v>34</v>
      </c>
      <c r="C144" t="s">
        <v>1050</v>
      </c>
      <c r="D144" t="s">
        <v>3278</v>
      </c>
      <c r="E144" t="s">
        <v>1032</v>
      </c>
      <c r="F144" t="s">
        <v>3218</v>
      </c>
      <c r="G144" t="s">
        <v>24</v>
      </c>
      <c r="H144" t="s">
        <v>26</v>
      </c>
      <c r="I144" t="s">
        <v>3167</v>
      </c>
      <c r="J144" t="s">
        <v>1048</v>
      </c>
      <c r="K144" t="s">
        <v>3195</v>
      </c>
      <c r="L144" t="s">
        <v>1048</v>
      </c>
      <c r="M144" t="s">
        <v>1000</v>
      </c>
      <c r="N144" t="s">
        <v>1047</v>
      </c>
      <c r="O144" t="s">
        <v>1047</v>
      </c>
      <c r="P144" t="s">
        <v>1110</v>
      </c>
      <c r="Q144" t="s">
        <v>3169</v>
      </c>
      <c r="R144" t="s">
        <v>446</v>
      </c>
      <c r="S144" t="s">
        <v>446</v>
      </c>
      <c r="T144" t="s">
        <v>1965</v>
      </c>
      <c r="U144" t="b">
        <v>0</v>
      </c>
      <c r="V144" t="s">
        <v>446</v>
      </c>
    </row>
    <row r="145" spans="1:22" x14ac:dyDescent="0.25">
      <c r="A145" t="s">
        <v>42</v>
      </c>
      <c r="B145">
        <v>34</v>
      </c>
      <c r="C145" t="s">
        <v>1052</v>
      </c>
      <c r="D145" t="s">
        <v>1194</v>
      </c>
      <c r="E145" t="s">
        <v>1051</v>
      </c>
      <c r="F145">
        <v>0</v>
      </c>
      <c r="G145" t="s">
        <v>24</v>
      </c>
      <c r="H145" t="s">
        <v>26</v>
      </c>
      <c r="I145" t="s">
        <v>3167</v>
      </c>
      <c r="J145" t="s">
        <v>1055</v>
      </c>
      <c r="K145" t="s">
        <v>3199</v>
      </c>
      <c r="L145" t="s">
        <v>1055</v>
      </c>
      <c r="M145" t="s">
        <v>980</v>
      </c>
      <c r="N145" t="s">
        <v>1053</v>
      </c>
      <c r="O145" t="s">
        <v>1053</v>
      </c>
      <c r="P145" t="s">
        <v>1110</v>
      </c>
      <c r="Q145" t="s">
        <v>3169</v>
      </c>
      <c r="R145" t="s">
        <v>2017</v>
      </c>
      <c r="S145" t="s">
        <v>2017</v>
      </c>
      <c r="T145" t="s">
        <v>3271</v>
      </c>
      <c r="U145" t="b">
        <v>0</v>
      </c>
      <c r="V145" t="s">
        <v>1950</v>
      </c>
    </row>
    <row r="146" spans="1:22" x14ac:dyDescent="0.25">
      <c r="A146" t="s">
        <v>42</v>
      </c>
      <c r="B146">
        <v>35</v>
      </c>
      <c r="C146" t="s">
        <v>979</v>
      </c>
      <c r="D146" t="s">
        <v>1196</v>
      </c>
      <c r="E146" t="s">
        <v>978</v>
      </c>
      <c r="F146">
        <v>-111</v>
      </c>
      <c r="G146" t="s">
        <v>24</v>
      </c>
      <c r="H146" t="s">
        <v>26</v>
      </c>
      <c r="I146" t="s">
        <v>3167</v>
      </c>
      <c r="J146" t="s">
        <v>984</v>
      </c>
      <c r="K146" t="s">
        <v>3168</v>
      </c>
      <c r="L146" t="s">
        <v>984</v>
      </c>
      <c r="M146" t="s">
        <v>980</v>
      </c>
      <c r="N146" t="s">
        <v>981</v>
      </c>
      <c r="O146" t="s">
        <v>981</v>
      </c>
      <c r="P146" t="s">
        <v>1110</v>
      </c>
      <c r="Q146" t="s">
        <v>3169</v>
      </c>
      <c r="R146" t="s">
        <v>2026</v>
      </c>
      <c r="S146" t="s">
        <v>3279</v>
      </c>
      <c r="T146" t="s">
        <v>3239</v>
      </c>
      <c r="U146" t="b">
        <v>0</v>
      </c>
      <c r="V146" t="s">
        <v>2025</v>
      </c>
    </row>
    <row r="147" spans="1:22" x14ac:dyDescent="0.25">
      <c r="A147" t="s">
        <v>42</v>
      </c>
      <c r="B147">
        <v>35</v>
      </c>
      <c r="C147" t="s">
        <v>987</v>
      </c>
      <c r="D147" t="s">
        <v>1197</v>
      </c>
      <c r="E147" t="s">
        <v>986</v>
      </c>
      <c r="F147">
        <v>-1338</v>
      </c>
      <c r="G147" t="s">
        <v>24</v>
      </c>
      <c r="H147" t="s">
        <v>26</v>
      </c>
      <c r="I147" t="s">
        <v>3167</v>
      </c>
      <c r="J147" t="s">
        <v>990</v>
      </c>
      <c r="K147" t="s">
        <v>3171</v>
      </c>
      <c r="L147" t="s">
        <v>990</v>
      </c>
      <c r="M147" t="s">
        <v>980</v>
      </c>
      <c r="N147" t="s">
        <v>988</v>
      </c>
      <c r="O147" t="s">
        <v>988</v>
      </c>
      <c r="P147" t="s">
        <v>1110</v>
      </c>
      <c r="Q147" t="s">
        <v>3169</v>
      </c>
      <c r="R147" t="s">
        <v>2026</v>
      </c>
      <c r="S147" t="s">
        <v>3279</v>
      </c>
      <c r="T147" t="s">
        <v>3239</v>
      </c>
      <c r="U147" t="b">
        <v>0</v>
      </c>
      <c r="V147" t="s">
        <v>2025</v>
      </c>
    </row>
    <row r="148" spans="1:22" x14ac:dyDescent="0.25">
      <c r="A148" t="s">
        <v>42</v>
      </c>
      <c r="B148">
        <v>35</v>
      </c>
      <c r="C148" t="s">
        <v>993</v>
      </c>
      <c r="D148" t="s">
        <v>1198</v>
      </c>
      <c r="E148" t="s">
        <v>992</v>
      </c>
      <c r="F148">
        <v>-359</v>
      </c>
      <c r="G148" t="s">
        <v>24</v>
      </c>
      <c r="H148" t="s">
        <v>26</v>
      </c>
      <c r="I148" t="s">
        <v>3167</v>
      </c>
      <c r="J148" t="s">
        <v>996</v>
      </c>
      <c r="K148" t="s">
        <v>3173</v>
      </c>
      <c r="L148" t="s">
        <v>996</v>
      </c>
      <c r="M148" t="s">
        <v>980</v>
      </c>
      <c r="N148" t="s">
        <v>994</v>
      </c>
      <c r="O148" t="s">
        <v>994</v>
      </c>
      <c r="P148" t="s">
        <v>1110</v>
      </c>
      <c r="Q148" t="s">
        <v>3169</v>
      </c>
      <c r="R148" t="s">
        <v>2026</v>
      </c>
      <c r="S148" t="s">
        <v>3279</v>
      </c>
      <c r="T148" t="s">
        <v>3239</v>
      </c>
      <c r="U148" t="b">
        <v>0</v>
      </c>
      <c r="V148" t="s">
        <v>2025</v>
      </c>
    </row>
    <row r="149" spans="1:22" x14ac:dyDescent="0.25">
      <c r="A149" t="s">
        <v>42</v>
      </c>
      <c r="B149">
        <v>35</v>
      </c>
      <c r="C149" t="s">
        <v>999</v>
      </c>
      <c r="D149" t="s">
        <v>1199</v>
      </c>
      <c r="E149" t="s">
        <v>998</v>
      </c>
      <c r="F149">
        <v>-143</v>
      </c>
      <c r="G149" t="s">
        <v>24</v>
      </c>
      <c r="H149" t="s">
        <v>26</v>
      </c>
      <c r="I149" t="s">
        <v>3167</v>
      </c>
      <c r="J149" t="s">
        <v>1003</v>
      </c>
      <c r="K149" t="s">
        <v>3175</v>
      </c>
      <c r="L149" t="s">
        <v>1003</v>
      </c>
      <c r="M149" t="s">
        <v>1000</v>
      </c>
      <c r="N149" t="s">
        <v>1001</v>
      </c>
      <c r="O149" t="s">
        <v>1001</v>
      </c>
      <c r="P149" t="s">
        <v>1110</v>
      </c>
      <c r="Q149" t="s">
        <v>3169</v>
      </c>
      <c r="R149" t="s">
        <v>2030</v>
      </c>
      <c r="S149" t="s">
        <v>3279</v>
      </c>
      <c r="T149" t="s">
        <v>3239</v>
      </c>
      <c r="U149" t="b">
        <v>0</v>
      </c>
      <c r="V149" t="s">
        <v>2877</v>
      </c>
    </row>
    <row r="150" spans="1:22" x14ac:dyDescent="0.25">
      <c r="A150" t="s">
        <v>42</v>
      </c>
      <c r="B150">
        <v>35</v>
      </c>
      <c r="C150" t="s">
        <v>1005</v>
      </c>
      <c r="D150" t="s">
        <v>3280</v>
      </c>
      <c r="E150" t="s">
        <v>982</v>
      </c>
      <c r="F150" t="s">
        <v>3281</v>
      </c>
      <c r="G150" t="s">
        <v>24</v>
      </c>
      <c r="H150" t="s">
        <v>26</v>
      </c>
      <c r="I150" t="s">
        <v>3167</v>
      </c>
      <c r="J150" t="s">
        <v>1003</v>
      </c>
      <c r="K150" t="s">
        <v>3175</v>
      </c>
      <c r="L150" t="s">
        <v>1003</v>
      </c>
      <c r="M150" t="s">
        <v>1000</v>
      </c>
      <c r="N150" t="s">
        <v>1001</v>
      </c>
      <c r="O150" t="s">
        <v>1001</v>
      </c>
      <c r="P150" t="s">
        <v>1110</v>
      </c>
      <c r="Q150" t="s">
        <v>3169</v>
      </c>
      <c r="R150" t="s">
        <v>446</v>
      </c>
      <c r="S150" t="s">
        <v>446</v>
      </c>
      <c r="T150" t="s">
        <v>1965</v>
      </c>
      <c r="U150" t="b">
        <v>0</v>
      </c>
      <c r="V150" t="s">
        <v>446</v>
      </c>
    </row>
    <row r="151" spans="1:22" x14ac:dyDescent="0.25">
      <c r="A151" t="s">
        <v>42</v>
      </c>
      <c r="B151">
        <v>35</v>
      </c>
      <c r="C151" t="s">
        <v>1007</v>
      </c>
      <c r="D151" t="s">
        <v>1200</v>
      </c>
      <c r="E151" t="s">
        <v>1006</v>
      </c>
      <c r="F151">
        <v>-1573</v>
      </c>
      <c r="G151" t="s">
        <v>24</v>
      </c>
      <c r="H151" t="s">
        <v>26</v>
      </c>
      <c r="I151" t="s">
        <v>3167</v>
      </c>
      <c r="J151" t="s">
        <v>1967</v>
      </c>
      <c r="K151" t="s">
        <v>3227</v>
      </c>
      <c r="L151" t="s">
        <v>1967</v>
      </c>
      <c r="M151" t="s">
        <v>980</v>
      </c>
      <c r="N151" t="s">
        <v>1009</v>
      </c>
      <c r="O151" t="s">
        <v>1009</v>
      </c>
      <c r="P151" t="s">
        <v>1110</v>
      </c>
      <c r="Q151" t="s">
        <v>3169</v>
      </c>
      <c r="R151" t="s">
        <v>2026</v>
      </c>
      <c r="S151" t="s">
        <v>3279</v>
      </c>
      <c r="T151" t="s">
        <v>3239</v>
      </c>
      <c r="U151" t="b">
        <v>0</v>
      </c>
      <c r="V151" t="s">
        <v>2025</v>
      </c>
    </row>
    <row r="152" spans="1:22" x14ac:dyDescent="0.25">
      <c r="A152" t="s">
        <v>42</v>
      </c>
      <c r="B152">
        <v>35</v>
      </c>
      <c r="C152" t="s">
        <v>1014</v>
      </c>
      <c r="D152" t="s">
        <v>1201</v>
      </c>
      <c r="E152" t="s">
        <v>1013</v>
      </c>
      <c r="F152">
        <v>0</v>
      </c>
      <c r="G152" t="s">
        <v>24</v>
      </c>
      <c r="H152" t="s">
        <v>26</v>
      </c>
      <c r="I152" t="s">
        <v>3167</v>
      </c>
      <c r="J152" t="s">
        <v>1016</v>
      </c>
      <c r="K152" t="s">
        <v>3181</v>
      </c>
      <c r="L152" t="s">
        <v>1016</v>
      </c>
      <c r="M152" t="s">
        <v>980</v>
      </c>
      <c r="N152" t="s">
        <v>1015</v>
      </c>
      <c r="O152" t="s">
        <v>1015</v>
      </c>
      <c r="P152" t="s">
        <v>1110</v>
      </c>
      <c r="Q152" t="s">
        <v>3169</v>
      </c>
      <c r="R152" t="s">
        <v>2034</v>
      </c>
      <c r="S152" t="s">
        <v>2034</v>
      </c>
      <c r="T152" t="s">
        <v>3271</v>
      </c>
      <c r="U152" t="b">
        <v>0</v>
      </c>
      <c r="V152" t="s">
        <v>1950</v>
      </c>
    </row>
    <row r="153" spans="1:22" x14ac:dyDescent="0.25">
      <c r="A153" t="s">
        <v>42</v>
      </c>
      <c r="B153">
        <v>35</v>
      </c>
      <c r="C153" t="s">
        <v>1019</v>
      </c>
      <c r="D153" t="s">
        <v>1202</v>
      </c>
      <c r="E153" t="s">
        <v>1018</v>
      </c>
      <c r="F153">
        <v>0</v>
      </c>
      <c r="G153" t="s">
        <v>24</v>
      </c>
      <c r="H153" t="s">
        <v>26</v>
      </c>
      <c r="I153" t="s">
        <v>3167</v>
      </c>
      <c r="J153" t="s">
        <v>1021</v>
      </c>
      <c r="K153" t="s">
        <v>3183</v>
      </c>
      <c r="L153" t="s">
        <v>1021</v>
      </c>
      <c r="M153" t="s">
        <v>980</v>
      </c>
      <c r="N153" t="s">
        <v>1020</v>
      </c>
      <c r="O153" t="s">
        <v>1020</v>
      </c>
      <c r="P153" t="s">
        <v>1110</v>
      </c>
      <c r="Q153" t="s">
        <v>3169</v>
      </c>
      <c r="R153" t="s">
        <v>2034</v>
      </c>
      <c r="S153" t="s">
        <v>2034</v>
      </c>
      <c r="T153" t="s">
        <v>3271</v>
      </c>
      <c r="U153" t="b">
        <v>0</v>
      </c>
      <c r="V153" t="s">
        <v>1950</v>
      </c>
    </row>
    <row r="154" spans="1:22" x14ac:dyDescent="0.25">
      <c r="A154" t="s">
        <v>42</v>
      </c>
      <c r="B154">
        <v>35</v>
      </c>
      <c r="C154" t="s">
        <v>1024</v>
      </c>
      <c r="D154" t="s">
        <v>1203</v>
      </c>
      <c r="E154" t="s">
        <v>1023</v>
      </c>
      <c r="F154">
        <v>-5196</v>
      </c>
      <c r="G154" t="s">
        <v>24</v>
      </c>
      <c r="H154" t="s">
        <v>26</v>
      </c>
      <c r="I154" t="s">
        <v>3167</v>
      </c>
      <c r="J154" t="s">
        <v>1026</v>
      </c>
      <c r="K154" t="s">
        <v>3185</v>
      </c>
      <c r="L154" t="s">
        <v>1026</v>
      </c>
      <c r="M154" t="s">
        <v>1000</v>
      </c>
      <c r="N154" t="s">
        <v>1025</v>
      </c>
      <c r="O154" t="s">
        <v>1025</v>
      </c>
      <c r="P154" t="s">
        <v>1110</v>
      </c>
      <c r="Q154" t="s">
        <v>3169</v>
      </c>
      <c r="R154" t="s">
        <v>2036</v>
      </c>
      <c r="S154" t="s">
        <v>3282</v>
      </c>
      <c r="T154" t="s">
        <v>3239</v>
      </c>
      <c r="U154" t="b">
        <v>0</v>
      </c>
      <c r="V154" t="s">
        <v>2041</v>
      </c>
    </row>
    <row r="155" spans="1:22" x14ac:dyDescent="0.25">
      <c r="A155" t="s">
        <v>42</v>
      </c>
      <c r="B155">
        <v>35</v>
      </c>
      <c r="C155" t="s">
        <v>1028</v>
      </c>
      <c r="D155" t="s">
        <v>3283</v>
      </c>
      <c r="E155" t="s">
        <v>1010</v>
      </c>
      <c r="F155" t="s">
        <v>3284</v>
      </c>
      <c r="G155" t="s">
        <v>24</v>
      </c>
      <c r="H155" t="s">
        <v>26</v>
      </c>
      <c r="I155" t="s">
        <v>3167</v>
      </c>
      <c r="J155" t="s">
        <v>1026</v>
      </c>
      <c r="K155" t="s">
        <v>3185</v>
      </c>
      <c r="L155" t="s">
        <v>1026</v>
      </c>
      <c r="M155" t="s">
        <v>1000</v>
      </c>
      <c r="N155" t="s">
        <v>1025</v>
      </c>
      <c r="O155" t="s">
        <v>1025</v>
      </c>
      <c r="P155" t="s">
        <v>1110</v>
      </c>
      <c r="Q155" t="s">
        <v>3169</v>
      </c>
      <c r="R155" t="s">
        <v>446</v>
      </c>
      <c r="S155" t="s">
        <v>446</v>
      </c>
      <c r="T155" t="s">
        <v>1965</v>
      </c>
      <c r="U155" t="b">
        <v>0</v>
      </c>
      <c r="V155" t="s">
        <v>446</v>
      </c>
    </row>
    <row r="156" spans="1:22" x14ac:dyDescent="0.25">
      <c r="A156" t="s">
        <v>42</v>
      </c>
      <c r="B156">
        <v>35</v>
      </c>
      <c r="C156" t="s">
        <v>1030</v>
      </c>
      <c r="D156" t="s">
        <v>1204</v>
      </c>
      <c r="E156" t="s">
        <v>1029</v>
      </c>
      <c r="F156">
        <v>0</v>
      </c>
      <c r="G156" t="s">
        <v>24</v>
      </c>
      <c r="H156" t="s">
        <v>26</v>
      </c>
      <c r="I156" t="s">
        <v>3167</v>
      </c>
      <c r="J156" t="s">
        <v>1033</v>
      </c>
      <c r="K156" t="s">
        <v>3189</v>
      </c>
      <c r="L156" t="s">
        <v>1033</v>
      </c>
      <c r="M156" t="s">
        <v>980</v>
      </c>
      <c r="N156" t="s">
        <v>1031</v>
      </c>
      <c r="O156" t="s">
        <v>1031</v>
      </c>
      <c r="P156" t="s">
        <v>1110</v>
      </c>
      <c r="Q156" t="s">
        <v>3169</v>
      </c>
      <c r="R156" t="s">
        <v>2034</v>
      </c>
      <c r="S156" t="s">
        <v>2034</v>
      </c>
      <c r="T156" t="s">
        <v>3271</v>
      </c>
      <c r="U156" t="b">
        <v>0</v>
      </c>
      <c r="V156" t="s">
        <v>1950</v>
      </c>
    </row>
    <row r="157" spans="1:22" x14ac:dyDescent="0.25">
      <c r="A157" t="s">
        <v>42</v>
      </c>
      <c r="B157">
        <v>35</v>
      </c>
      <c r="C157" t="s">
        <v>1036</v>
      </c>
      <c r="D157" t="s">
        <v>1205</v>
      </c>
      <c r="E157" t="s">
        <v>1035</v>
      </c>
      <c r="F157">
        <v>0</v>
      </c>
      <c r="G157" t="s">
        <v>24</v>
      </c>
      <c r="H157" t="s">
        <v>26</v>
      </c>
      <c r="I157" t="s">
        <v>3167</v>
      </c>
      <c r="J157" t="s">
        <v>1038</v>
      </c>
      <c r="K157" t="s">
        <v>3191</v>
      </c>
      <c r="L157" t="s">
        <v>1038</v>
      </c>
      <c r="M157" t="s">
        <v>980</v>
      </c>
      <c r="N157" t="s">
        <v>1037</v>
      </c>
      <c r="O157" t="s">
        <v>1037</v>
      </c>
      <c r="P157" t="s">
        <v>1110</v>
      </c>
      <c r="Q157" t="s">
        <v>3169</v>
      </c>
      <c r="R157" t="s">
        <v>2034</v>
      </c>
      <c r="S157" t="s">
        <v>2034</v>
      </c>
      <c r="T157" t="s">
        <v>3271</v>
      </c>
      <c r="U157" t="b">
        <v>0</v>
      </c>
      <c r="V157" t="s">
        <v>1950</v>
      </c>
    </row>
    <row r="158" spans="1:22" x14ac:dyDescent="0.25">
      <c r="A158" t="s">
        <v>42</v>
      </c>
      <c r="B158">
        <v>35</v>
      </c>
      <c r="C158" t="s">
        <v>1041</v>
      </c>
      <c r="D158" t="s">
        <v>1206</v>
      </c>
      <c r="E158" t="s">
        <v>1040</v>
      </c>
      <c r="F158">
        <v>0</v>
      </c>
      <c r="G158" t="s">
        <v>24</v>
      </c>
      <c r="H158" t="s">
        <v>26</v>
      </c>
      <c r="I158" t="s">
        <v>3167</v>
      </c>
      <c r="J158" t="s">
        <v>1043</v>
      </c>
      <c r="K158" t="s">
        <v>3193</v>
      </c>
      <c r="L158" t="s">
        <v>1043</v>
      </c>
      <c r="M158" t="s">
        <v>980</v>
      </c>
      <c r="N158" t="s">
        <v>1042</v>
      </c>
      <c r="O158" t="s">
        <v>1042</v>
      </c>
      <c r="P158" t="s">
        <v>1110</v>
      </c>
      <c r="Q158" t="s">
        <v>3169</v>
      </c>
      <c r="R158" t="s">
        <v>2034</v>
      </c>
      <c r="S158" t="s">
        <v>2034</v>
      </c>
      <c r="T158" t="s">
        <v>3271</v>
      </c>
      <c r="U158" t="b">
        <v>0</v>
      </c>
      <c r="V158" t="s">
        <v>1950</v>
      </c>
    </row>
    <row r="159" spans="1:22" x14ac:dyDescent="0.25">
      <c r="A159" t="s">
        <v>42</v>
      </c>
      <c r="B159">
        <v>35</v>
      </c>
      <c r="C159" t="s">
        <v>1046</v>
      </c>
      <c r="D159" t="s">
        <v>1207</v>
      </c>
      <c r="E159" t="s">
        <v>1045</v>
      </c>
      <c r="F159">
        <v>-4974</v>
      </c>
      <c r="G159" t="s">
        <v>24</v>
      </c>
      <c r="H159" t="s">
        <v>26</v>
      </c>
      <c r="I159" t="s">
        <v>3167</v>
      </c>
      <c r="J159" t="s">
        <v>1048</v>
      </c>
      <c r="K159" t="s">
        <v>3195</v>
      </c>
      <c r="L159" t="s">
        <v>1048</v>
      </c>
      <c r="M159" t="s">
        <v>1000</v>
      </c>
      <c r="N159" t="s">
        <v>1047</v>
      </c>
      <c r="O159" t="s">
        <v>1047</v>
      </c>
      <c r="P159" t="s">
        <v>1110</v>
      </c>
      <c r="Q159" t="s">
        <v>3169</v>
      </c>
      <c r="R159" t="s">
        <v>2036</v>
      </c>
      <c r="S159" t="s">
        <v>3282</v>
      </c>
      <c r="T159" t="s">
        <v>3239</v>
      </c>
      <c r="U159" t="b">
        <v>0</v>
      </c>
      <c r="V159" t="s">
        <v>2041</v>
      </c>
    </row>
    <row r="160" spans="1:22" x14ac:dyDescent="0.25">
      <c r="A160" t="s">
        <v>42</v>
      </c>
      <c r="B160">
        <v>35</v>
      </c>
      <c r="C160" t="s">
        <v>1050</v>
      </c>
      <c r="D160" t="s">
        <v>3285</v>
      </c>
      <c r="E160" t="s">
        <v>1032</v>
      </c>
      <c r="F160" t="s">
        <v>3286</v>
      </c>
      <c r="G160" t="s">
        <v>24</v>
      </c>
      <c r="H160" t="s">
        <v>26</v>
      </c>
      <c r="I160" t="s">
        <v>3167</v>
      </c>
      <c r="J160" t="s">
        <v>1048</v>
      </c>
      <c r="K160" t="s">
        <v>3195</v>
      </c>
      <c r="L160" t="s">
        <v>1048</v>
      </c>
      <c r="M160" t="s">
        <v>1000</v>
      </c>
      <c r="N160" t="s">
        <v>1047</v>
      </c>
      <c r="O160" t="s">
        <v>1047</v>
      </c>
      <c r="P160" t="s">
        <v>1110</v>
      </c>
      <c r="Q160" t="s">
        <v>3169</v>
      </c>
      <c r="R160" t="s">
        <v>446</v>
      </c>
      <c r="S160" t="s">
        <v>446</v>
      </c>
      <c r="T160" t="s">
        <v>1965</v>
      </c>
      <c r="U160" t="b">
        <v>0</v>
      </c>
      <c r="V160" t="s">
        <v>446</v>
      </c>
    </row>
    <row r="161" spans="1:22" x14ac:dyDescent="0.25">
      <c r="A161" t="s">
        <v>42</v>
      </c>
      <c r="B161">
        <v>35</v>
      </c>
      <c r="C161" t="s">
        <v>1052</v>
      </c>
      <c r="D161" t="s">
        <v>1208</v>
      </c>
      <c r="E161" t="s">
        <v>1051</v>
      </c>
      <c r="F161">
        <v>0</v>
      </c>
      <c r="G161" t="s">
        <v>24</v>
      </c>
      <c r="H161" t="s">
        <v>26</v>
      </c>
      <c r="I161" t="s">
        <v>3167</v>
      </c>
      <c r="J161" t="s">
        <v>1055</v>
      </c>
      <c r="K161" t="s">
        <v>3199</v>
      </c>
      <c r="L161" t="s">
        <v>1055</v>
      </c>
      <c r="M161" t="s">
        <v>980</v>
      </c>
      <c r="N161" t="s">
        <v>1053</v>
      </c>
      <c r="O161" t="s">
        <v>1053</v>
      </c>
      <c r="P161" t="s">
        <v>1110</v>
      </c>
      <c r="Q161" t="s">
        <v>3169</v>
      </c>
      <c r="R161" t="s">
        <v>2034</v>
      </c>
      <c r="S161" t="s">
        <v>2034</v>
      </c>
      <c r="T161" t="s">
        <v>3271</v>
      </c>
      <c r="U161" t="b">
        <v>0</v>
      </c>
      <c r="V161" t="s">
        <v>1950</v>
      </c>
    </row>
    <row r="162" spans="1:22" x14ac:dyDescent="0.25">
      <c r="A162" t="s">
        <v>42</v>
      </c>
      <c r="B162">
        <v>36</v>
      </c>
      <c r="C162" t="s">
        <v>979</v>
      </c>
      <c r="D162" t="s">
        <v>2915</v>
      </c>
      <c r="E162" t="s">
        <v>978</v>
      </c>
      <c r="F162" t="s">
        <v>3287</v>
      </c>
      <c r="G162" t="s">
        <v>24</v>
      </c>
      <c r="H162" t="s">
        <v>26</v>
      </c>
      <c r="I162" t="s">
        <v>3167</v>
      </c>
      <c r="J162" t="s">
        <v>984</v>
      </c>
      <c r="K162" t="s">
        <v>3168</v>
      </c>
      <c r="L162" t="s">
        <v>984</v>
      </c>
      <c r="M162" t="s">
        <v>980</v>
      </c>
      <c r="N162" t="s">
        <v>981</v>
      </c>
      <c r="O162" t="s">
        <v>981</v>
      </c>
      <c r="P162" t="s">
        <v>1110</v>
      </c>
      <c r="Q162" t="s">
        <v>3169</v>
      </c>
      <c r="R162" t="s">
        <v>446</v>
      </c>
      <c r="S162" t="s">
        <v>2916</v>
      </c>
      <c r="T162" t="s">
        <v>1965</v>
      </c>
      <c r="U162" t="b">
        <v>0</v>
      </c>
      <c r="V162" t="s">
        <v>2917</v>
      </c>
    </row>
    <row r="163" spans="1:22" x14ac:dyDescent="0.25">
      <c r="A163" t="s">
        <v>42</v>
      </c>
      <c r="B163">
        <v>36</v>
      </c>
      <c r="C163" t="s">
        <v>987</v>
      </c>
      <c r="D163" t="s">
        <v>2918</v>
      </c>
      <c r="E163" t="s">
        <v>986</v>
      </c>
      <c r="F163" t="s">
        <v>3288</v>
      </c>
      <c r="G163" t="s">
        <v>24</v>
      </c>
      <c r="H163" t="s">
        <v>26</v>
      </c>
      <c r="I163" t="s">
        <v>3167</v>
      </c>
      <c r="J163" t="s">
        <v>990</v>
      </c>
      <c r="K163" t="s">
        <v>3171</v>
      </c>
      <c r="L163" t="s">
        <v>990</v>
      </c>
      <c r="M163" t="s">
        <v>980</v>
      </c>
      <c r="N163" t="s">
        <v>988</v>
      </c>
      <c r="O163" t="s">
        <v>988</v>
      </c>
      <c r="P163" t="s">
        <v>1110</v>
      </c>
      <c r="Q163" t="s">
        <v>3169</v>
      </c>
      <c r="R163" t="s">
        <v>446</v>
      </c>
      <c r="S163" t="s">
        <v>2916</v>
      </c>
      <c r="T163" t="s">
        <v>1965</v>
      </c>
      <c r="U163" t="b">
        <v>0</v>
      </c>
      <c r="V163" t="s">
        <v>2917</v>
      </c>
    </row>
    <row r="164" spans="1:22" x14ac:dyDescent="0.25">
      <c r="A164" t="s">
        <v>42</v>
      </c>
      <c r="B164">
        <v>36</v>
      </c>
      <c r="C164" t="s">
        <v>993</v>
      </c>
      <c r="D164" t="s">
        <v>2919</v>
      </c>
      <c r="E164" t="s">
        <v>992</v>
      </c>
      <c r="F164" t="s">
        <v>3289</v>
      </c>
      <c r="G164" t="s">
        <v>24</v>
      </c>
      <c r="H164" t="s">
        <v>26</v>
      </c>
      <c r="I164" t="s">
        <v>3167</v>
      </c>
      <c r="J164" t="s">
        <v>996</v>
      </c>
      <c r="K164" t="s">
        <v>3173</v>
      </c>
      <c r="L164" t="s">
        <v>996</v>
      </c>
      <c r="M164" t="s">
        <v>980</v>
      </c>
      <c r="N164" t="s">
        <v>994</v>
      </c>
      <c r="O164" t="s">
        <v>994</v>
      </c>
      <c r="P164" t="s">
        <v>1110</v>
      </c>
      <c r="Q164" t="s">
        <v>3169</v>
      </c>
      <c r="R164" t="s">
        <v>446</v>
      </c>
      <c r="S164" t="s">
        <v>2916</v>
      </c>
      <c r="T164" t="s">
        <v>1965</v>
      </c>
      <c r="U164" t="b">
        <v>0</v>
      </c>
      <c r="V164" t="s">
        <v>2917</v>
      </c>
    </row>
    <row r="165" spans="1:22" x14ac:dyDescent="0.25">
      <c r="A165" t="s">
        <v>42</v>
      </c>
      <c r="B165">
        <v>36</v>
      </c>
      <c r="C165" t="s">
        <v>999</v>
      </c>
      <c r="D165" t="s">
        <v>2920</v>
      </c>
      <c r="E165" t="s">
        <v>998</v>
      </c>
      <c r="F165" t="s">
        <v>3290</v>
      </c>
      <c r="G165" t="s">
        <v>24</v>
      </c>
      <c r="H165" t="s">
        <v>26</v>
      </c>
      <c r="I165" t="s">
        <v>3167</v>
      </c>
      <c r="J165" t="s">
        <v>1003</v>
      </c>
      <c r="K165" t="s">
        <v>3175</v>
      </c>
      <c r="L165" t="s">
        <v>1003</v>
      </c>
      <c r="M165" t="s">
        <v>1000</v>
      </c>
      <c r="N165" t="s">
        <v>1001</v>
      </c>
      <c r="O165" t="s">
        <v>1001</v>
      </c>
      <c r="P165" t="s">
        <v>1110</v>
      </c>
      <c r="Q165" t="s">
        <v>3169</v>
      </c>
      <c r="R165" t="s">
        <v>446</v>
      </c>
      <c r="S165" t="s">
        <v>2916</v>
      </c>
      <c r="T165" t="s">
        <v>1965</v>
      </c>
      <c r="U165" t="b">
        <v>0</v>
      </c>
      <c r="V165" t="s">
        <v>2160</v>
      </c>
    </row>
    <row r="166" spans="1:22" x14ac:dyDescent="0.25">
      <c r="A166" t="s">
        <v>42</v>
      </c>
      <c r="B166">
        <v>36</v>
      </c>
      <c r="C166" t="s">
        <v>1005</v>
      </c>
      <c r="D166" t="s">
        <v>2921</v>
      </c>
      <c r="E166" t="s">
        <v>982</v>
      </c>
      <c r="F166" t="s">
        <v>3291</v>
      </c>
      <c r="G166" t="s">
        <v>24</v>
      </c>
      <c r="H166" t="s">
        <v>26</v>
      </c>
      <c r="I166" t="s">
        <v>3167</v>
      </c>
      <c r="J166" t="s">
        <v>1003</v>
      </c>
      <c r="K166" t="s">
        <v>3175</v>
      </c>
      <c r="L166" t="s">
        <v>1003</v>
      </c>
      <c r="M166" t="s">
        <v>1000</v>
      </c>
      <c r="N166" t="s">
        <v>1001</v>
      </c>
      <c r="O166" t="s">
        <v>1001</v>
      </c>
      <c r="P166" t="s">
        <v>1110</v>
      </c>
      <c r="Q166" t="s">
        <v>3169</v>
      </c>
      <c r="R166" t="s">
        <v>446</v>
      </c>
      <c r="S166" t="s">
        <v>2916</v>
      </c>
      <c r="T166" t="s">
        <v>1965</v>
      </c>
      <c r="U166" t="b">
        <v>0</v>
      </c>
      <c r="V166" t="s">
        <v>2917</v>
      </c>
    </row>
    <row r="167" spans="1:22" x14ac:dyDescent="0.25">
      <c r="A167" t="s">
        <v>42</v>
      </c>
      <c r="B167">
        <v>36</v>
      </c>
      <c r="C167" t="s">
        <v>1007</v>
      </c>
      <c r="D167" t="s">
        <v>2922</v>
      </c>
      <c r="E167" t="s">
        <v>1006</v>
      </c>
      <c r="F167" t="s">
        <v>3292</v>
      </c>
      <c r="G167" t="s">
        <v>24</v>
      </c>
      <c r="H167" t="s">
        <v>26</v>
      </c>
      <c r="I167" t="s">
        <v>3167</v>
      </c>
      <c r="J167" t="s">
        <v>1967</v>
      </c>
      <c r="K167" t="s">
        <v>3227</v>
      </c>
      <c r="L167" t="s">
        <v>1967</v>
      </c>
      <c r="M167" t="s">
        <v>1008</v>
      </c>
      <c r="N167" t="s">
        <v>1009</v>
      </c>
      <c r="O167" t="s">
        <v>1009</v>
      </c>
      <c r="P167" t="s">
        <v>1110</v>
      </c>
      <c r="Q167" t="s">
        <v>3169</v>
      </c>
      <c r="R167" t="s">
        <v>446</v>
      </c>
      <c r="S167" t="s">
        <v>2916</v>
      </c>
      <c r="T167" t="s">
        <v>1965</v>
      </c>
      <c r="U167" t="b">
        <v>0</v>
      </c>
      <c r="V167" t="s">
        <v>2917</v>
      </c>
    </row>
    <row r="168" spans="1:22" x14ac:dyDescent="0.25">
      <c r="A168" t="s">
        <v>42</v>
      </c>
      <c r="B168">
        <v>36</v>
      </c>
      <c r="C168" t="s">
        <v>1014</v>
      </c>
      <c r="D168" t="s">
        <v>2923</v>
      </c>
      <c r="E168" t="s">
        <v>1013</v>
      </c>
      <c r="F168" t="s">
        <v>3293</v>
      </c>
      <c r="G168" t="s">
        <v>24</v>
      </c>
      <c r="H168" t="s">
        <v>26</v>
      </c>
      <c r="I168" t="s">
        <v>3167</v>
      </c>
      <c r="J168" t="s">
        <v>1016</v>
      </c>
      <c r="K168" t="s">
        <v>3181</v>
      </c>
      <c r="L168" t="s">
        <v>1016</v>
      </c>
      <c r="M168" t="s">
        <v>980</v>
      </c>
      <c r="N168" t="s">
        <v>1015</v>
      </c>
      <c r="O168" t="s">
        <v>1015</v>
      </c>
      <c r="P168" t="s">
        <v>1110</v>
      </c>
      <c r="Q168" t="s">
        <v>3169</v>
      </c>
      <c r="R168" t="s">
        <v>446</v>
      </c>
      <c r="S168" t="s">
        <v>2916</v>
      </c>
      <c r="T168" t="s">
        <v>1965</v>
      </c>
      <c r="U168" t="b">
        <v>0</v>
      </c>
      <c r="V168" t="s">
        <v>2917</v>
      </c>
    </row>
    <row r="169" spans="1:22" x14ac:dyDescent="0.25">
      <c r="A169" t="s">
        <v>42</v>
      </c>
      <c r="B169">
        <v>36</v>
      </c>
      <c r="C169" t="s">
        <v>1019</v>
      </c>
      <c r="D169" t="s">
        <v>2924</v>
      </c>
      <c r="E169" t="s">
        <v>1018</v>
      </c>
      <c r="F169" t="s">
        <v>3294</v>
      </c>
      <c r="G169" t="s">
        <v>24</v>
      </c>
      <c r="H169" t="s">
        <v>26</v>
      </c>
      <c r="I169" t="s">
        <v>3167</v>
      </c>
      <c r="J169" t="s">
        <v>1021</v>
      </c>
      <c r="K169" t="s">
        <v>3183</v>
      </c>
      <c r="L169" t="s">
        <v>1021</v>
      </c>
      <c r="M169" t="s">
        <v>980</v>
      </c>
      <c r="N169" t="s">
        <v>1020</v>
      </c>
      <c r="O169" t="s">
        <v>1020</v>
      </c>
      <c r="P169" t="s">
        <v>1110</v>
      </c>
      <c r="Q169" t="s">
        <v>3169</v>
      </c>
      <c r="R169" t="s">
        <v>446</v>
      </c>
      <c r="S169" t="s">
        <v>2916</v>
      </c>
      <c r="T169" t="s">
        <v>1965</v>
      </c>
      <c r="U169" t="b">
        <v>0</v>
      </c>
      <c r="V169" t="s">
        <v>2917</v>
      </c>
    </row>
    <row r="170" spans="1:22" x14ac:dyDescent="0.25">
      <c r="A170" t="s">
        <v>42</v>
      </c>
      <c r="B170">
        <v>36</v>
      </c>
      <c r="C170" t="s">
        <v>1024</v>
      </c>
      <c r="D170" t="s">
        <v>2925</v>
      </c>
      <c r="E170" t="s">
        <v>1023</v>
      </c>
      <c r="F170" t="s">
        <v>3295</v>
      </c>
      <c r="G170" t="s">
        <v>24</v>
      </c>
      <c r="H170" t="s">
        <v>26</v>
      </c>
      <c r="I170" t="s">
        <v>3167</v>
      </c>
      <c r="J170" t="s">
        <v>1026</v>
      </c>
      <c r="K170" t="s">
        <v>3185</v>
      </c>
      <c r="L170" t="s">
        <v>1026</v>
      </c>
      <c r="M170" t="s">
        <v>1000</v>
      </c>
      <c r="N170" t="s">
        <v>1025</v>
      </c>
      <c r="O170" t="s">
        <v>1025</v>
      </c>
      <c r="P170" t="s">
        <v>1110</v>
      </c>
      <c r="Q170" t="s">
        <v>3169</v>
      </c>
      <c r="R170" t="s">
        <v>446</v>
      </c>
      <c r="S170" t="s">
        <v>2916</v>
      </c>
      <c r="T170" t="s">
        <v>1965</v>
      </c>
      <c r="U170" t="b">
        <v>0</v>
      </c>
      <c r="V170" t="s">
        <v>2160</v>
      </c>
    </row>
    <row r="171" spans="1:22" x14ac:dyDescent="0.25">
      <c r="A171" t="s">
        <v>42</v>
      </c>
      <c r="B171">
        <v>36</v>
      </c>
      <c r="C171" t="s">
        <v>1028</v>
      </c>
      <c r="D171" t="s">
        <v>2926</v>
      </c>
      <c r="E171" t="s">
        <v>1010</v>
      </c>
      <c r="F171" t="s">
        <v>3296</v>
      </c>
      <c r="G171" t="s">
        <v>24</v>
      </c>
      <c r="H171" t="s">
        <v>26</v>
      </c>
      <c r="I171" t="s">
        <v>3167</v>
      </c>
      <c r="J171" t="s">
        <v>1026</v>
      </c>
      <c r="K171" t="s">
        <v>3185</v>
      </c>
      <c r="L171" t="s">
        <v>1026</v>
      </c>
      <c r="M171" t="s">
        <v>1000</v>
      </c>
      <c r="N171" t="s">
        <v>1025</v>
      </c>
      <c r="O171" t="s">
        <v>1025</v>
      </c>
      <c r="P171" t="s">
        <v>1110</v>
      </c>
      <c r="Q171" t="s">
        <v>3169</v>
      </c>
      <c r="R171" t="s">
        <v>446</v>
      </c>
      <c r="S171" t="s">
        <v>2916</v>
      </c>
      <c r="T171" t="s">
        <v>1965</v>
      </c>
      <c r="U171" t="b">
        <v>0</v>
      </c>
      <c r="V171" t="s">
        <v>2917</v>
      </c>
    </row>
    <row r="172" spans="1:22" x14ac:dyDescent="0.25">
      <c r="A172" t="s">
        <v>42</v>
      </c>
      <c r="B172">
        <v>36</v>
      </c>
      <c r="C172" t="s">
        <v>1030</v>
      </c>
      <c r="D172" t="s">
        <v>2927</v>
      </c>
      <c r="E172" t="s">
        <v>1029</v>
      </c>
      <c r="F172" t="s">
        <v>3297</v>
      </c>
      <c r="G172" t="s">
        <v>24</v>
      </c>
      <c r="H172" t="s">
        <v>26</v>
      </c>
      <c r="I172" t="s">
        <v>3167</v>
      </c>
      <c r="J172" t="s">
        <v>1033</v>
      </c>
      <c r="K172" t="s">
        <v>3189</v>
      </c>
      <c r="L172" t="s">
        <v>1033</v>
      </c>
      <c r="M172" t="s">
        <v>980</v>
      </c>
      <c r="N172" t="s">
        <v>1031</v>
      </c>
      <c r="O172" t="s">
        <v>1031</v>
      </c>
      <c r="P172" t="s">
        <v>1110</v>
      </c>
      <c r="Q172" t="s">
        <v>3169</v>
      </c>
      <c r="R172" t="s">
        <v>446</v>
      </c>
      <c r="S172" t="s">
        <v>2916</v>
      </c>
      <c r="T172" t="s">
        <v>1965</v>
      </c>
      <c r="U172" t="b">
        <v>0</v>
      </c>
      <c r="V172" t="s">
        <v>2917</v>
      </c>
    </row>
    <row r="173" spans="1:22" x14ac:dyDescent="0.25">
      <c r="A173" t="s">
        <v>42</v>
      </c>
      <c r="B173">
        <v>36</v>
      </c>
      <c r="C173" t="s">
        <v>1036</v>
      </c>
      <c r="D173" t="s">
        <v>2928</v>
      </c>
      <c r="E173" t="s">
        <v>1035</v>
      </c>
      <c r="F173" t="s">
        <v>3298</v>
      </c>
      <c r="G173" t="s">
        <v>24</v>
      </c>
      <c r="H173" t="s">
        <v>26</v>
      </c>
      <c r="I173" t="s">
        <v>3167</v>
      </c>
      <c r="J173" t="s">
        <v>1038</v>
      </c>
      <c r="K173" t="s">
        <v>3191</v>
      </c>
      <c r="L173" t="s">
        <v>1038</v>
      </c>
      <c r="M173" t="s">
        <v>980</v>
      </c>
      <c r="N173" t="s">
        <v>1037</v>
      </c>
      <c r="O173" t="s">
        <v>1037</v>
      </c>
      <c r="P173" t="s">
        <v>1110</v>
      </c>
      <c r="Q173" t="s">
        <v>3169</v>
      </c>
      <c r="R173" t="s">
        <v>446</v>
      </c>
      <c r="S173" t="s">
        <v>2916</v>
      </c>
      <c r="T173" t="s">
        <v>1965</v>
      </c>
      <c r="U173" t="b">
        <v>0</v>
      </c>
      <c r="V173" t="s">
        <v>2917</v>
      </c>
    </row>
    <row r="174" spans="1:22" x14ac:dyDescent="0.25">
      <c r="A174" t="s">
        <v>42</v>
      </c>
      <c r="B174">
        <v>36</v>
      </c>
      <c r="C174" t="s">
        <v>1041</v>
      </c>
      <c r="D174" t="s">
        <v>2929</v>
      </c>
      <c r="E174" t="s">
        <v>1040</v>
      </c>
      <c r="F174" t="s">
        <v>3299</v>
      </c>
      <c r="G174" t="s">
        <v>24</v>
      </c>
      <c r="H174" t="s">
        <v>26</v>
      </c>
      <c r="I174" t="s">
        <v>3167</v>
      </c>
      <c r="J174" t="s">
        <v>1043</v>
      </c>
      <c r="K174" t="s">
        <v>3193</v>
      </c>
      <c r="L174" t="s">
        <v>1043</v>
      </c>
      <c r="M174" t="s">
        <v>980</v>
      </c>
      <c r="N174" t="s">
        <v>1042</v>
      </c>
      <c r="O174" t="s">
        <v>1042</v>
      </c>
      <c r="P174" t="s">
        <v>1110</v>
      </c>
      <c r="Q174" t="s">
        <v>3169</v>
      </c>
      <c r="R174" t="s">
        <v>446</v>
      </c>
      <c r="S174" t="s">
        <v>2916</v>
      </c>
      <c r="T174" t="s">
        <v>1965</v>
      </c>
      <c r="U174" t="b">
        <v>0</v>
      </c>
      <c r="V174" t="s">
        <v>2917</v>
      </c>
    </row>
    <row r="175" spans="1:22" x14ac:dyDescent="0.25">
      <c r="A175" t="s">
        <v>42</v>
      </c>
      <c r="B175">
        <v>36</v>
      </c>
      <c r="C175" t="s">
        <v>1046</v>
      </c>
      <c r="D175" t="s">
        <v>2930</v>
      </c>
      <c r="E175" t="s">
        <v>1045</v>
      </c>
      <c r="F175" t="s">
        <v>3300</v>
      </c>
      <c r="G175" t="s">
        <v>24</v>
      </c>
      <c r="H175" t="s">
        <v>26</v>
      </c>
      <c r="I175" t="s">
        <v>3167</v>
      </c>
      <c r="J175" t="s">
        <v>1048</v>
      </c>
      <c r="K175" t="s">
        <v>3195</v>
      </c>
      <c r="L175" t="s">
        <v>1048</v>
      </c>
      <c r="M175" t="s">
        <v>1000</v>
      </c>
      <c r="N175" t="s">
        <v>1047</v>
      </c>
      <c r="O175" t="s">
        <v>1047</v>
      </c>
      <c r="P175" t="s">
        <v>1110</v>
      </c>
      <c r="Q175" t="s">
        <v>3169</v>
      </c>
      <c r="R175" t="s">
        <v>446</v>
      </c>
      <c r="S175" t="s">
        <v>2916</v>
      </c>
      <c r="T175" t="s">
        <v>1965</v>
      </c>
      <c r="U175" t="b">
        <v>0</v>
      </c>
      <c r="V175" t="s">
        <v>2160</v>
      </c>
    </row>
    <row r="176" spans="1:22" x14ac:dyDescent="0.25">
      <c r="A176" t="s">
        <v>42</v>
      </c>
      <c r="B176">
        <v>36</v>
      </c>
      <c r="C176" t="s">
        <v>1050</v>
      </c>
      <c r="D176" t="s">
        <v>2931</v>
      </c>
      <c r="E176" t="s">
        <v>1032</v>
      </c>
      <c r="F176" t="s">
        <v>3301</v>
      </c>
      <c r="G176" t="s">
        <v>24</v>
      </c>
      <c r="H176" t="s">
        <v>26</v>
      </c>
      <c r="I176" t="s">
        <v>3167</v>
      </c>
      <c r="J176" t="s">
        <v>1048</v>
      </c>
      <c r="K176" t="s">
        <v>3195</v>
      </c>
      <c r="L176" t="s">
        <v>1048</v>
      </c>
      <c r="M176" t="s">
        <v>1000</v>
      </c>
      <c r="N176" t="s">
        <v>1047</v>
      </c>
      <c r="O176" t="s">
        <v>1047</v>
      </c>
      <c r="P176" t="s">
        <v>1110</v>
      </c>
      <c r="Q176" t="s">
        <v>3169</v>
      </c>
      <c r="R176" t="s">
        <v>446</v>
      </c>
      <c r="S176" t="s">
        <v>2916</v>
      </c>
      <c r="T176" t="s">
        <v>1965</v>
      </c>
      <c r="U176" t="b">
        <v>0</v>
      </c>
      <c r="V176" t="s">
        <v>2917</v>
      </c>
    </row>
    <row r="177" spans="1:22" x14ac:dyDescent="0.25">
      <c r="A177" t="s">
        <v>42</v>
      </c>
      <c r="B177">
        <v>36</v>
      </c>
      <c r="C177" t="s">
        <v>1052</v>
      </c>
      <c r="D177" t="s">
        <v>2932</v>
      </c>
      <c r="E177" t="s">
        <v>1051</v>
      </c>
      <c r="F177" t="s">
        <v>3302</v>
      </c>
      <c r="G177" t="s">
        <v>24</v>
      </c>
      <c r="H177" t="s">
        <v>26</v>
      </c>
      <c r="I177" t="s">
        <v>3167</v>
      </c>
      <c r="J177" t="s">
        <v>1055</v>
      </c>
      <c r="K177" t="s">
        <v>3199</v>
      </c>
      <c r="L177" t="s">
        <v>1055</v>
      </c>
      <c r="M177" t="s">
        <v>980</v>
      </c>
      <c r="N177" t="s">
        <v>1053</v>
      </c>
      <c r="O177" t="s">
        <v>1053</v>
      </c>
      <c r="P177" t="s">
        <v>1110</v>
      </c>
      <c r="Q177" t="s">
        <v>3169</v>
      </c>
      <c r="R177" t="s">
        <v>446</v>
      </c>
      <c r="S177" t="s">
        <v>2916</v>
      </c>
      <c r="T177" t="s">
        <v>1965</v>
      </c>
      <c r="U177" t="b">
        <v>0</v>
      </c>
      <c r="V177" t="s">
        <v>2917</v>
      </c>
    </row>
    <row r="178" spans="1:22" x14ac:dyDescent="0.25">
      <c r="A178" t="s">
        <v>42</v>
      </c>
      <c r="B178">
        <v>38</v>
      </c>
      <c r="C178" t="s">
        <v>979</v>
      </c>
      <c r="D178" t="s">
        <v>1209</v>
      </c>
      <c r="E178" t="s">
        <v>978</v>
      </c>
      <c r="F178">
        <v>168</v>
      </c>
      <c r="G178" t="s">
        <v>24</v>
      </c>
      <c r="H178" t="s">
        <v>26</v>
      </c>
      <c r="I178" t="s">
        <v>3167</v>
      </c>
      <c r="J178" t="s">
        <v>984</v>
      </c>
      <c r="K178" t="s">
        <v>3168</v>
      </c>
      <c r="L178" t="s">
        <v>984</v>
      </c>
      <c r="M178" t="s">
        <v>980</v>
      </c>
      <c r="N178" t="s">
        <v>981</v>
      </c>
      <c r="O178" t="s">
        <v>981</v>
      </c>
      <c r="P178" t="s">
        <v>1110</v>
      </c>
      <c r="Q178" t="s">
        <v>3169</v>
      </c>
      <c r="R178" t="s">
        <v>2047</v>
      </c>
      <c r="S178" t="s">
        <v>3303</v>
      </c>
      <c r="T178" t="s">
        <v>3239</v>
      </c>
      <c r="U178" t="b">
        <v>0</v>
      </c>
      <c r="V178" t="s">
        <v>2046</v>
      </c>
    </row>
    <row r="179" spans="1:22" x14ac:dyDescent="0.25">
      <c r="A179" t="s">
        <v>42</v>
      </c>
      <c r="B179">
        <v>38</v>
      </c>
      <c r="C179" t="s">
        <v>987</v>
      </c>
      <c r="D179" t="s">
        <v>1210</v>
      </c>
      <c r="E179" t="s">
        <v>986</v>
      </c>
      <c r="F179">
        <v>224</v>
      </c>
      <c r="G179" t="s">
        <v>24</v>
      </c>
      <c r="H179" t="s">
        <v>26</v>
      </c>
      <c r="I179" t="s">
        <v>3167</v>
      </c>
      <c r="J179" t="s">
        <v>990</v>
      </c>
      <c r="K179" t="s">
        <v>3171</v>
      </c>
      <c r="L179" t="s">
        <v>990</v>
      </c>
      <c r="M179" t="s">
        <v>980</v>
      </c>
      <c r="N179" t="s">
        <v>988</v>
      </c>
      <c r="O179" t="s">
        <v>988</v>
      </c>
      <c r="P179" t="s">
        <v>1110</v>
      </c>
      <c r="Q179" t="s">
        <v>3169</v>
      </c>
      <c r="R179" t="s">
        <v>2047</v>
      </c>
      <c r="S179" t="s">
        <v>3303</v>
      </c>
      <c r="T179" t="s">
        <v>3239</v>
      </c>
      <c r="U179" t="b">
        <v>0</v>
      </c>
      <c r="V179" t="s">
        <v>2046</v>
      </c>
    </row>
    <row r="180" spans="1:22" x14ac:dyDescent="0.25">
      <c r="A180" t="s">
        <v>42</v>
      </c>
      <c r="B180">
        <v>38</v>
      </c>
      <c r="C180" t="s">
        <v>993</v>
      </c>
      <c r="D180" t="s">
        <v>1211</v>
      </c>
      <c r="E180" t="s">
        <v>992</v>
      </c>
      <c r="F180">
        <v>248</v>
      </c>
      <c r="G180" t="s">
        <v>24</v>
      </c>
      <c r="H180" t="s">
        <v>26</v>
      </c>
      <c r="I180" t="s">
        <v>3167</v>
      </c>
      <c r="J180" t="s">
        <v>996</v>
      </c>
      <c r="K180" t="s">
        <v>3173</v>
      </c>
      <c r="L180" t="s">
        <v>996</v>
      </c>
      <c r="M180" t="s">
        <v>980</v>
      </c>
      <c r="N180" t="s">
        <v>994</v>
      </c>
      <c r="O180" t="s">
        <v>994</v>
      </c>
      <c r="P180" t="s">
        <v>1110</v>
      </c>
      <c r="Q180" t="s">
        <v>3169</v>
      </c>
      <c r="R180" t="s">
        <v>2047</v>
      </c>
      <c r="S180" t="s">
        <v>3303</v>
      </c>
      <c r="T180" t="s">
        <v>3239</v>
      </c>
      <c r="U180" t="b">
        <v>0</v>
      </c>
      <c r="V180" t="s">
        <v>2046</v>
      </c>
    </row>
    <row r="181" spans="1:22" x14ac:dyDescent="0.25">
      <c r="A181" t="s">
        <v>42</v>
      </c>
      <c r="B181">
        <v>38</v>
      </c>
      <c r="C181" t="s">
        <v>999</v>
      </c>
      <c r="D181" t="s">
        <v>1212</v>
      </c>
      <c r="E181" t="s">
        <v>998</v>
      </c>
      <c r="F181">
        <v>267</v>
      </c>
      <c r="G181" t="s">
        <v>24</v>
      </c>
      <c r="H181" t="s">
        <v>26</v>
      </c>
      <c r="I181" t="s">
        <v>3167</v>
      </c>
      <c r="J181" t="s">
        <v>1003</v>
      </c>
      <c r="K181" t="s">
        <v>3175</v>
      </c>
      <c r="L181" t="s">
        <v>1003</v>
      </c>
      <c r="M181" t="s">
        <v>1000</v>
      </c>
      <c r="N181" t="s">
        <v>1001</v>
      </c>
      <c r="O181" t="s">
        <v>1001</v>
      </c>
      <c r="P181" t="s">
        <v>1110</v>
      </c>
      <c r="Q181" t="s">
        <v>3169</v>
      </c>
      <c r="R181" t="s">
        <v>2051</v>
      </c>
      <c r="S181" t="s">
        <v>3303</v>
      </c>
      <c r="T181" t="s">
        <v>3239</v>
      </c>
      <c r="U181" t="b">
        <v>0</v>
      </c>
      <c r="V181" t="s">
        <v>1950</v>
      </c>
    </row>
    <row r="182" spans="1:22" x14ac:dyDescent="0.25">
      <c r="A182" t="s">
        <v>42</v>
      </c>
      <c r="B182">
        <v>38</v>
      </c>
      <c r="C182" t="s">
        <v>1005</v>
      </c>
      <c r="D182" t="s">
        <v>3304</v>
      </c>
      <c r="E182" t="s">
        <v>982</v>
      </c>
      <c r="F182" t="s">
        <v>3305</v>
      </c>
      <c r="G182" t="s">
        <v>24</v>
      </c>
      <c r="H182" t="s">
        <v>26</v>
      </c>
      <c r="I182" t="s">
        <v>3167</v>
      </c>
      <c r="J182" t="s">
        <v>1003</v>
      </c>
      <c r="K182" t="s">
        <v>3175</v>
      </c>
      <c r="L182" t="s">
        <v>1003</v>
      </c>
      <c r="M182" t="s">
        <v>1000</v>
      </c>
      <c r="N182" t="s">
        <v>1001</v>
      </c>
      <c r="O182" t="s">
        <v>1001</v>
      </c>
      <c r="P182" t="s">
        <v>1110</v>
      </c>
      <c r="Q182" t="s">
        <v>3169</v>
      </c>
      <c r="R182" t="s">
        <v>446</v>
      </c>
      <c r="S182" t="s">
        <v>446</v>
      </c>
      <c r="T182" t="s">
        <v>1965</v>
      </c>
      <c r="U182" t="b">
        <v>0</v>
      </c>
      <c r="V182" t="s">
        <v>446</v>
      </c>
    </row>
    <row r="183" spans="1:22" x14ac:dyDescent="0.25">
      <c r="A183" t="s">
        <v>42</v>
      </c>
      <c r="B183">
        <v>38</v>
      </c>
      <c r="C183" t="s">
        <v>1007</v>
      </c>
      <c r="D183" t="s">
        <v>1213</v>
      </c>
      <c r="E183" t="s">
        <v>1006</v>
      </c>
      <c r="F183">
        <v>246</v>
      </c>
      <c r="G183" t="s">
        <v>24</v>
      </c>
      <c r="H183" t="s">
        <v>26</v>
      </c>
      <c r="I183" t="s">
        <v>3167</v>
      </c>
      <c r="J183" t="s">
        <v>1967</v>
      </c>
      <c r="K183" t="s">
        <v>3227</v>
      </c>
      <c r="L183" t="s">
        <v>1967</v>
      </c>
      <c r="M183" t="s">
        <v>980</v>
      </c>
      <c r="N183" t="s">
        <v>1009</v>
      </c>
      <c r="O183" t="s">
        <v>1009</v>
      </c>
      <c r="P183" t="s">
        <v>1110</v>
      </c>
      <c r="Q183" t="s">
        <v>3169</v>
      </c>
      <c r="R183" t="s">
        <v>2047</v>
      </c>
      <c r="S183" t="s">
        <v>3303</v>
      </c>
      <c r="T183" t="s">
        <v>3239</v>
      </c>
      <c r="U183" t="b">
        <v>0</v>
      </c>
      <c r="V183" t="s">
        <v>2046</v>
      </c>
    </row>
    <row r="184" spans="1:22" x14ac:dyDescent="0.25">
      <c r="A184" t="s">
        <v>42</v>
      </c>
      <c r="B184">
        <v>38</v>
      </c>
      <c r="C184" t="s">
        <v>1014</v>
      </c>
      <c r="D184" t="s">
        <v>1214</v>
      </c>
      <c r="E184" t="s">
        <v>1013</v>
      </c>
      <c r="F184">
        <v>275</v>
      </c>
      <c r="G184" t="s">
        <v>24</v>
      </c>
      <c r="H184" t="s">
        <v>26</v>
      </c>
      <c r="I184" t="s">
        <v>3167</v>
      </c>
      <c r="J184" t="s">
        <v>1016</v>
      </c>
      <c r="K184" t="s">
        <v>3181</v>
      </c>
      <c r="L184" t="s">
        <v>1016</v>
      </c>
      <c r="M184" t="s">
        <v>980</v>
      </c>
      <c r="N184" t="s">
        <v>1015</v>
      </c>
      <c r="O184" t="s">
        <v>1015</v>
      </c>
      <c r="P184" t="s">
        <v>1110</v>
      </c>
      <c r="Q184" t="s">
        <v>3169</v>
      </c>
      <c r="R184" t="s">
        <v>2047</v>
      </c>
      <c r="S184" t="s">
        <v>3303</v>
      </c>
      <c r="T184" t="s">
        <v>3239</v>
      </c>
      <c r="U184" t="b">
        <v>0</v>
      </c>
      <c r="V184" t="s">
        <v>2046</v>
      </c>
    </row>
    <row r="185" spans="1:22" x14ac:dyDescent="0.25">
      <c r="A185" t="s">
        <v>42</v>
      </c>
      <c r="B185">
        <v>38</v>
      </c>
      <c r="C185" t="s">
        <v>1019</v>
      </c>
      <c r="D185" t="s">
        <v>1215</v>
      </c>
      <c r="E185" t="s">
        <v>1018</v>
      </c>
      <c r="F185">
        <v>263</v>
      </c>
      <c r="G185" t="s">
        <v>24</v>
      </c>
      <c r="H185" t="s">
        <v>26</v>
      </c>
      <c r="I185" t="s">
        <v>3167</v>
      </c>
      <c r="J185" t="s">
        <v>1021</v>
      </c>
      <c r="K185" t="s">
        <v>3183</v>
      </c>
      <c r="L185" t="s">
        <v>1021</v>
      </c>
      <c r="M185" t="s">
        <v>980</v>
      </c>
      <c r="N185" t="s">
        <v>1020</v>
      </c>
      <c r="O185" t="s">
        <v>1020</v>
      </c>
      <c r="P185" t="s">
        <v>1110</v>
      </c>
      <c r="Q185" t="s">
        <v>3169</v>
      </c>
      <c r="R185" t="s">
        <v>2047</v>
      </c>
      <c r="S185" t="s">
        <v>3303</v>
      </c>
      <c r="T185" t="s">
        <v>3239</v>
      </c>
      <c r="U185" t="b">
        <v>0</v>
      </c>
      <c r="V185" t="s">
        <v>2046</v>
      </c>
    </row>
    <row r="186" spans="1:22" x14ac:dyDescent="0.25">
      <c r="A186" t="s">
        <v>42</v>
      </c>
      <c r="B186">
        <v>38</v>
      </c>
      <c r="C186" t="s">
        <v>1024</v>
      </c>
      <c r="D186" t="s">
        <v>1216</v>
      </c>
      <c r="E186" t="s">
        <v>1023</v>
      </c>
      <c r="F186">
        <v>204</v>
      </c>
      <c r="G186" t="s">
        <v>24</v>
      </c>
      <c r="H186" t="s">
        <v>26</v>
      </c>
      <c r="I186" t="s">
        <v>3167</v>
      </c>
      <c r="J186" t="s">
        <v>1026</v>
      </c>
      <c r="K186" t="s">
        <v>3185</v>
      </c>
      <c r="L186" t="s">
        <v>1026</v>
      </c>
      <c r="M186" t="s">
        <v>1000</v>
      </c>
      <c r="N186" t="s">
        <v>1025</v>
      </c>
      <c r="O186" t="s">
        <v>1025</v>
      </c>
      <c r="P186" t="s">
        <v>1110</v>
      </c>
      <c r="Q186" t="s">
        <v>3169</v>
      </c>
      <c r="R186" t="s">
        <v>2051</v>
      </c>
      <c r="S186" t="s">
        <v>3303</v>
      </c>
      <c r="T186" t="s">
        <v>3239</v>
      </c>
      <c r="U186" t="b">
        <v>0</v>
      </c>
      <c r="V186" t="s">
        <v>1950</v>
      </c>
    </row>
    <row r="187" spans="1:22" x14ac:dyDescent="0.25">
      <c r="A187" t="s">
        <v>42</v>
      </c>
      <c r="B187">
        <v>38</v>
      </c>
      <c r="C187" t="s">
        <v>1028</v>
      </c>
      <c r="D187" t="s">
        <v>3306</v>
      </c>
      <c r="E187" t="s">
        <v>1010</v>
      </c>
      <c r="F187" t="s">
        <v>3307</v>
      </c>
      <c r="G187" t="s">
        <v>24</v>
      </c>
      <c r="H187" t="s">
        <v>26</v>
      </c>
      <c r="I187" t="s">
        <v>3167</v>
      </c>
      <c r="J187" t="s">
        <v>1026</v>
      </c>
      <c r="K187" t="s">
        <v>3185</v>
      </c>
      <c r="L187" t="s">
        <v>1026</v>
      </c>
      <c r="M187" t="s">
        <v>1000</v>
      </c>
      <c r="N187" t="s">
        <v>1025</v>
      </c>
      <c r="O187" t="s">
        <v>1025</v>
      </c>
      <c r="P187" t="s">
        <v>1110</v>
      </c>
      <c r="Q187" t="s">
        <v>3169</v>
      </c>
      <c r="R187" t="s">
        <v>446</v>
      </c>
      <c r="S187" t="s">
        <v>446</v>
      </c>
      <c r="T187" t="s">
        <v>1965</v>
      </c>
      <c r="U187" t="b">
        <v>0</v>
      </c>
      <c r="V187" t="s">
        <v>446</v>
      </c>
    </row>
    <row r="188" spans="1:22" x14ac:dyDescent="0.25">
      <c r="A188" t="s">
        <v>42</v>
      </c>
      <c r="B188">
        <v>38</v>
      </c>
      <c r="C188" t="s">
        <v>1030</v>
      </c>
      <c r="D188" t="s">
        <v>1217</v>
      </c>
      <c r="E188" t="s">
        <v>1029</v>
      </c>
      <c r="F188">
        <v>180</v>
      </c>
      <c r="G188" t="s">
        <v>24</v>
      </c>
      <c r="H188" t="s">
        <v>26</v>
      </c>
      <c r="I188" t="s">
        <v>3167</v>
      </c>
      <c r="J188" t="s">
        <v>1033</v>
      </c>
      <c r="K188" t="s">
        <v>3189</v>
      </c>
      <c r="L188" t="s">
        <v>1033</v>
      </c>
      <c r="M188" t="s">
        <v>980</v>
      </c>
      <c r="N188" t="s">
        <v>1031</v>
      </c>
      <c r="O188" t="s">
        <v>1031</v>
      </c>
      <c r="P188" t="s">
        <v>1110</v>
      </c>
      <c r="Q188" t="s">
        <v>3169</v>
      </c>
      <c r="R188" t="s">
        <v>2047</v>
      </c>
      <c r="S188" t="s">
        <v>3303</v>
      </c>
      <c r="T188" t="s">
        <v>3239</v>
      </c>
      <c r="U188" t="b">
        <v>0</v>
      </c>
      <c r="V188" t="s">
        <v>2046</v>
      </c>
    </row>
    <row r="189" spans="1:22" x14ac:dyDescent="0.25">
      <c r="A189" t="s">
        <v>42</v>
      </c>
      <c r="B189">
        <v>38</v>
      </c>
      <c r="C189" t="s">
        <v>1036</v>
      </c>
      <c r="D189" t="s">
        <v>1218</v>
      </c>
      <c r="E189" t="s">
        <v>1035</v>
      </c>
      <c r="F189">
        <v>188</v>
      </c>
      <c r="G189" t="s">
        <v>24</v>
      </c>
      <c r="H189" t="s">
        <v>26</v>
      </c>
      <c r="I189" t="s">
        <v>3167</v>
      </c>
      <c r="J189" t="s">
        <v>1038</v>
      </c>
      <c r="K189" t="s">
        <v>3191</v>
      </c>
      <c r="L189" t="s">
        <v>1038</v>
      </c>
      <c r="M189" t="s">
        <v>980</v>
      </c>
      <c r="N189" t="s">
        <v>1037</v>
      </c>
      <c r="O189" t="s">
        <v>1037</v>
      </c>
      <c r="P189" t="s">
        <v>1110</v>
      </c>
      <c r="Q189" t="s">
        <v>3169</v>
      </c>
      <c r="R189" t="s">
        <v>2047</v>
      </c>
      <c r="S189" t="s">
        <v>3303</v>
      </c>
      <c r="T189" t="s">
        <v>3239</v>
      </c>
      <c r="U189" t="b">
        <v>0</v>
      </c>
      <c r="V189" t="s">
        <v>2046</v>
      </c>
    </row>
    <row r="190" spans="1:22" x14ac:dyDescent="0.25">
      <c r="A190" t="s">
        <v>42</v>
      </c>
      <c r="B190">
        <v>38</v>
      </c>
      <c r="C190" t="s">
        <v>1041</v>
      </c>
      <c r="D190" t="s">
        <v>1219</v>
      </c>
      <c r="E190" t="s">
        <v>1040</v>
      </c>
      <c r="F190">
        <v>185</v>
      </c>
      <c r="G190" t="s">
        <v>24</v>
      </c>
      <c r="H190" t="s">
        <v>26</v>
      </c>
      <c r="I190" t="s">
        <v>3167</v>
      </c>
      <c r="J190" t="s">
        <v>1043</v>
      </c>
      <c r="K190" t="s">
        <v>3193</v>
      </c>
      <c r="L190" t="s">
        <v>1043</v>
      </c>
      <c r="M190" t="s">
        <v>980</v>
      </c>
      <c r="N190" t="s">
        <v>1042</v>
      </c>
      <c r="O190" t="s">
        <v>1042</v>
      </c>
      <c r="P190" t="s">
        <v>1110</v>
      </c>
      <c r="Q190" t="s">
        <v>3169</v>
      </c>
      <c r="R190" t="s">
        <v>2047</v>
      </c>
      <c r="S190" t="s">
        <v>3303</v>
      </c>
      <c r="T190" t="s">
        <v>3239</v>
      </c>
      <c r="U190" t="b">
        <v>0</v>
      </c>
      <c r="V190" t="s">
        <v>2046</v>
      </c>
    </row>
    <row r="191" spans="1:22" x14ac:dyDescent="0.25">
      <c r="A191" t="s">
        <v>42</v>
      </c>
      <c r="B191">
        <v>38</v>
      </c>
      <c r="C191" t="s">
        <v>1046</v>
      </c>
      <c r="D191" t="s">
        <v>1220</v>
      </c>
      <c r="E191" t="s">
        <v>1045</v>
      </c>
      <c r="F191">
        <v>233</v>
      </c>
      <c r="G191" t="s">
        <v>24</v>
      </c>
      <c r="H191" t="s">
        <v>26</v>
      </c>
      <c r="I191" t="s">
        <v>3167</v>
      </c>
      <c r="J191" t="s">
        <v>1048</v>
      </c>
      <c r="K191" t="s">
        <v>3195</v>
      </c>
      <c r="L191" t="s">
        <v>1048</v>
      </c>
      <c r="M191" t="s">
        <v>1000</v>
      </c>
      <c r="N191" t="s">
        <v>1047</v>
      </c>
      <c r="O191" t="s">
        <v>1047</v>
      </c>
      <c r="P191" t="s">
        <v>1110</v>
      </c>
      <c r="Q191" t="s">
        <v>3169</v>
      </c>
      <c r="R191" t="s">
        <v>2051</v>
      </c>
      <c r="S191" t="s">
        <v>3303</v>
      </c>
      <c r="T191" t="s">
        <v>3239</v>
      </c>
      <c r="U191" t="b">
        <v>0</v>
      </c>
      <c r="V191" t="s">
        <v>1950</v>
      </c>
    </row>
    <row r="192" spans="1:22" x14ac:dyDescent="0.25">
      <c r="A192" t="s">
        <v>42</v>
      </c>
      <c r="B192">
        <v>38</v>
      </c>
      <c r="C192" t="s">
        <v>1050</v>
      </c>
      <c r="D192" t="s">
        <v>3308</v>
      </c>
      <c r="E192" t="s">
        <v>1032</v>
      </c>
      <c r="F192" t="s">
        <v>3309</v>
      </c>
      <c r="G192" t="s">
        <v>24</v>
      </c>
      <c r="H192" t="s">
        <v>26</v>
      </c>
      <c r="I192" t="s">
        <v>3167</v>
      </c>
      <c r="J192" t="s">
        <v>1048</v>
      </c>
      <c r="K192" t="s">
        <v>3195</v>
      </c>
      <c r="L192" t="s">
        <v>1048</v>
      </c>
      <c r="M192" t="s">
        <v>1000</v>
      </c>
      <c r="N192" t="s">
        <v>1047</v>
      </c>
      <c r="O192" t="s">
        <v>1047</v>
      </c>
      <c r="P192" t="s">
        <v>1110</v>
      </c>
      <c r="Q192" t="s">
        <v>3169</v>
      </c>
      <c r="R192" t="s">
        <v>446</v>
      </c>
      <c r="S192" t="s">
        <v>446</v>
      </c>
      <c r="T192" t="s">
        <v>1965</v>
      </c>
      <c r="U192" t="b">
        <v>0</v>
      </c>
      <c r="V192" t="s">
        <v>446</v>
      </c>
    </row>
    <row r="193" spans="1:22" x14ac:dyDescent="0.25">
      <c r="A193" t="s">
        <v>42</v>
      </c>
      <c r="B193">
        <v>38</v>
      </c>
      <c r="C193" t="s">
        <v>1052</v>
      </c>
      <c r="D193" t="s">
        <v>1221</v>
      </c>
      <c r="E193" t="s">
        <v>1051</v>
      </c>
      <c r="F193">
        <v>222</v>
      </c>
      <c r="G193" t="s">
        <v>24</v>
      </c>
      <c r="H193" t="s">
        <v>26</v>
      </c>
      <c r="I193" t="s">
        <v>3167</v>
      </c>
      <c r="J193" t="s">
        <v>1055</v>
      </c>
      <c r="K193" t="s">
        <v>3199</v>
      </c>
      <c r="L193" t="s">
        <v>1055</v>
      </c>
      <c r="M193" t="s">
        <v>980</v>
      </c>
      <c r="N193" t="s">
        <v>1053</v>
      </c>
      <c r="O193" t="s">
        <v>1053</v>
      </c>
      <c r="P193" t="s">
        <v>1110</v>
      </c>
      <c r="Q193" t="s">
        <v>3169</v>
      </c>
      <c r="R193" t="s">
        <v>2047</v>
      </c>
      <c r="S193" t="s">
        <v>3303</v>
      </c>
      <c r="T193" t="s">
        <v>3239</v>
      </c>
      <c r="U193" t="b">
        <v>0</v>
      </c>
      <c r="V193" t="s">
        <v>2046</v>
      </c>
    </row>
    <row r="194" spans="1:22" x14ac:dyDescent="0.25">
      <c r="A194" t="s">
        <v>42</v>
      </c>
      <c r="B194">
        <v>39</v>
      </c>
      <c r="C194" t="s">
        <v>979</v>
      </c>
      <c r="D194" t="s">
        <v>1222</v>
      </c>
      <c r="E194" t="s">
        <v>978</v>
      </c>
      <c r="F194">
        <v>-372</v>
      </c>
      <c r="G194" t="s">
        <v>24</v>
      </c>
      <c r="H194" t="s">
        <v>26</v>
      </c>
      <c r="I194" t="s">
        <v>3167</v>
      </c>
      <c r="J194" t="s">
        <v>984</v>
      </c>
      <c r="K194" t="s">
        <v>3168</v>
      </c>
      <c r="L194" t="s">
        <v>984</v>
      </c>
      <c r="M194" t="s">
        <v>980</v>
      </c>
      <c r="N194" t="s">
        <v>981</v>
      </c>
      <c r="O194" t="s">
        <v>981</v>
      </c>
      <c r="P194" t="s">
        <v>1110</v>
      </c>
      <c r="Q194" t="s">
        <v>3169</v>
      </c>
      <c r="R194" t="s">
        <v>2063</v>
      </c>
      <c r="S194" t="s">
        <v>3310</v>
      </c>
      <c r="T194" t="s">
        <v>3239</v>
      </c>
      <c r="U194" t="b">
        <v>0</v>
      </c>
      <c r="V194" t="s">
        <v>2062</v>
      </c>
    </row>
    <row r="195" spans="1:22" x14ac:dyDescent="0.25">
      <c r="A195" t="s">
        <v>42</v>
      </c>
      <c r="B195">
        <v>39</v>
      </c>
      <c r="C195" t="s">
        <v>987</v>
      </c>
      <c r="D195" t="s">
        <v>1224</v>
      </c>
      <c r="E195" t="s">
        <v>986</v>
      </c>
      <c r="F195">
        <v>-374</v>
      </c>
      <c r="G195" t="s">
        <v>24</v>
      </c>
      <c r="H195" t="s">
        <v>26</v>
      </c>
      <c r="I195" t="s">
        <v>3167</v>
      </c>
      <c r="J195" t="s">
        <v>1016</v>
      </c>
      <c r="K195" t="s">
        <v>3181</v>
      </c>
      <c r="L195" t="s">
        <v>1016</v>
      </c>
      <c r="M195" t="s">
        <v>980</v>
      </c>
      <c r="N195" t="s">
        <v>988</v>
      </c>
      <c r="O195" t="s">
        <v>988</v>
      </c>
      <c r="P195" t="s">
        <v>1110</v>
      </c>
      <c r="Q195" t="s">
        <v>3169</v>
      </c>
      <c r="R195" t="s">
        <v>2067</v>
      </c>
      <c r="S195" t="s">
        <v>2065</v>
      </c>
      <c r="T195" t="s">
        <v>3239</v>
      </c>
      <c r="U195" t="b">
        <v>0</v>
      </c>
      <c r="V195" t="s">
        <v>2066</v>
      </c>
    </row>
    <row r="196" spans="1:22" x14ac:dyDescent="0.25">
      <c r="A196" t="s">
        <v>42</v>
      </c>
      <c r="B196">
        <v>39</v>
      </c>
      <c r="C196" t="s">
        <v>993</v>
      </c>
      <c r="D196" t="s">
        <v>1226</v>
      </c>
      <c r="E196" t="s">
        <v>992</v>
      </c>
      <c r="F196">
        <v>-368</v>
      </c>
      <c r="G196" t="s">
        <v>24</v>
      </c>
      <c r="H196" t="s">
        <v>26</v>
      </c>
      <c r="I196" t="s">
        <v>3167</v>
      </c>
      <c r="J196" t="s">
        <v>1021</v>
      </c>
      <c r="K196" t="s">
        <v>3183</v>
      </c>
      <c r="L196" t="s">
        <v>1021</v>
      </c>
      <c r="M196" t="s">
        <v>980</v>
      </c>
      <c r="N196" t="s">
        <v>994</v>
      </c>
      <c r="O196" t="s">
        <v>994</v>
      </c>
      <c r="P196" t="s">
        <v>1110</v>
      </c>
      <c r="Q196" t="s">
        <v>3169</v>
      </c>
      <c r="R196" t="s">
        <v>2067</v>
      </c>
      <c r="S196" t="s">
        <v>2065</v>
      </c>
      <c r="T196" t="s">
        <v>3239</v>
      </c>
      <c r="U196" t="b">
        <v>0</v>
      </c>
      <c r="V196" t="s">
        <v>2066</v>
      </c>
    </row>
    <row r="197" spans="1:22" x14ac:dyDescent="0.25">
      <c r="A197" t="s">
        <v>42</v>
      </c>
      <c r="B197">
        <v>39</v>
      </c>
      <c r="C197" t="s">
        <v>999</v>
      </c>
      <c r="D197" t="s">
        <v>2069</v>
      </c>
      <c r="E197" t="s">
        <v>998</v>
      </c>
      <c r="F197" t="s">
        <v>3311</v>
      </c>
      <c r="G197" t="s">
        <v>24</v>
      </c>
      <c r="H197" t="s">
        <v>26</v>
      </c>
      <c r="I197" t="s">
        <v>3167</v>
      </c>
      <c r="J197" t="s">
        <v>1003</v>
      </c>
      <c r="K197" t="s">
        <v>3175</v>
      </c>
      <c r="L197" t="s">
        <v>1003</v>
      </c>
      <c r="M197" t="s">
        <v>1000</v>
      </c>
      <c r="N197" t="s">
        <v>1001</v>
      </c>
      <c r="O197" t="s">
        <v>1001</v>
      </c>
      <c r="P197" t="s">
        <v>1110</v>
      </c>
      <c r="Q197" t="s">
        <v>3169</v>
      </c>
      <c r="R197" t="s">
        <v>446</v>
      </c>
      <c r="S197" t="s">
        <v>446</v>
      </c>
      <c r="T197" t="s">
        <v>1965</v>
      </c>
      <c r="U197" t="b">
        <v>0</v>
      </c>
      <c r="V197" t="s">
        <v>1962</v>
      </c>
    </row>
    <row r="198" spans="1:22" x14ac:dyDescent="0.25">
      <c r="A198" t="s">
        <v>42</v>
      </c>
      <c r="B198">
        <v>39</v>
      </c>
      <c r="C198" t="s">
        <v>1005</v>
      </c>
      <c r="D198" t="s">
        <v>3312</v>
      </c>
      <c r="E198" t="s">
        <v>982</v>
      </c>
      <c r="F198" t="s">
        <v>3313</v>
      </c>
      <c r="G198" t="s">
        <v>24</v>
      </c>
      <c r="H198" t="s">
        <v>26</v>
      </c>
      <c r="I198" t="s">
        <v>3167</v>
      </c>
      <c r="J198" t="s">
        <v>1003</v>
      </c>
      <c r="K198" t="s">
        <v>3175</v>
      </c>
      <c r="L198" t="s">
        <v>1003</v>
      </c>
      <c r="M198" t="s">
        <v>1000</v>
      </c>
      <c r="N198" t="s">
        <v>1001</v>
      </c>
      <c r="O198" t="s">
        <v>1001</v>
      </c>
      <c r="P198" t="s">
        <v>1110</v>
      </c>
      <c r="Q198" t="s">
        <v>3169</v>
      </c>
      <c r="R198" t="s">
        <v>446</v>
      </c>
      <c r="S198" t="s">
        <v>446</v>
      </c>
      <c r="T198" t="s">
        <v>1965</v>
      </c>
      <c r="U198" t="b">
        <v>0</v>
      </c>
      <c r="V198" t="s">
        <v>446</v>
      </c>
    </row>
    <row r="199" spans="1:22" x14ac:dyDescent="0.25">
      <c r="A199" t="s">
        <v>42</v>
      </c>
      <c r="B199">
        <v>39</v>
      </c>
      <c r="C199" t="s">
        <v>1007</v>
      </c>
      <c r="D199" t="s">
        <v>1228</v>
      </c>
      <c r="E199" t="s">
        <v>1006</v>
      </c>
      <c r="F199">
        <v>-382</v>
      </c>
      <c r="G199" t="s">
        <v>24</v>
      </c>
      <c r="H199" t="s">
        <v>26</v>
      </c>
      <c r="I199" t="s">
        <v>3167</v>
      </c>
      <c r="J199" t="s">
        <v>1033</v>
      </c>
      <c r="K199" t="s">
        <v>3189</v>
      </c>
      <c r="L199" t="s">
        <v>1033</v>
      </c>
      <c r="M199" t="s">
        <v>980</v>
      </c>
      <c r="N199" t="s">
        <v>1009</v>
      </c>
      <c r="O199" t="s">
        <v>1009</v>
      </c>
      <c r="P199" t="s">
        <v>1110</v>
      </c>
      <c r="Q199" t="s">
        <v>3169</v>
      </c>
      <c r="R199" t="s">
        <v>2067</v>
      </c>
      <c r="S199" t="s">
        <v>2065</v>
      </c>
      <c r="T199" t="s">
        <v>3239</v>
      </c>
      <c r="U199" t="b">
        <v>0</v>
      </c>
      <c r="V199" t="s">
        <v>2066</v>
      </c>
    </row>
    <row r="200" spans="1:22" x14ac:dyDescent="0.25">
      <c r="A200" t="s">
        <v>42</v>
      </c>
      <c r="B200">
        <v>39</v>
      </c>
      <c r="C200" t="s">
        <v>1014</v>
      </c>
      <c r="D200" t="s">
        <v>1230</v>
      </c>
      <c r="E200" t="s">
        <v>1013</v>
      </c>
      <c r="F200">
        <v>-418</v>
      </c>
      <c r="G200" t="s">
        <v>24</v>
      </c>
      <c r="H200" t="s">
        <v>26</v>
      </c>
      <c r="I200" t="s">
        <v>3167</v>
      </c>
      <c r="J200" t="s">
        <v>1016</v>
      </c>
      <c r="K200" t="s">
        <v>3181</v>
      </c>
      <c r="L200" t="s">
        <v>1016</v>
      </c>
      <c r="M200" t="s">
        <v>980</v>
      </c>
      <c r="N200" t="s">
        <v>1015</v>
      </c>
      <c r="O200" t="s">
        <v>1015</v>
      </c>
      <c r="P200" t="s">
        <v>1110</v>
      </c>
      <c r="Q200" t="s">
        <v>3169</v>
      </c>
      <c r="R200" t="s">
        <v>2067</v>
      </c>
      <c r="S200" t="s">
        <v>2065</v>
      </c>
      <c r="T200" t="s">
        <v>3239</v>
      </c>
      <c r="U200" t="b">
        <v>0</v>
      </c>
      <c r="V200" t="s">
        <v>2066</v>
      </c>
    </row>
    <row r="201" spans="1:22" x14ac:dyDescent="0.25">
      <c r="A201" t="s">
        <v>42</v>
      </c>
      <c r="B201">
        <v>39</v>
      </c>
      <c r="C201" t="s">
        <v>1019</v>
      </c>
      <c r="D201" t="s">
        <v>1232</v>
      </c>
      <c r="E201" t="s">
        <v>1018</v>
      </c>
      <c r="F201">
        <v>-425</v>
      </c>
      <c r="G201" t="s">
        <v>24</v>
      </c>
      <c r="H201" t="s">
        <v>26</v>
      </c>
      <c r="I201" t="s">
        <v>3167</v>
      </c>
      <c r="J201" t="s">
        <v>1021</v>
      </c>
      <c r="K201" t="s">
        <v>3183</v>
      </c>
      <c r="L201" t="s">
        <v>1021</v>
      </c>
      <c r="M201" t="s">
        <v>980</v>
      </c>
      <c r="N201" t="s">
        <v>1020</v>
      </c>
      <c r="O201" t="s">
        <v>1020</v>
      </c>
      <c r="P201" t="s">
        <v>1110</v>
      </c>
      <c r="Q201" t="s">
        <v>3169</v>
      </c>
      <c r="R201" t="s">
        <v>2067</v>
      </c>
      <c r="S201" t="s">
        <v>2065</v>
      </c>
      <c r="T201" t="s">
        <v>3239</v>
      </c>
      <c r="U201" t="b">
        <v>0</v>
      </c>
      <c r="V201" t="s">
        <v>2066</v>
      </c>
    </row>
    <row r="202" spans="1:22" x14ac:dyDescent="0.25">
      <c r="A202" t="s">
        <v>42</v>
      </c>
      <c r="B202">
        <v>39</v>
      </c>
      <c r="C202" t="s">
        <v>1024</v>
      </c>
      <c r="D202" t="s">
        <v>1234</v>
      </c>
      <c r="E202" t="s">
        <v>1023</v>
      </c>
      <c r="F202">
        <v>-431</v>
      </c>
      <c r="G202" t="s">
        <v>24</v>
      </c>
      <c r="H202" t="s">
        <v>26</v>
      </c>
      <c r="I202" t="s">
        <v>3167</v>
      </c>
      <c r="J202" t="s">
        <v>1026</v>
      </c>
      <c r="K202" t="s">
        <v>3185</v>
      </c>
      <c r="L202" t="s">
        <v>1026</v>
      </c>
      <c r="M202" t="s">
        <v>1000</v>
      </c>
      <c r="N202" t="s">
        <v>1025</v>
      </c>
      <c r="O202" t="s">
        <v>1025</v>
      </c>
      <c r="P202" t="s">
        <v>1110</v>
      </c>
      <c r="Q202" t="s">
        <v>3169</v>
      </c>
      <c r="R202" t="s">
        <v>2074</v>
      </c>
      <c r="S202" t="s">
        <v>2065</v>
      </c>
      <c r="T202" t="s">
        <v>3239</v>
      </c>
      <c r="U202" t="b">
        <v>0</v>
      </c>
      <c r="V202" t="s">
        <v>1950</v>
      </c>
    </row>
    <row r="203" spans="1:22" x14ac:dyDescent="0.25">
      <c r="A203" t="s">
        <v>42</v>
      </c>
      <c r="B203">
        <v>39</v>
      </c>
      <c r="C203" t="s">
        <v>1028</v>
      </c>
      <c r="D203" t="s">
        <v>3314</v>
      </c>
      <c r="E203" t="s">
        <v>1010</v>
      </c>
      <c r="F203" t="s">
        <v>3315</v>
      </c>
      <c r="G203" t="s">
        <v>24</v>
      </c>
      <c r="H203" t="s">
        <v>26</v>
      </c>
      <c r="I203" t="s">
        <v>3167</v>
      </c>
      <c r="J203" t="s">
        <v>1026</v>
      </c>
      <c r="K203" t="s">
        <v>3185</v>
      </c>
      <c r="L203" t="s">
        <v>1026</v>
      </c>
      <c r="M203" t="s">
        <v>1000</v>
      </c>
      <c r="N203" t="s">
        <v>1025</v>
      </c>
      <c r="O203" t="s">
        <v>1025</v>
      </c>
      <c r="P203" t="s">
        <v>1110</v>
      </c>
      <c r="Q203" t="s">
        <v>3169</v>
      </c>
      <c r="R203" t="s">
        <v>446</v>
      </c>
      <c r="S203" t="s">
        <v>446</v>
      </c>
      <c r="T203" t="s">
        <v>1965</v>
      </c>
      <c r="U203" t="b">
        <v>0</v>
      </c>
      <c r="V203" t="s">
        <v>446</v>
      </c>
    </row>
    <row r="204" spans="1:22" x14ac:dyDescent="0.25">
      <c r="A204" t="s">
        <v>42</v>
      </c>
      <c r="B204">
        <v>39</v>
      </c>
      <c r="C204" t="s">
        <v>1030</v>
      </c>
      <c r="D204" t="s">
        <v>1236</v>
      </c>
      <c r="E204" t="s">
        <v>1029</v>
      </c>
      <c r="F204">
        <v>-387</v>
      </c>
      <c r="G204" t="s">
        <v>24</v>
      </c>
      <c r="H204" t="s">
        <v>26</v>
      </c>
      <c r="I204" t="s">
        <v>3167</v>
      </c>
      <c r="J204" t="s">
        <v>1033</v>
      </c>
      <c r="K204" t="s">
        <v>3189</v>
      </c>
      <c r="L204" t="s">
        <v>1033</v>
      </c>
      <c r="M204" t="s">
        <v>980</v>
      </c>
      <c r="N204" t="s">
        <v>1031</v>
      </c>
      <c r="O204" t="s">
        <v>1031</v>
      </c>
      <c r="P204" t="s">
        <v>1110</v>
      </c>
      <c r="Q204" t="s">
        <v>3169</v>
      </c>
      <c r="R204" t="s">
        <v>2067</v>
      </c>
      <c r="S204" t="s">
        <v>2065</v>
      </c>
      <c r="T204" t="s">
        <v>3239</v>
      </c>
      <c r="U204" t="b">
        <v>0</v>
      </c>
      <c r="V204" t="s">
        <v>2066</v>
      </c>
    </row>
    <row r="205" spans="1:22" x14ac:dyDescent="0.25">
      <c r="A205" t="s">
        <v>42</v>
      </c>
      <c r="B205">
        <v>39</v>
      </c>
      <c r="C205" t="s">
        <v>1036</v>
      </c>
      <c r="D205" t="s">
        <v>1238</v>
      </c>
      <c r="E205" t="s">
        <v>1035</v>
      </c>
      <c r="F205">
        <v>-445</v>
      </c>
      <c r="G205" t="s">
        <v>24</v>
      </c>
      <c r="H205" t="s">
        <v>26</v>
      </c>
      <c r="I205" t="s">
        <v>3167</v>
      </c>
      <c r="J205" t="s">
        <v>1038</v>
      </c>
      <c r="K205" t="s">
        <v>3191</v>
      </c>
      <c r="L205" t="s">
        <v>1038</v>
      </c>
      <c r="M205" t="s">
        <v>980</v>
      </c>
      <c r="N205" t="s">
        <v>1037</v>
      </c>
      <c r="O205" t="s">
        <v>1037</v>
      </c>
      <c r="P205" t="s">
        <v>1110</v>
      </c>
      <c r="Q205" t="s">
        <v>3169</v>
      </c>
      <c r="R205" t="s">
        <v>2067</v>
      </c>
      <c r="S205" t="s">
        <v>2065</v>
      </c>
      <c r="T205" t="s">
        <v>3239</v>
      </c>
      <c r="U205" t="b">
        <v>0</v>
      </c>
      <c r="V205" t="s">
        <v>2066</v>
      </c>
    </row>
    <row r="206" spans="1:22" x14ac:dyDescent="0.25">
      <c r="A206" t="s">
        <v>42</v>
      </c>
      <c r="B206">
        <v>39</v>
      </c>
      <c r="C206" t="s">
        <v>1041</v>
      </c>
      <c r="D206" t="s">
        <v>1240</v>
      </c>
      <c r="E206" t="s">
        <v>1040</v>
      </c>
      <c r="F206">
        <v>-391</v>
      </c>
      <c r="G206" t="s">
        <v>24</v>
      </c>
      <c r="H206" t="s">
        <v>26</v>
      </c>
      <c r="I206" t="s">
        <v>3167</v>
      </c>
      <c r="J206" t="s">
        <v>1043</v>
      </c>
      <c r="K206" t="s">
        <v>3193</v>
      </c>
      <c r="L206" t="s">
        <v>1043</v>
      </c>
      <c r="M206" t="s">
        <v>980</v>
      </c>
      <c r="N206" t="s">
        <v>1042</v>
      </c>
      <c r="O206" t="s">
        <v>1042</v>
      </c>
      <c r="P206" t="s">
        <v>1110</v>
      </c>
      <c r="Q206" t="s">
        <v>3169</v>
      </c>
      <c r="R206" t="s">
        <v>2067</v>
      </c>
      <c r="S206" t="s">
        <v>2065</v>
      </c>
      <c r="T206" t="s">
        <v>3239</v>
      </c>
      <c r="U206" t="b">
        <v>0</v>
      </c>
      <c r="V206" t="s">
        <v>2066</v>
      </c>
    </row>
    <row r="207" spans="1:22" x14ac:dyDescent="0.25">
      <c r="A207" t="s">
        <v>42</v>
      </c>
      <c r="B207">
        <v>39</v>
      </c>
      <c r="C207" t="s">
        <v>1046</v>
      </c>
      <c r="D207" t="s">
        <v>1242</v>
      </c>
      <c r="E207" t="s">
        <v>1045</v>
      </c>
      <c r="F207">
        <v>-431</v>
      </c>
      <c r="G207" t="s">
        <v>24</v>
      </c>
      <c r="H207" t="s">
        <v>26</v>
      </c>
      <c r="I207" t="s">
        <v>3167</v>
      </c>
      <c r="J207" t="s">
        <v>1048</v>
      </c>
      <c r="K207" t="s">
        <v>3195</v>
      </c>
      <c r="L207" t="s">
        <v>1048</v>
      </c>
      <c r="M207" t="s">
        <v>1000</v>
      </c>
      <c r="N207" t="s">
        <v>1047</v>
      </c>
      <c r="O207" t="s">
        <v>1047</v>
      </c>
      <c r="P207" t="s">
        <v>1110</v>
      </c>
      <c r="Q207" t="s">
        <v>3169</v>
      </c>
      <c r="R207" t="s">
        <v>2074</v>
      </c>
      <c r="S207" t="s">
        <v>2065</v>
      </c>
      <c r="T207" t="s">
        <v>3239</v>
      </c>
      <c r="U207" t="b">
        <v>0</v>
      </c>
      <c r="V207" t="s">
        <v>1950</v>
      </c>
    </row>
    <row r="208" spans="1:22" x14ac:dyDescent="0.25">
      <c r="A208" t="s">
        <v>42</v>
      </c>
      <c r="B208">
        <v>39</v>
      </c>
      <c r="C208" t="s">
        <v>1050</v>
      </c>
      <c r="D208" t="s">
        <v>3316</v>
      </c>
      <c r="E208" t="s">
        <v>1032</v>
      </c>
      <c r="F208" t="s">
        <v>3317</v>
      </c>
      <c r="G208" t="s">
        <v>24</v>
      </c>
      <c r="H208" t="s">
        <v>26</v>
      </c>
      <c r="I208" t="s">
        <v>3167</v>
      </c>
      <c r="J208" t="s">
        <v>1048</v>
      </c>
      <c r="K208" t="s">
        <v>3195</v>
      </c>
      <c r="L208" t="s">
        <v>1048</v>
      </c>
      <c r="M208" t="s">
        <v>1000</v>
      </c>
      <c r="N208" t="s">
        <v>1047</v>
      </c>
      <c r="O208" t="s">
        <v>1047</v>
      </c>
      <c r="P208" t="s">
        <v>1110</v>
      </c>
      <c r="Q208" t="s">
        <v>3169</v>
      </c>
      <c r="R208" t="s">
        <v>446</v>
      </c>
      <c r="S208" t="s">
        <v>446</v>
      </c>
      <c r="T208" t="s">
        <v>1965</v>
      </c>
      <c r="U208" t="b">
        <v>0</v>
      </c>
      <c r="V208" t="s">
        <v>446</v>
      </c>
    </row>
    <row r="209" spans="1:22" x14ac:dyDescent="0.25">
      <c r="A209" t="s">
        <v>42</v>
      </c>
      <c r="B209">
        <v>39</v>
      </c>
      <c r="C209" t="s">
        <v>1052</v>
      </c>
      <c r="D209" t="s">
        <v>1244</v>
      </c>
      <c r="E209" t="s">
        <v>1051</v>
      </c>
      <c r="F209">
        <v>-375</v>
      </c>
      <c r="G209" t="s">
        <v>24</v>
      </c>
      <c r="H209" t="s">
        <v>26</v>
      </c>
      <c r="I209" t="s">
        <v>3167</v>
      </c>
      <c r="J209" t="s">
        <v>1055</v>
      </c>
      <c r="K209" t="s">
        <v>3199</v>
      </c>
      <c r="L209" t="s">
        <v>1055</v>
      </c>
      <c r="M209" t="s">
        <v>980</v>
      </c>
      <c r="N209" t="s">
        <v>1053</v>
      </c>
      <c r="O209" t="s">
        <v>1053</v>
      </c>
      <c r="P209" t="s">
        <v>1110</v>
      </c>
      <c r="Q209" t="s">
        <v>3169</v>
      </c>
      <c r="R209" t="s">
        <v>2067</v>
      </c>
      <c r="S209" t="s">
        <v>2065</v>
      </c>
      <c r="T209" t="s">
        <v>3239</v>
      </c>
      <c r="U209" t="b">
        <v>0</v>
      </c>
      <c r="V209" t="s">
        <v>2066</v>
      </c>
    </row>
    <row r="210" spans="1:22" x14ac:dyDescent="0.25">
      <c r="A210" t="s">
        <v>42</v>
      </c>
      <c r="B210">
        <v>40</v>
      </c>
      <c r="C210" t="s">
        <v>979</v>
      </c>
      <c r="D210" t="s">
        <v>1246</v>
      </c>
      <c r="E210" t="s">
        <v>978</v>
      </c>
      <c r="F210">
        <v>0</v>
      </c>
      <c r="G210" t="s">
        <v>24</v>
      </c>
      <c r="H210" t="s">
        <v>26</v>
      </c>
      <c r="I210" t="s">
        <v>3167</v>
      </c>
      <c r="J210" t="s">
        <v>984</v>
      </c>
      <c r="K210" t="s">
        <v>3168</v>
      </c>
      <c r="L210" t="s">
        <v>984</v>
      </c>
      <c r="M210" t="s">
        <v>980</v>
      </c>
      <c r="N210" t="s">
        <v>981</v>
      </c>
      <c r="O210" t="s">
        <v>981</v>
      </c>
      <c r="P210" t="s">
        <v>1110</v>
      </c>
      <c r="Q210" t="s">
        <v>3169</v>
      </c>
      <c r="R210" t="s">
        <v>2080</v>
      </c>
      <c r="S210" t="s">
        <v>2080</v>
      </c>
      <c r="T210" t="s">
        <v>3271</v>
      </c>
      <c r="U210" t="b">
        <v>0</v>
      </c>
      <c r="V210" t="s">
        <v>1950</v>
      </c>
    </row>
    <row r="211" spans="1:22" x14ac:dyDescent="0.25">
      <c r="A211" t="s">
        <v>42</v>
      </c>
      <c r="B211">
        <v>40</v>
      </c>
      <c r="C211" t="s">
        <v>987</v>
      </c>
      <c r="D211" t="s">
        <v>1247</v>
      </c>
      <c r="E211" t="s">
        <v>986</v>
      </c>
      <c r="F211">
        <v>0</v>
      </c>
      <c r="G211" t="s">
        <v>24</v>
      </c>
      <c r="H211" t="s">
        <v>26</v>
      </c>
      <c r="I211" t="s">
        <v>3167</v>
      </c>
      <c r="J211" t="s">
        <v>990</v>
      </c>
      <c r="K211" t="s">
        <v>3171</v>
      </c>
      <c r="L211" t="s">
        <v>990</v>
      </c>
      <c r="M211" t="s">
        <v>980</v>
      </c>
      <c r="N211" t="s">
        <v>988</v>
      </c>
      <c r="O211" t="s">
        <v>988</v>
      </c>
      <c r="P211" t="s">
        <v>1110</v>
      </c>
      <c r="Q211" t="s">
        <v>3169</v>
      </c>
      <c r="R211" t="s">
        <v>2080</v>
      </c>
      <c r="S211" t="s">
        <v>2080</v>
      </c>
      <c r="T211" t="s">
        <v>3271</v>
      </c>
      <c r="U211" t="b">
        <v>0</v>
      </c>
      <c r="V211" t="s">
        <v>1950</v>
      </c>
    </row>
    <row r="212" spans="1:22" x14ac:dyDescent="0.25">
      <c r="A212" t="s">
        <v>42</v>
      </c>
      <c r="B212">
        <v>40</v>
      </c>
      <c r="C212" t="s">
        <v>993</v>
      </c>
      <c r="D212" t="s">
        <v>1248</v>
      </c>
      <c r="E212" t="s">
        <v>992</v>
      </c>
      <c r="F212">
        <v>0</v>
      </c>
      <c r="G212" t="s">
        <v>24</v>
      </c>
      <c r="H212" t="s">
        <v>26</v>
      </c>
      <c r="I212" t="s">
        <v>3167</v>
      </c>
      <c r="J212" t="s">
        <v>996</v>
      </c>
      <c r="K212" t="s">
        <v>3173</v>
      </c>
      <c r="L212" t="s">
        <v>996</v>
      </c>
      <c r="M212" t="s">
        <v>980</v>
      </c>
      <c r="N212" t="s">
        <v>994</v>
      </c>
      <c r="O212" t="s">
        <v>994</v>
      </c>
      <c r="P212" t="s">
        <v>1110</v>
      </c>
      <c r="Q212" t="s">
        <v>3169</v>
      </c>
      <c r="R212" t="s">
        <v>2080</v>
      </c>
      <c r="S212" t="s">
        <v>2080</v>
      </c>
      <c r="T212" t="s">
        <v>3271</v>
      </c>
      <c r="U212" t="b">
        <v>0</v>
      </c>
      <c r="V212" t="s">
        <v>1950</v>
      </c>
    </row>
    <row r="213" spans="1:22" x14ac:dyDescent="0.25">
      <c r="A213" t="s">
        <v>42</v>
      </c>
      <c r="B213">
        <v>40</v>
      </c>
      <c r="C213" t="s">
        <v>999</v>
      </c>
      <c r="D213" t="s">
        <v>1249</v>
      </c>
      <c r="E213" t="s">
        <v>998</v>
      </c>
      <c r="F213">
        <v>0</v>
      </c>
      <c r="G213" t="s">
        <v>24</v>
      </c>
      <c r="H213" t="s">
        <v>26</v>
      </c>
      <c r="I213" t="s">
        <v>3167</v>
      </c>
      <c r="J213" t="s">
        <v>1003</v>
      </c>
      <c r="K213" t="s">
        <v>3175</v>
      </c>
      <c r="L213" t="s">
        <v>1003</v>
      </c>
      <c r="M213" t="s">
        <v>1000</v>
      </c>
      <c r="N213" t="s">
        <v>1001</v>
      </c>
      <c r="O213" t="s">
        <v>1001</v>
      </c>
      <c r="P213" t="s">
        <v>1110</v>
      </c>
      <c r="Q213" t="s">
        <v>3169</v>
      </c>
      <c r="R213" t="s">
        <v>2080</v>
      </c>
      <c r="S213" t="s">
        <v>2080</v>
      </c>
      <c r="T213" t="s">
        <v>3271</v>
      </c>
      <c r="U213" t="b">
        <v>0</v>
      </c>
      <c r="V213" t="s">
        <v>1950</v>
      </c>
    </row>
    <row r="214" spans="1:22" x14ac:dyDescent="0.25">
      <c r="A214" t="s">
        <v>42</v>
      </c>
      <c r="B214">
        <v>40</v>
      </c>
      <c r="C214" t="s">
        <v>1005</v>
      </c>
      <c r="D214" t="s">
        <v>3318</v>
      </c>
      <c r="E214" t="s">
        <v>982</v>
      </c>
      <c r="F214" t="s">
        <v>3218</v>
      </c>
      <c r="G214" t="s">
        <v>24</v>
      </c>
      <c r="H214" t="s">
        <v>26</v>
      </c>
      <c r="I214" t="s">
        <v>3167</v>
      </c>
      <c r="J214" t="s">
        <v>1003</v>
      </c>
      <c r="K214" t="s">
        <v>3175</v>
      </c>
      <c r="L214" t="s">
        <v>1003</v>
      </c>
      <c r="M214" t="s">
        <v>1000</v>
      </c>
      <c r="N214" t="s">
        <v>1001</v>
      </c>
      <c r="O214" t="s">
        <v>1001</v>
      </c>
      <c r="P214" t="s">
        <v>1110</v>
      </c>
      <c r="Q214" t="s">
        <v>3169</v>
      </c>
      <c r="R214" t="s">
        <v>446</v>
      </c>
      <c r="S214" t="s">
        <v>446</v>
      </c>
      <c r="T214" t="s">
        <v>1965</v>
      </c>
      <c r="U214" t="b">
        <v>0</v>
      </c>
      <c r="V214" t="s">
        <v>446</v>
      </c>
    </row>
    <row r="215" spans="1:22" x14ac:dyDescent="0.25">
      <c r="A215" t="s">
        <v>42</v>
      </c>
      <c r="B215">
        <v>40</v>
      </c>
      <c r="C215" t="s">
        <v>1007</v>
      </c>
      <c r="D215" t="s">
        <v>1250</v>
      </c>
      <c r="E215" t="s">
        <v>1006</v>
      </c>
      <c r="F215">
        <v>0</v>
      </c>
      <c r="G215" t="s">
        <v>24</v>
      </c>
      <c r="H215" t="s">
        <v>26</v>
      </c>
      <c r="I215" t="s">
        <v>3167</v>
      </c>
      <c r="J215" t="s">
        <v>1011</v>
      </c>
      <c r="K215" t="s">
        <v>3179</v>
      </c>
      <c r="L215" t="s">
        <v>1011</v>
      </c>
      <c r="M215" t="s">
        <v>1008</v>
      </c>
      <c r="N215" t="s">
        <v>1009</v>
      </c>
      <c r="O215" t="s">
        <v>1009</v>
      </c>
      <c r="P215" t="s">
        <v>1110</v>
      </c>
      <c r="Q215" t="s">
        <v>3169</v>
      </c>
      <c r="R215" t="s">
        <v>2080</v>
      </c>
      <c r="S215" t="s">
        <v>2080</v>
      </c>
      <c r="T215" t="s">
        <v>3271</v>
      </c>
      <c r="U215" t="b">
        <v>0</v>
      </c>
      <c r="V215" t="s">
        <v>1950</v>
      </c>
    </row>
    <row r="216" spans="1:22" x14ac:dyDescent="0.25">
      <c r="A216" t="s">
        <v>42</v>
      </c>
      <c r="B216">
        <v>40</v>
      </c>
      <c r="C216" t="s">
        <v>1014</v>
      </c>
      <c r="D216" t="s">
        <v>1251</v>
      </c>
      <c r="E216" t="s">
        <v>1013</v>
      </c>
      <c r="F216">
        <v>0</v>
      </c>
      <c r="G216" t="s">
        <v>24</v>
      </c>
      <c r="H216" t="s">
        <v>26</v>
      </c>
      <c r="I216" t="s">
        <v>3167</v>
      </c>
      <c r="J216" t="s">
        <v>1016</v>
      </c>
      <c r="K216" t="s">
        <v>3181</v>
      </c>
      <c r="L216" t="s">
        <v>1016</v>
      </c>
      <c r="M216" t="s">
        <v>980</v>
      </c>
      <c r="N216" t="s">
        <v>1015</v>
      </c>
      <c r="O216" t="s">
        <v>1015</v>
      </c>
      <c r="P216" t="s">
        <v>1110</v>
      </c>
      <c r="Q216" t="s">
        <v>3169</v>
      </c>
      <c r="R216" t="s">
        <v>2080</v>
      </c>
      <c r="S216" t="s">
        <v>2080</v>
      </c>
      <c r="T216" t="s">
        <v>3271</v>
      </c>
      <c r="U216" t="b">
        <v>0</v>
      </c>
      <c r="V216" t="s">
        <v>1950</v>
      </c>
    </row>
    <row r="217" spans="1:22" x14ac:dyDescent="0.25">
      <c r="A217" t="s">
        <v>42</v>
      </c>
      <c r="B217">
        <v>40</v>
      </c>
      <c r="C217" t="s">
        <v>1019</v>
      </c>
      <c r="D217" t="s">
        <v>1252</v>
      </c>
      <c r="E217" t="s">
        <v>1018</v>
      </c>
      <c r="F217">
        <v>0</v>
      </c>
      <c r="G217" t="s">
        <v>24</v>
      </c>
      <c r="H217" t="s">
        <v>26</v>
      </c>
      <c r="I217" t="s">
        <v>3167</v>
      </c>
      <c r="J217" t="s">
        <v>1021</v>
      </c>
      <c r="K217" t="s">
        <v>3183</v>
      </c>
      <c r="L217" t="s">
        <v>1021</v>
      </c>
      <c r="M217" t="s">
        <v>980</v>
      </c>
      <c r="N217" t="s">
        <v>1020</v>
      </c>
      <c r="O217" t="s">
        <v>1020</v>
      </c>
      <c r="P217" t="s">
        <v>1110</v>
      </c>
      <c r="Q217" t="s">
        <v>3169</v>
      </c>
      <c r="R217" t="s">
        <v>2080</v>
      </c>
      <c r="S217" t="s">
        <v>2080</v>
      </c>
      <c r="T217" t="s">
        <v>3271</v>
      </c>
      <c r="U217" t="b">
        <v>0</v>
      </c>
      <c r="V217" t="s">
        <v>1950</v>
      </c>
    </row>
    <row r="218" spans="1:22" x14ac:dyDescent="0.25">
      <c r="A218" t="s">
        <v>42</v>
      </c>
      <c r="B218">
        <v>40</v>
      </c>
      <c r="C218" t="s">
        <v>1024</v>
      </c>
      <c r="D218" t="s">
        <v>1253</v>
      </c>
      <c r="E218" t="s">
        <v>1023</v>
      </c>
      <c r="F218">
        <v>0</v>
      </c>
      <c r="G218" t="s">
        <v>24</v>
      </c>
      <c r="H218" t="s">
        <v>26</v>
      </c>
      <c r="I218" t="s">
        <v>3167</v>
      </c>
      <c r="J218" t="s">
        <v>1026</v>
      </c>
      <c r="K218" t="s">
        <v>3185</v>
      </c>
      <c r="L218" t="s">
        <v>1026</v>
      </c>
      <c r="M218" t="s">
        <v>1000</v>
      </c>
      <c r="N218" t="s">
        <v>1025</v>
      </c>
      <c r="O218" t="s">
        <v>1025</v>
      </c>
      <c r="P218" t="s">
        <v>1110</v>
      </c>
      <c r="Q218" t="s">
        <v>3169</v>
      </c>
      <c r="R218" t="s">
        <v>2080</v>
      </c>
      <c r="S218" t="s">
        <v>2080</v>
      </c>
      <c r="T218" t="s">
        <v>3271</v>
      </c>
      <c r="U218" t="b">
        <v>0</v>
      </c>
      <c r="V218" t="s">
        <v>1950</v>
      </c>
    </row>
    <row r="219" spans="1:22" x14ac:dyDescent="0.25">
      <c r="A219" t="s">
        <v>42</v>
      </c>
      <c r="B219">
        <v>40</v>
      </c>
      <c r="C219" t="s">
        <v>1028</v>
      </c>
      <c r="D219" t="s">
        <v>3319</v>
      </c>
      <c r="E219" t="s">
        <v>1010</v>
      </c>
      <c r="F219" t="s">
        <v>3218</v>
      </c>
      <c r="G219" t="s">
        <v>24</v>
      </c>
      <c r="H219" t="s">
        <v>26</v>
      </c>
      <c r="I219" t="s">
        <v>3167</v>
      </c>
      <c r="J219" t="s">
        <v>1026</v>
      </c>
      <c r="K219" t="s">
        <v>3185</v>
      </c>
      <c r="L219" t="s">
        <v>1026</v>
      </c>
      <c r="M219" t="s">
        <v>1000</v>
      </c>
      <c r="N219" t="s">
        <v>1025</v>
      </c>
      <c r="O219" t="s">
        <v>1025</v>
      </c>
      <c r="P219" t="s">
        <v>1110</v>
      </c>
      <c r="Q219" t="s">
        <v>3169</v>
      </c>
      <c r="R219" t="s">
        <v>446</v>
      </c>
      <c r="S219" t="s">
        <v>446</v>
      </c>
      <c r="T219" t="s">
        <v>1965</v>
      </c>
      <c r="U219" t="b">
        <v>0</v>
      </c>
      <c r="V219" t="s">
        <v>446</v>
      </c>
    </row>
    <row r="220" spans="1:22" x14ac:dyDescent="0.25">
      <c r="A220" t="s">
        <v>42</v>
      </c>
      <c r="B220">
        <v>40</v>
      </c>
      <c r="C220" t="s">
        <v>1030</v>
      </c>
      <c r="D220" t="s">
        <v>1254</v>
      </c>
      <c r="E220" t="s">
        <v>1029</v>
      </c>
      <c r="F220">
        <v>0</v>
      </c>
      <c r="G220" t="s">
        <v>24</v>
      </c>
      <c r="H220" t="s">
        <v>26</v>
      </c>
      <c r="I220" t="s">
        <v>3167</v>
      </c>
      <c r="J220" t="s">
        <v>1033</v>
      </c>
      <c r="K220" t="s">
        <v>3189</v>
      </c>
      <c r="L220" t="s">
        <v>1033</v>
      </c>
      <c r="M220" t="s">
        <v>980</v>
      </c>
      <c r="N220" t="s">
        <v>1031</v>
      </c>
      <c r="O220" t="s">
        <v>1031</v>
      </c>
      <c r="P220" t="s">
        <v>1110</v>
      </c>
      <c r="Q220" t="s">
        <v>3169</v>
      </c>
      <c r="R220" t="s">
        <v>2080</v>
      </c>
      <c r="S220" t="s">
        <v>2080</v>
      </c>
      <c r="T220" t="s">
        <v>3271</v>
      </c>
      <c r="U220" t="b">
        <v>0</v>
      </c>
      <c r="V220" t="s">
        <v>1950</v>
      </c>
    </row>
    <row r="221" spans="1:22" x14ac:dyDescent="0.25">
      <c r="A221" t="s">
        <v>42</v>
      </c>
      <c r="B221">
        <v>40</v>
      </c>
      <c r="C221" t="s">
        <v>1036</v>
      </c>
      <c r="D221" t="s">
        <v>1255</v>
      </c>
      <c r="E221" t="s">
        <v>1035</v>
      </c>
      <c r="F221">
        <v>0</v>
      </c>
      <c r="G221" t="s">
        <v>24</v>
      </c>
      <c r="H221" t="s">
        <v>26</v>
      </c>
      <c r="I221" t="s">
        <v>3167</v>
      </c>
      <c r="J221" t="s">
        <v>1038</v>
      </c>
      <c r="K221" t="s">
        <v>3191</v>
      </c>
      <c r="L221" t="s">
        <v>1038</v>
      </c>
      <c r="M221" t="s">
        <v>980</v>
      </c>
      <c r="N221" t="s">
        <v>1037</v>
      </c>
      <c r="O221" t="s">
        <v>1037</v>
      </c>
      <c r="P221" t="s">
        <v>1110</v>
      </c>
      <c r="Q221" t="s">
        <v>3169</v>
      </c>
      <c r="R221" t="s">
        <v>2080</v>
      </c>
      <c r="S221" t="s">
        <v>2080</v>
      </c>
      <c r="T221" t="s">
        <v>3271</v>
      </c>
      <c r="U221" t="b">
        <v>0</v>
      </c>
      <c r="V221" t="s">
        <v>1950</v>
      </c>
    </row>
    <row r="222" spans="1:22" x14ac:dyDescent="0.25">
      <c r="A222" t="s">
        <v>42</v>
      </c>
      <c r="B222">
        <v>40</v>
      </c>
      <c r="C222" t="s">
        <v>1041</v>
      </c>
      <c r="D222" t="s">
        <v>1256</v>
      </c>
      <c r="E222" t="s">
        <v>1040</v>
      </c>
      <c r="F222">
        <v>0</v>
      </c>
      <c r="G222" t="s">
        <v>24</v>
      </c>
      <c r="H222" t="s">
        <v>26</v>
      </c>
      <c r="I222" t="s">
        <v>3167</v>
      </c>
      <c r="J222" t="s">
        <v>1043</v>
      </c>
      <c r="K222" t="s">
        <v>3193</v>
      </c>
      <c r="L222" t="s">
        <v>1043</v>
      </c>
      <c r="M222" t="s">
        <v>980</v>
      </c>
      <c r="N222" t="s">
        <v>1042</v>
      </c>
      <c r="O222" t="s">
        <v>1042</v>
      </c>
      <c r="P222" t="s">
        <v>1110</v>
      </c>
      <c r="Q222" t="s">
        <v>3169</v>
      </c>
      <c r="R222" t="s">
        <v>2080</v>
      </c>
      <c r="S222" t="s">
        <v>2080</v>
      </c>
      <c r="T222" t="s">
        <v>3271</v>
      </c>
      <c r="U222" t="b">
        <v>0</v>
      </c>
      <c r="V222" t="s">
        <v>1950</v>
      </c>
    </row>
    <row r="223" spans="1:22" x14ac:dyDescent="0.25">
      <c r="A223" t="s">
        <v>42</v>
      </c>
      <c r="B223">
        <v>40</v>
      </c>
      <c r="C223" t="s">
        <v>1046</v>
      </c>
      <c r="D223" t="s">
        <v>1257</v>
      </c>
      <c r="E223" t="s">
        <v>1045</v>
      </c>
      <c r="F223">
        <v>0</v>
      </c>
      <c r="G223" t="s">
        <v>24</v>
      </c>
      <c r="H223" t="s">
        <v>26</v>
      </c>
      <c r="I223" t="s">
        <v>3167</v>
      </c>
      <c r="J223" t="s">
        <v>1048</v>
      </c>
      <c r="K223" t="s">
        <v>3195</v>
      </c>
      <c r="L223" t="s">
        <v>1048</v>
      </c>
      <c r="M223" t="s">
        <v>1000</v>
      </c>
      <c r="N223" t="s">
        <v>1047</v>
      </c>
      <c r="O223" t="s">
        <v>1047</v>
      </c>
      <c r="P223" t="s">
        <v>1110</v>
      </c>
      <c r="Q223" t="s">
        <v>3169</v>
      </c>
      <c r="R223" t="s">
        <v>2080</v>
      </c>
      <c r="S223" t="s">
        <v>2080</v>
      </c>
      <c r="T223" t="s">
        <v>3271</v>
      </c>
      <c r="U223" t="b">
        <v>0</v>
      </c>
      <c r="V223" t="s">
        <v>1950</v>
      </c>
    </row>
    <row r="224" spans="1:22" x14ac:dyDescent="0.25">
      <c r="A224" t="s">
        <v>42</v>
      </c>
      <c r="B224">
        <v>40</v>
      </c>
      <c r="C224" t="s">
        <v>1050</v>
      </c>
      <c r="D224" t="s">
        <v>3320</v>
      </c>
      <c r="E224" t="s">
        <v>1032</v>
      </c>
      <c r="F224" t="s">
        <v>3218</v>
      </c>
      <c r="G224" t="s">
        <v>24</v>
      </c>
      <c r="H224" t="s">
        <v>26</v>
      </c>
      <c r="I224" t="s">
        <v>3167</v>
      </c>
      <c r="J224" t="s">
        <v>1048</v>
      </c>
      <c r="K224" t="s">
        <v>3195</v>
      </c>
      <c r="L224" t="s">
        <v>1048</v>
      </c>
      <c r="M224" t="s">
        <v>1000</v>
      </c>
      <c r="N224" t="s">
        <v>1047</v>
      </c>
      <c r="O224" t="s">
        <v>1047</v>
      </c>
      <c r="P224" t="s">
        <v>1110</v>
      </c>
      <c r="Q224" t="s">
        <v>3169</v>
      </c>
      <c r="R224" t="s">
        <v>446</v>
      </c>
      <c r="S224" t="s">
        <v>446</v>
      </c>
      <c r="T224" t="s">
        <v>1965</v>
      </c>
      <c r="U224" t="b">
        <v>0</v>
      </c>
      <c r="V224" t="s">
        <v>446</v>
      </c>
    </row>
    <row r="225" spans="1:22" x14ac:dyDescent="0.25">
      <c r="A225" t="s">
        <v>42</v>
      </c>
      <c r="B225">
        <v>40</v>
      </c>
      <c r="C225" t="s">
        <v>1052</v>
      </c>
      <c r="D225" t="s">
        <v>1258</v>
      </c>
      <c r="E225" t="s">
        <v>1051</v>
      </c>
      <c r="F225">
        <v>0</v>
      </c>
      <c r="G225" t="s">
        <v>24</v>
      </c>
      <c r="H225" t="s">
        <v>26</v>
      </c>
      <c r="I225" t="s">
        <v>3167</v>
      </c>
      <c r="J225" t="s">
        <v>1055</v>
      </c>
      <c r="K225" t="s">
        <v>3199</v>
      </c>
      <c r="L225" t="s">
        <v>1055</v>
      </c>
      <c r="M225" t="s">
        <v>980</v>
      </c>
      <c r="N225" t="s">
        <v>1053</v>
      </c>
      <c r="O225" t="s">
        <v>1053</v>
      </c>
      <c r="P225" t="s">
        <v>1110</v>
      </c>
      <c r="Q225" t="s">
        <v>3169</v>
      </c>
      <c r="R225" t="s">
        <v>2080</v>
      </c>
      <c r="S225" t="s">
        <v>2080</v>
      </c>
      <c r="T225" t="s">
        <v>3271</v>
      </c>
      <c r="U225" t="b">
        <v>0</v>
      </c>
      <c r="V225" t="s">
        <v>1950</v>
      </c>
    </row>
    <row r="226" spans="1:22" x14ac:dyDescent="0.25">
      <c r="A226" t="s">
        <v>42</v>
      </c>
      <c r="B226">
        <v>41</v>
      </c>
      <c r="C226" t="s">
        <v>979</v>
      </c>
      <c r="D226" t="s">
        <v>1259</v>
      </c>
      <c r="E226" t="s">
        <v>978</v>
      </c>
      <c r="F226">
        <v>615</v>
      </c>
      <c r="G226" t="s">
        <v>24</v>
      </c>
      <c r="H226" t="s">
        <v>26</v>
      </c>
      <c r="I226" t="s">
        <v>3167</v>
      </c>
      <c r="J226" t="s">
        <v>984</v>
      </c>
      <c r="K226" t="s">
        <v>3168</v>
      </c>
      <c r="L226" t="s">
        <v>984</v>
      </c>
      <c r="M226" t="s">
        <v>980</v>
      </c>
      <c r="N226" t="s">
        <v>981</v>
      </c>
      <c r="O226" t="s">
        <v>981</v>
      </c>
      <c r="P226" t="s">
        <v>1110</v>
      </c>
      <c r="Q226" t="s">
        <v>3169</v>
      </c>
      <c r="R226" t="s">
        <v>2084</v>
      </c>
      <c r="S226" t="s">
        <v>3321</v>
      </c>
      <c r="T226" t="s">
        <v>3239</v>
      </c>
      <c r="U226" t="b">
        <v>0</v>
      </c>
      <c r="V226" t="s">
        <v>2087</v>
      </c>
    </row>
    <row r="227" spans="1:22" x14ac:dyDescent="0.25">
      <c r="A227" t="s">
        <v>42</v>
      </c>
      <c r="B227">
        <v>41</v>
      </c>
      <c r="C227" t="s">
        <v>987</v>
      </c>
      <c r="D227" t="s">
        <v>1260</v>
      </c>
      <c r="E227" t="s">
        <v>986</v>
      </c>
      <c r="F227">
        <v>91</v>
      </c>
      <c r="G227" t="s">
        <v>24</v>
      </c>
      <c r="H227" t="s">
        <v>26</v>
      </c>
      <c r="I227" t="s">
        <v>3167</v>
      </c>
      <c r="J227" t="s">
        <v>990</v>
      </c>
      <c r="K227" t="s">
        <v>3171</v>
      </c>
      <c r="L227" t="s">
        <v>990</v>
      </c>
      <c r="M227" t="s">
        <v>980</v>
      </c>
      <c r="N227" t="s">
        <v>988</v>
      </c>
      <c r="O227" t="s">
        <v>988</v>
      </c>
      <c r="P227" t="s">
        <v>1110</v>
      </c>
      <c r="Q227" t="s">
        <v>3169</v>
      </c>
      <c r="R227" t="s">
        <v>2084</v>
      </c>
      <c r="S227" t="s">
        <v>3321</v>
      </c>
      <c r="T227" t="s">
        <v>3239</v>
      </c>
      <c r="U227" t="b">
        <v>0</v>
      </c>
      <c r="V227" t="s">
        <v>2087</v>
      </c>
    </row>
    <row r="228" spans="1:22" x14ac:dyDescent="0.25">
      <c r="A228" t="s">
        <v>42</v>
      </c>
      <c r="B228">
        <v>41</v>
      </c>
      <c r="C228" t="s">
        <v>993</v>
      </c>
      <c r="D228" t="s">
        <v>1261</v>
      </c>
      <c r="E228" t="s">
        <v>992</v>
      </c>
      <c r="F228">
        <v>-130</v>
      </c>
      <c r="G228" t="s">
        <v>24</v>
      </c>
      <c r="H228" t="s">
        <v>26</v>
      </c>
      <c r="I228" t="s">
        <v>3167</v>
      </c>
      <c r="J228" t="s">
        <v>996</v>
      </c>
      <c r="K228" t="s">
        <v>3173</v>
      </c>
      <c r="L228" t="s">
        <v>996</v>
      </c>
      <c r="M228" t="s">
        <v>980</v>
      </c>
      <c r="N228" t="s">
        <v>994</v>
      </c>
      <c r="O228" t="s">
        <v>994</v>
      </c>
      <c r="P228" t="s">
        <v>1110</v>
      </c>
      <c r="Q228" t="s">
        <v>3169</v>
      </c>
      <c r="R228" t="s">
        <v>2084</v>
      </c>
      <c r="S228" t="s">
        <v>3321</v>
      </c>
      <c r="T228" t="s">
        <v>3239</v>
      </c>
      <c r="U228" t="b">
        <v>0</v>
      </c>
      <c r="V228" t="s">
        <v>2087</v>
      </c>
    </row>
    <row r="229" spans="1:22" x14ac:dyDescent="0.25">
      <c r="A229" t="s">
        <v>42</v>
      </c>
      <c r="B229">
        <v>41</v>
      </c>
      <c r="C229" t="s">
        <v>999</v>
      </c>
      <c r="D229" t="s">
        <v>1262</v>
      </c>
      <c r="E229" t="s">
        <v>998</v>
      </c>
      <c r="F229">
        <v>-6</v>
      </c>
      <c r="G229" t="s">
        <v>24</v>
      </c>
      <c r="H229" t="s">
        <v>26</v>
      </c>
      <c r="I229" t="s">
        <v>3167</v>
      </c>
      <c r="J229" t="s">
        <v>1003</v>
      </c>
      <c r="K229" t="s">
        <v>3175</v>
      </c>
      <c r="L229" t="s">
        <v>1003</v>
      </c>
      <c r="M229" t="s">
        <v>1000</v>
      </c>
      <c r="N229" t="s">
        <v>1001</v>
      </c>
      <c r="O229" t="s">
        <v>1001</v>
      </c>
      <c r="P229" t="s">
        <v>1110</v>
      </c>
      <c r="Q229" t="s">
        <v>3169</v>
      </c>
      <c r="R229" t="s">
        <v>2084</v>
      </c>
      <c r="S229" t="s">
        <v>3321</v>
      </c>
      <c r="T229" t="s">
        <v>3239</v>
      </c>
      <c r="U229" t="b">
        <v>0</v>
      </c>
      <c r="V229" t="s">
        <v>2087</v>
      </c>
    </row>
    <row r="230" spans="1:22" x14ac:dyDescent="0.25">
      <c r="A230" t="s">
        <v>42</v>
      </c>
      <c r="B230">
        <v>41</v>
      </c>
      <c r="C230" t="s">
        <v>1005</v>
      </c>
      <c r="D230" t="s">
        <v>3322</v>
      </c>
      <c r="E230" t="s">
        <v>982</v>
      </c>
      <c r="F230" t="s">
        <v>3323</v>
      </c>
      <c r="G230" t="s">
        <v>24</v>
      </c>
      <c r="H230" t="s">
        <v>26</v>
      </c>
      <c r="I230" t="s">
        <v>3167</v>
      </c>
      <c r="J230" t="s">
        <v>1003</v>
      </c>
      <c r="K230" t="s">
        <v>3175</v>
      </c>
      <c r="L230" t="s">
        <v>1003</v>
      </c>
      <c r="M230" t="s">
        <v>1000</v>
      </c>
      <c r="N230" t="s">
        <v>1001</v>
      </c>
      <c r="O230" t="s">
        <v>1001</v>
      </c>
      <c r="P230" t="s">
        <v>1110</v>
      </c>
      <c r="Q230" t="s">
        <v>3169</v>
      </c>
      <c r="R230" t="s">
        <v>446</v>
      </c>
      <c r="S230" t="s">
        <v>446</v>
      </c>
      <c r="T230" t="s">
        <v>1965</v>
      </c>
      <c r="U230" t="b">
        <v>0</v>
      </c>
      <c r="V230" t="s">
        <v>446</v>
      </c>
    </row>
    <row r="231" spans="1:22" x14ac:dyDescent="0.25">
      <c r="A231" t="s">
        <v>42</v>
      </c>
      <c r="B231">
        <v>41</v>
      </c>
      <c r="C231" t="s">
        <v>1007</v>
      </c>
      <c r="D231" t="s">
        <v>1263</v>
      </c>
      <c r="E231" t="s">
        <v>1006</v>
      </c>
      <c r="F231">
        <v>1513</v>
      </c>
      <c r="G231" t="s">
        <v>24</v>
      </c>
      <c r="H231" t="s">
        <v>26</v>
      </c>
      <c r="I231" t="s">
        <v>3167</v>
      </c>
      <c r="J231" t="s">
        <v>1967</v>
      </c>
      <c r="K231" t="s">
        <v>3227</v>
      </c>
      <c r="L231" t="s">
        <v>1967</v>
      </c>
      <c r="M231" t="s">
        <v>980</v>
      </c>
      <c r="N231" t="s">
        <v>1009</v>
      </c>
      <c r="O231" t="s">
        <v>1009</v>
      </c>
      <c r="P231" t="s">
        <v>1110</v>
      </c>
      <c r="Q231" t="s">
        <v>3169</v>
      </c>
      <c r="R231" t="s">
        <v>2093</v>
      </c>
      <c r="S231" t="s">
        <v>3321</v>
      </c>
      <c r="T231" t="s">
        <v>3239</v>
      </c>
      <c r="U231" t="b">
        <v>0</v>
      </c>
      <c r="V231" t="s">
        <v>2083</v>
      </c>
    </row>
    <row r="232" spans="1:22" x14ac:dyDescent="0.25">
      <c r="A232" t="s">
        <v>42</v>
      </c>
      <c r="B232">
        <v>41</v>
      </c>
      <c r="C232" t="s">
        <v>1014</v>
      </c>
      <c r="D232" t="s">
        <v>1264</v>
      </c>
      <c r="E232" t="s">
        <v>1013</v>
      </c>
      <c r="F232">
        <v>2</v>
      </c>
      <c r="G232" t="s">
        <v>24</v>
      </c>
      <c r="H232" t="s">
        <v>26</v>
      </c>
      <c r="I232" t="s">
        <v>3167</v>
      </c>
      <c r="J232" t="s">
        <v>1016</v>
      </c>
      <c r="K232" t="s">
        <v>3181</v>
      </c>
      <c r="L232" t="s">
        <v>1016</v>
      </c>
      <c r="M232" t="s">
        <v>980</v>
      </c>
      <c r="N232" t="s">
        <v>1015</v>
      </c>
      <c r="O232" t="s">
        <v>1015</v>
      </c>
      <c r="P232" t="s">
        <v>1110</v>
      </c>
      <c r="Q232" t="s">
        <v>3169</v>
      </c>
      <c r="R232" t="s">
        <v>2084</v>
      </c>
      <c r="S232" t="s">
        <v>3321</v>
      </c>
      <c r="T232" t="s">
        <v>3239</v>
      </c>
      <c r="U232" t="b">
        <v>0</v>
      </c>
      <c r="V232" t="s">
        <v>2087</v>
      </c>
    </row>
    <row r="233" spans="1:22" x14ac:dyDescent="0.25">
      <c r="A233" t="s">
        <v>42</v>
      </c>
      <c r="B233">
        <v>41</v>
      </c>
      <c r="C233" t="s">
        <v>1019</v>
      </c>
      <c r="D233" t="s">
        <v>1265</v>
      </c>
      <c r="E233" t="s">
        <v>1018</v>
      </c>
      <c r="F233">
        <v>491</v>
      </c>
      <c r="G233" t="s">
        <v>24</v>
      </c>
      <c r="H233" t="s">
        <v>26</v>
      </c>
      <c r="I233" t="s">
        <v>3167</v>
      </c>
      <c r="J233" t="s">
        <v>1021</v>
      </c>
      <c r="K233" t="s">
        <v>3183</v>
      </c>
      <c r="L233" t="s">
        <v>1021</v>
      </c>
      <c r="M233" t="s">
        <v>980</v>
      </c>
      <c r="N233" t="s">
        <v>1020</v>
      </c>
      <c r="O233" t="s">
        <v>1020</v>
      </c>
      <c r="P233" t="s">
        <v>1110</v>
      </c>
      <c r="Q233" t="s">
        <v>3169</v>
      </c>
      <c r="R233" t="s">
        <v>2084</v>
      </c>
      <c r="S233" t="s">
        <v>3321</v>
      </c>
      <c r="T233" t="s">
        <v>3239</v>
      </c>
      <c r="U233" t="b">
        <v>0</v>
      </c>
      <c r="V233" t="s">
        <v>2087</v>
      </c>
    </row>
    <row r="234" spans="1:22" x14ac:dyDescent="0.25">
      <c r="A234" t="s">
        <v>42</v>
      </c>
      <c r="B234">
        <v>41</v>
      </c>
      <c r="C234" t="s">
        <v>1024</v>
      </c>
      <c r="D234" t="s">
        <v>1266</v>
      </c>
      <c r="E234" t="s">
        <v>1023</v>
      </c>
      <c r="F234">
        <v>-14</v>
      </c>
      <c r="G234" t="s">
        <v>24</v>
      </c>
      <c r="H234" t="s">
        <v>26</v>
      </c>
      <c r="I234" t="s">
        <v>3167</v>
      </c>
      <c r="J234" t="s">
        <v>1026</v>
      </c>
      <c r="K234" t="s">
        <v>3185</v>
      </c>
      <c r="L234" t="s">
        <v>1026</v>
      </c>
      <c r="M234" t="s">
        <v>1000</v>
      </c>
      <c r="N234" t="s">
        <v>1025</v>
      </c>
      <c r="O234" t="s">
        <v>1025</v>
      </c>
      <c r="P234" t="s">
        <v>1110</v>
      </c>
      <c r="Q234" t="s">
        <v>3169</v>
      </c>
      <c r="R234" t="s">
        <v>2084</v>
      </c>
      <c r="S234" t="s">
        <v>3321</v>
      </c>
      <c r="T234" t="s">
        <v>3239</v>
      </c>
      <c r="U234" t="b">
        <v>0</v>
      </c>
      <c r="V234" t="s">
        <v>2087</v>
      </c>
    </row>
    <row r="235" spans="1:22" x14ac:dyDescent="0.25">
      <c r="A235" t="s">
        <v>42</v>
      </c>
      <c r="B235">
        <v>41</v>
      </c>
      <c r="C235" t="s">
        <v>1028</v>
      </c>
      <c r="D235" t="s">
        <v>3324</v>
      </c>
      <c r="E235" t="s">
        <v>1010</v>
      </c>
      <c r="F235" t="s">
        <v>3325</v>
      </c>
      <c r="G235" t="s">
        <v>24</v>
      </c>
      <c r="H235" t="s">
        <v>26</v>
      </c>
      <c r="I235" t="s">
        <v>3167</v>
      </c>
      <c r="J235" t="s">
        <v>1026</v>
      </c>
      <c r="K235" t="s">
        <v>3185</v>
      </c>
      <c r="L235" t="s">
        <v>1026</v>
      </c>
      <c r="M235" t="s">
        <v>1000</v>
      </c>
      <c r="N235" t="s">
        <v>1025</v>
      </c>
      <c r="O235" t="s">
        <v>1025</v>
      </c>
      <c r="P235" t="s">
        <v>1110</v>
      </c>
      <c r="Q235" t="s">
        <v>3169</v>
      </c>
      <c r="R235" t="s">
        <v>446</v>
      </c>
      <c r="S235" t="s">
        <v>446</v>
      </c>
      <c r="T235" t="s">
        <v>1965</v>
      </c>
      <c r="U235" t="b">
        <v>0</v>
      </c>
      <c r="V235" t="s">
        <v>446</v>
      </c>
    </row>
    <row r="236" spans="1:22" x14ac:dyDescent="0.25">
      <c r="A236" t="s">
        <v>42</v>
      </c>
      <c r="B236">
        <v>41</v>
      </c>
      <c r="C236" t="s">
        <v>1030</v>
      </c>
      <c r="D236" t="s">
        <v>1267</v>
      </c>
      <c r="E236" t="s">
        <v>1029</v>
      </c>
      <c r="F236">
        <v>254</v>
      </c>
      <c r="G236" t="s">
        <v>24</v>
      </c>
      <c r="H236" t="s">
        <v>26</v>
      </c>
      <c r="I236" t="s">
        <v>3167</v>
      </c>
      <c r="J236" t="s">
        <v>1033</v>
      </c>
      <c r="K236" t="s">
        <v>3189</v>
      </c>
      <c r="L236" t="s">
        <v>1033</v>
      </c>
      <c r="M236" t="s">
        <v>980</v>
      </c>
      <c r="N236" t="s">
        <v>1031</v>
      </c>
      <c r="O236" t="s">
        <v>1031</v>
      </c>
      <c r="P236" t="s">
        <v>1110</v>
      </c>
      <c r="Q236" t="s">
        <v>3169</v>
      </c>
      <c r="R236" t="s">
        <v>2084</v>
      </c>
      <c r="S236" t="s">
        <v>3321</v>
      </c>
      <c r="T236" t="s">
        <v>3239</v>
      </c>
      <c r="U236" t="b">
        <v>0</v>
      </c>
      <c r="V236" t="s">
        <v>2087</v>
      </c>
    </row>
    <row r="237" spans="1:22" x14ac:dyDescent="0.25">
      <c r="A237" t="s">
        <v>42</v>
      </c>
      <c r="B237">
        <v>41</v>
      </c>
      <c r="C237" t="s">
        <v>1036</v>
      </c>
      <c r="D237" t="s">
        <v>1268</v>
      </c>
      <c r="E237" t="s">
        <v>1035</v>
      </c>
      <c r="F237">
        <v>212</v>
      </c>
      <c r="G237" t="s">
        <v>24</v>
      </c>
      <c r="H237" t="s">
        <v>26</v>
      </c>
      <c r="I237" t="s">
        <v>3167</v>
      </c>
      <c r="J237" t="s">
        <v>1038</v>
      </c>
      <c r="K237" t="s">
        <v>3191</v>
      </c>
      <c r="L237" t="s">
        <v>1038</v>
      </c>
      <c r="M237" t="s">
        <v>980</v>
      </c>
      <c r="N237" t="s">
        <v>1037</v>
      </c>
      <c r="O237" t="s">
        <v>1037</v>
      </c>
      <c r="P237" t="s">
        <v>1110</v>
      </c>
      <c r="Q237" t="s">
        <v>3169</v>
      </c>
      <c r="R237" t="s">
        <v>2084</v>
      </c>
      <c r="S237" t="s">
        <v>3321</v>
      </c>
      <c r="T237" t="s">
        <v>3239</v>
      </c>
      <c r="U237" t="b">
        <v>0</v>
      </c>
      <c r="V237" t="s">
        <v>2087</v>
      </c>
    </row>
    <row r="238" spans="1:22" x14ac:dyDescent="0.25">
      <c r="A238" t="s">
        <v>42</v>
      </c>
      <c r="B238">
        <v>41</v>
      </c>
      <c r="C238" t="s">
        <v>1041</v>
      </c>
      <c r="D238" t="s">
        <v>1269</v>
      </c>
      <c r="E238" t="s">
        <v>1040</v>
      </c>
      <c r="F238">
        <v>-237</v>
      </c>
      <c r="G238" t="s">
        <v>24</v>
      </c>
      <c r="H238" t="s">
        <v>26</v>
      </c>
      <c r="I238" t="s">
        <v>3167</v>
      </c>
      <c r="J238" t="s">
        <v>1043</v>
      </c>
      <c r="K238" t="s">
        <v>3193</v>
      </c>
      <c r="L238" t="s">
        <v>1043</v>
      </c>
      <c r="M238" t="s">
        <v>980</v>
      </c>
      <c r="N238" t="s">
        <v>1042</v>
      </c>
      <c r="O238" t="s">
        <v>1042</v>
      </c>
      <c r="P238" t="s">
        <v>1110</v>
      </c>
      <c r="Q238" t="s">
        <v>3169</v>
      </c>
      <c r="R238" t="s">
        <v>2084</v>
      </c>
      <c r="S238" t="s">
        <v>3321</v>
      </c>
      <c r="T238" t="s">
        <v>3239</v>
      </c>
      <c r="U238" t="b">
        <v>0</v>
      </c>
      <c r="V238" t="s">
        <v>2087</v>
      </c>
    </row>
    <row r="239" spans="1:22" x14ac:dyDescent="0.25">
      <c r="A239" t="s">
        <v>42</v>
      </c>
      <c r="B239">
        <v>41</v>
      </c>
      <c r="C239" t="s">
        <v>1046</v>
      </c>
      <c r="D239" t="s">
        <v>2100</v>
      </c>
      <c r="E239" t="s">
        <v>1045</v>
      </c>
      <c r="F239" t="s">
        <v>3326</v>
      </c>
      <c r="G239" t="s">
        <v>24</v>
      </c>
      <c r="H239" t="s">
        <v>26</v>
      </c>
      <c r="I239" t="s">
        <v>3167</v>
      </c>
      <c r="J239" t="s">
        <v>1048</v>
      </c>
      <c r="K239" t="s">
        <v>3195</v>
      </c>
      <c r="L239" t="s">
        <v>1048</v>
      </c>
      <c r="M239" t="s">
        <v>1000</v>
      </c>
      <c r="N239" t="s">
        <v>1047</v>
      </c>
      <c r="O239" t="s">
        <v>1047</v>
      </c>
      <c r="P239" t="s">
        <v>1110</v>
      </c>
      <c r="Q239" t="s">
        <v>3169</v>
      </c>
      <c r="R239" t="s">
        <v>446</v>
      </c>
      <c r="S239" t="s">
        <v>446</v>
      </c>
      <c r="T239" t="s">
        <v>1965</v>
      </c>
      <c r="U239" t="b">
        <v>0</v>
      </c>
      <c r="V239" t="s">
        <v>1962</v>
      </c>
    </row>
    <row r="240" spans="1:22" x14ac:dyDescent="0.25">
      <c r="A240" t="s">
        <v>42</v>
      </c>
      <c r="B240">
        <v>41</v>
      </c>
      <c r="C240" t="s">
        <v>1050</v>
      </c>
      <c r="D240" t="s">
        <v>3327</v>
      </c>
      <c r="E240" t="s">
        <v>1032</v>
      </c>
      <c r="F240" t="s">
        <v>3328</v>
      </c>
      <c r="G240" t="s">
        <v>24</v>
      </c>
      <c r="H240" t="s">
        <v>26</v>
      </c>
      <c r="I240" t="s">
        <v>3167</v>
      </c>
      <c r="J240" t="s">
        <v>1048</v>
      </c>
      <c r="K240" t="s">
        <v>3195</v>
      </c>
      <c r="L240" t="s">
        <v>1048</v>
      </c>
      <c r="M240" t="s">
        <v>1000</v>
      </c>
      <c r="N240" t="s">
        <v>1047</v>
      </c>
      <c r="O240" t="s">
        <v>1047</v>
      </c>
      <c r="P240" t="s">
        <v>1110</v>
      </c>
      <c r="Q240" t="s">
        <v>3169</v>
      </c>
      <c r="R240" t="s">
        <v>446</v>
      </c>
      <c r="S240" t="s">
        <v>446</v>
      </c>
      <c r="T240" t="s">
        <v>1965</v>
      </c>
      <c r="U240" t="b">
        <v>0</v>
      </c>
      <c r="V240" t="s">
        <v>446</v>
      </c>
    </row>
    <row r="241" spans="1:22" x14ac:dyDescent="0.25">
      <c r="A241" t="s">
        <v>42</v>
      </c>
      <c r="B241">
        <v>41</v>
      </c>
      <c r="C241" t="s">
        <v>1052</v>
      </c>
      <c r="D241" t="s">
        <v>1271</v>
      </c>
      <c r="E241" t="s">
        <v>1051</v>
      </c>
      <c r="F241">
        <v>21</v>
      </c>
      <c r="G241" t="s">
        <v>24</v>
      </c>
      <c r="H241" t="s">
        <v>26</v>
      </c>
      <c r="I241" t="s">
        <v>3167</v>
      </c>
      <c r="J241" t="s">
        <v>1055</v>
      </c>
      <c r="K241" t="s">
        <v>3199</v>
      </c>
      <c r="L241" t="s">
        <v>1055</v>
      </c>
      <c r="M241" t="s">
        <v>980</v>
      </c>
      <c r="N241" t="s">
        <v>1053</v>
      </c>
      <c r="O241" t="s">
        <v>1053</v>
      </c>
      <c r="P241" t="s">
        <v>1110</v>
      </c>
      <c r="Q241" t="s">
        <v>3169</v>
      </c>
      <c r="R241" t="s">
        <v>2093</v>
      </c>
      <c r="S241" t="s">
        <v>3321</v>
      </c>
      <c r="T241" t="s">
        <v>3239</v>
      </c>
      <c r="U241" t="b">
        <v>0</v>
      </c>
      <c r="V241" t="s">
        <v>2083</v>
      </c>
    </row>
    <row r="242" spans="1:22" x14ac:dyDescent="0.25">
      <c r="A242" t="s">
        <v>42</v>
      </c>
      <c r="B242">
        <v>42</v>
      </c>
      <c r="C242" t="s">
        <v>979</v>
      </c>
      <c r="D242" t="s">
        <v>2933</v>
      </c>
      <c r="E242" t="s">
        <v>978</v>
      </c>
      <c r="F242" t="s">
        <v>3329</v>
      </c>
      <c r="G242" t="s">
        <v>24</v>
      </c>
      <c r="H242" t="s">
        <v>26</v>
      </c>
      <c r="I242" t="s">
        <v>3167</v>
      </c>
      <c r="J242" t="s">
        <v>984</v>
      </c>
      <c r="K242" t="s">
        <v>3168</v>
      </c>
      <c r="L242" t="s">
        <v>984</v>
      </c>
      <c r="M242" t="s">
        <v>980</v>
      </c>
      <c r="N242" t="s">
        <v>981</v>
      </c>
      <c r="O242" t="s">
        <v>981</v>
      </c>
      <c r="P242" t="s">
        <v>1110</v>
      </c>
      <c r="Q242" t="s">
        <v>3169</v>
      </c>
      <c r="R242" t="s">
        <v>446</v>
      </c>
      <c r="S242" t="s">
        <v>2934</v>
      </c>
      <c r="T242" t="s">
        <v>1965</v>
      </c>
      <c r="U242" t="b">
        <v>0</v>
      </c>
      <c r="V242" t="s">
        <v>2935</v>
      </c>
    </row>
    <row r="243" spans="1:22" x14ac:dyDescent="0.25">
      <c r="A243" t="s">
        <v>42</v>
      </c>
      <c r="B243">
        <v>42</v>
      </c>
      <c r="C243" t="s">
        <v>987</v>
      </c>
      <c r="D243" t="s">
        <v>2936</v>
      </c>
      <c r="E243" t="s">
        <v>986</v>
      </c>
      <c r="F243" t="s">
        <v>3330</v>
      </c>
      <c r="G243" t="s">
        <v>24</v>
      </c>
      <c r="H243" t="s">
        <v>26</v>
      </c>
      <c r="I243" t="s">
        <v>3167</v>
      </c>
      <c r="J243" t="s">
        <v>990</v>
      </c>
      <c r="K243" t="s">
        <v>3171</v>
      </c>
      <c r="L243" t="s">
        <v>990</v>
      </c>
      <c r="M243" t="s">
        <v>980</v>
      </c>
      <c r="N243" t="s">
        <v>988</v>
      </c>
      <c r="O243" t="s">
        <v>988</v>
      </c>
      <c r="P243" t="s">
        <v>1110</v>
      </c>
      <c r="Q243" t="s">
        <v>3169</v>
      </c>
      <c r="R243" t="s">
        <v>446</v>
      </c>
      <c r="S243" t="s">
        <v>2934</v>
      </c>
      <c r="T243" t="s">
        <v>1965</v>
      </c>
      <c r="U243" t="b">
        <v>0</v>
      </c>
      <c r="V243" t="s">
        <v>2935</v>
      </c>
    </row>
    <row r="244" spans="1:22" x14ac:dyDescent="0.25">
      <c r="A244" t="s">
        <v>42</v>
      </c>
      <c r="B244">
        <v>42</v>
      </c>
      <c r="C244" t="s">
        <v>993</v>
      </c>
      <c r="D244" t="s">
        <v>2937</v>
      </c>
      <c r="E244" t="s">
        <v>992</v>
      </c>
      <c r="F244" t="s">
        <v>3331</v>
      </c>
      <c r="G244" t="s">
        <v>24</v>
      </c>
      <c r="H244" t="s">
        <v>26</v>
      </c>
      <c r="I244" t="s">
        <v>3167</v>
      </c>
      <c r="J244" t="s">
        <v>996</v>
      </c>
      <c r="K244" t="s">
        <v>3173</v>
      </c>
      <c r="L244" t="s">
        <v>996</v>
      </c>
      <c r="M244" t="s">
        <v>980</v>
      </c>
      <c r="N244" t="s">
        <v>994</v>
      </c>
      <c r="O244" t="s">
        <v>994</v>
      </c>
      <c r="P244" t="s">
        <v>1110</v>
      </c>
      <c r="Q244" t="s">
        <v>3169</v>
      </c>
      <c r="R244" t="s">
        <v>446</v>
      </c>
      <c r="S244" t="s">
        <v>2934</v>
      </c>
      <c r="T244" t="s">
        <v>1965</v>
      </c>
      <c r="U244" t="b">
        <v>0</v>
      </c>
      <c r="V244" t="s">
        <v>2935</v>
      </c>
    </row>
    <row r="245" spans="1:22" x14ac:dyDescent="0.25">
      <c r="A245" t="s">
        <v>42</v>
      </c>
      <c r="B245">
        <v>42</v>
      </c>
      <c r="C245" t="s">
        <v>999</v>
      </c>
      <c r="D245" t="s">
        <v>2938</v>
      </c>
      <c r="E245" t="s">
        <v>998</v>
      </c>
      <c r="F245" t="s">
        <v>3332</v>
      </c>
      <c r="G245" t="s">
        <v>24</v>
      </c>
      <c r="H245" t="s">
        <v>26</v>
      </c>
      <c r="I245" t="s">
        <v>3167</v>
      </c>
      <c r="J245" t="s">
        <v>1003</v>
      </c>
      <c r="K245" t="s">
        <v>3175</v>
      </c>
      <c r="L245" t="s">
        <v>1003</v>
      </c>
      <c r="M245" t="s">
        <v>1000</v>
      </c>
      <c r="N245" t="s">
        <v>1001</v>
      </c>
      <c r="O245" t="s">
        <v>1001</v>
      </c>
      <c r="P245" t="s">
        <v>1110</v>
      </c>
      <c r="Q245" t="s">
        <v>3169</v>
      </c>
      <c r="R245" t="s">
        <v>446</v>
      </c>
      <c r="S245" t="s">
        <v>2934</v>
      </c>
      <c r="T245" t="s">
        <v>1965</v>
      </c>
      <c r="U245" t="b">
        <v>0</v>
      </c>
      <c r="V245" t="s">
        <v>2160</v>
      </c>
    </row>
    <row r="246" spans="1:22" x14ac:dyDescent="0.25">
      <c r="A246" t="s">
        <v>42</v>
      </c>
      <c r="B246">
        <v>42</v>
      </c>
      <c r="C246" t="s">
        <v>1005</v>
      </c>
      <c r="D246" t="s">
        <v>2939</v>
      </c>
      <c r="E246" t="s">
        <v>982</v>
      </c>
      <c r="F246" t="s">
        <v>3333</v>
      </c>
      <c r="G246" t="s">
        <v>24</v>
      </c>
      <c r="H246" t="s">
        <v>26</v>
      </c>
      <c r="I246" t="s">
        <v>3167</v>
      </c>
      <c r="J246" t="s">
        <v>1003</v>
      </c>
      <c r="K246" t="s">
        <v>3175</v>
      </c>
      <c r="L246" t="s">
        <v>1003</v>
      </c>
      <c r="M246" t="s">
        <v>1000</v>
      </c>
      <c r="N246" t="s">
        <v>1001</v>
      </c>
      <c r="O246" t="s">
        <v>1001</v>
      </c>
      <c r="P246" t="s">
        <v>1110</v>
      </c>
      <c r="Q246" t="s">
        <v>3169</v>
      </c>
      <c r="R246" t="s">
        <v>446</v>
      </c>
      <c r="S246" t="s">
        <v>2934</v>
      </c>
      <c r="T246" t="s">
        <v>1965</v>
      </c>
      <c r="U246" t="b">
        <v>0</v>
      </c>
      <c r="V246" t="s">
        <v>2935</v>
      </c>
    </row>
    <row r="247" spans="1:22" x14ac:dyDescent="0.25">
      <c r="A247" t="s">
        <v>42</v>
      </c>
      <c r="B247">
        <v>42</v>
      </c>
      <c r="C247" t="s">
        <v>1007</v>
      </c>
      <c r="D247" t="s">
        <v>2940</v>
      </c>
      <c r="E247" t="s">
        <v>1006</v>
      </c>
      <c r="F247" t="s">
        <v>3334</v>
      </c>
      <c r="G247" t="s">
        <v>24</v>
      </c>
      <c r="H247" t="s">
        <v>26</v>
      </c>
      <c r="I247" t="s">
        <v>3167</v>
      </c>
      <c r="J247" t="s">
        <v>1967</v>
      </c>
      <c r="K247" t="s">
        <v>3227</v>
      </c>
      <c r="L247" t="s">
        <v>1967</v>
      </c>
      <c r="M247" t="s">
        <v>1008</v>
      </c>
      <c r="N247" t="s">
        <v>1009</v>
      </c>
      <c r="O247" t="s">
        <v>1009</v>
      </c>
      <c r="P247" t="s">
        <v>1110</v>
      </c>
      <c r="Q247" t="s">
        <v>3169</v>
      </c>
      <c r="R247" t="s">
        <v>446</v>
      </c>
      <c r="S247" t="s">
        <v>2934</v>
      </c>
      <c r="T247" t="s">
        <v>1965</v>
      </c>
      <c r="U247" t="b">
        <v>0</v>
      </c>
      <c r="V247" t="s">
        <v>2935</v>
      </c>
    </row>
    <row r="248" spans="1:22" x14ac:dyDescent="0.25">
      <c r="A248" t="s">
        <v>42</v>
      </c>
      <c r="B248">
        <v>42</v>
      </c>
      <c r="C248" t="s">
        <v>1014</v>
      </c>
      <c r="D248" t="s">
        <v>2941</v>
      </c>
      <c r="E248" t="s">
        <v>1013</v>
      </c>
      <c r="F248" t="s">
        <v>3335</v>
      </c>
      <c r="G248" t="s">
        <v>24</v>
      </c>
      <c r="H248" t="s">
        <v>26</v>
      </c>
      <c r="I248" t="s">
        <v>3167</v>
      </c>
      <c r="J248" t="s">
        <v>1016</v>
      </c>
      <c r="K248" t="s">
        <v>3181</v>
      </c>
      <c r="L248" t="s">
        <v>1016</v>
      </c>
      <c r="M248" t="s">
        <v>980</v>
      </c>
      <c r="N248" t="s">
        <v>1015</v>
      </c>
      <c r="O248" t="s">
        <v>1015</v>
      </c>
      <c r="P248" t="s">
        <v>1110</v>
      </c>
      <c r="Q248" t="s">
        <v>3169</v>
      </c>
      <c r="R248" t="s">
        <v>446</v>
      </c>
      <c r="S248" t="s">
        <v>2934</v>
      </c>
      <c r="T248" t="s">
        <v>1965</v>
      </c>
      <c r="U248" t="b">
        <v>0</v>
      </c>
      <c r="V248" t="s">
        <v>2935</v>
      </c>
    </row>
    <row r="249" spans="1:22" x14ac:dyDescent="0.25">
      <c r="A249" t="s">
        <v>42</v>
      </c>
      <c r="B249">
        <v>42</v>
      </c>
      <c r="C249" t="s">
        <v>1019</v>
      </c>
      <c r="D249" t="s">
        <v>2942</v>
      </c>
      <c r="E249" t="s">
        <v>1018</v>
      </c>
      <c r="F249" t="s">
        <v>3336</v>
      </c>
      <c r="G249" t="s">
        <v>24</v>
      </c>
      <c r="H249" t="s">
        <v>26</v>
      </c>
      <c r="I249" t="s">
        <v>3167</v>
      </c>
      <c r="J249" t="s">
        <v>1021</v>
      </c>
      <c r="K249" t="s">
        <v>3183</v>
      </c>
      <c r="L249" t="s">
        <v>1021</v>
      </c>
      <c r="M249" t="s">
        <v>980</v>
      </c>
      <c r="N249" t="s">
        <v>1020</v>
      </c>
      <c r="O249" t="s">
        <v>1020</v>
      </c>
      <c r="P249" t="s">
        <v>1110</v>
      </c>
      <c r="Q249" t="s">
        <v>3169</v>
      </c>
      <c r="R249" t="s">
        <v>446</v>
      </c>
      <c r="S249" t="s">
        <v>2934</v>
      </c>
      <c r="T249" t="s">
        <v>1965</v>
      </c>
      <c r="U249" t="b">
        <v>0</v>
      </c>
      <c r="V249" t="s">
        <v>2935</v>
      </c>
    </row>
    <row r="250" spans="1:22" x14ac:dyDescent="0.25">
      <c r="A250" t="s">
        <v>42</v>
      </c>
      <c r="B250">
        <v>42</v>
      </c>
      <c r="C250" t="s">
        <v>1024</v>
      </c>
      <c r="D250" t="s">
        <v>2943</v>
      </c>
      <c r="E250" t="s">
        <v>1023</v>
      </c>
      <c r="F250" t="s">
        <v>3337</v>
      </c>
      <c r="G250" t="s">
        <v>24</v>
      </c>
      <c r="H250" t="s">
        <v>26</v>
      </c>
      <c r="I250" t="s">
        <v>3167</v>
      </c>
      <c r="J250" t="s">
        <v>1026</v>
      </c>
      <c r="K250" t="s">
        <v>3185</v>
      </c>
      <c r="L250" t="s">
        <v>1026</v>
      </c>
      <c r="M250" t="s">
        <v>1000</v>
      </c>
      <c r="N250" t="s">
        <v>1025</v>
      </c>
      <c r="O250" t="s">
        <v>1025</v>
      </c>
      <c r="P250" t="s">
        <v>1110</v>
      </c>
      <c r="Q250" t="s">
        <v>3169</v>
      </c>
      <c r="R250" t="s">
        <v>446</v>
      </c>
      <c r="S250" t="s">
        <v>2934</v>
      </c>
      <c r="T250" t="s">
        <v>1965</v>
      </c>
      <c r="U250" t="b">
        <v>0</v>
      </c>
      <c r="V250" t="s">
        <v>2160</v>
      </c>
    </row>
    <row r="251" spans="1:22" x14ac:dyDescent="0.25">
      <c r="A251" t="s">
        <v>42</v>
      </c>
      <c r="B251">
        <v>42</v>
      </c>
      <c r="C251" t="s">
        <v>1028</v>
      </c>
      <c r="D251" t="s">
        <v>2944</v>
      </c>
      <c r="E251" t="s">
        <v>1010</v>
      </c>
      <c r="F251" t="s">
        <v>3338</v>
      </c>
      <c r="G251" t="s">
        <v>24</v>
      </c>
      <c r="H251" t="s">
        <v>26</v>
      </c>
      <c r="I251" t="s">
        <v>3167</v>
      </c>
      <c r="J251" t="s">
        <v>1026</v>
      </c>
      <c r="K251" t="s">
        <v>3185</v>
      </c>
      <c r="L251" t="s">
        <v>1026</v>
      </c>
      <c r="M251" t="s">
        <v>1000</v>
      </c>
      <c r="N251" t="s">
        <v>1025</v>
      </c>
      <c r="O251" t="s">
        <v>1025</v>
      </c>
      <c r="P251" t="s">
        <v>1110</v>
      </c>
      <c r="Q251" t="s">
        <v>3169</v>
      </c>
      <c r="R251" t="s">
        <v>446</v>
      </c>
      <c r="S251" t="s">
        <v>2934</v>
      </c>
      <c r="T251" t="s">
        <v>1965</v>
      </c>
      <c r="U251" t="b">
        <v>0</v>
      </c>
      <c r="V251" t="s">
        <v>2935</v>
      </c>
    </row>
    <row r="252" spans="1:22" x14ac:dyDescent="0.25">
      <c r="A252" t="s">
        <v>42</v>
      </c>
      <c r="B252">
        <v>42</v>
      </c>
      <c r="C252" t="s">
        <v>1030</v>
      </c>
      <c r="D252" t="s">
        <v>2945</v>
      </c>
      <c r="E252" t="s">
        <v>1029</v>
      </c>
      <c r="F252" t="s">
        <v>3339</v>
      </c>
      <c r="G252" t="s">
        <v>24</v>
      </c>
      <c r="H252" t="s">
        <v>26</v>
      </c>
      <c r="I252" t="s">
        <v>3167</v>
      </c>
      <c r="J252" t="s">
        <v>1033</v>
      </c>
      <c r="K252" t="s">
        <v>3189</v>
      </c>
      <c r="L252" t="s">
        <v>1033</v>
      </c>
      <c r="M252" t="s">
        <v>980</v>
      </c>
      <c r="N252" t="s">
        <v>1031</v>
      </c>
      <c r="O252" t="s">
        <v>1031</v>
      </c>
      <c r="P252" t="s">
        <v>1110</v>
      </c>
      <c r="Q252" t="s">
        <v>3169</v>
      </c>
      <c r="R252" t="s">
        <v>446</v>
      </c>
      <c r="S252" t="s">
        <v>2934</v>
      </c>
      <c r="T252" t="s">
        <v>1965</v>
      </c>
      <c r="U252" t="b">
        <v>0</v>
      </c>
      <c r="V252" t="s">
        <v>2935</v>
      </c>
    </row>
    <row r="253" spans="1:22" x14ac:dyDescent="0.25">
      <c r="A253" t="s">
        <v>42</v>
      </c>
      <c r="B253">
        <v>42</v>
      </c>
      <c r="C253" t="s">
        <v>1036</v>
      </c>
      <c r="D253" t="s">
        <v>2946</v>
      </c>
      <c r="E253" t="s">
        <v>1035</v>
      </c>
      <c r="F253" t="s">
        <v>3340</v>
      </c>
      <c r="G253" t="s">
        <v>24</v>
      </c>
      <c r="H253" t="s">
        <v>26</v>
      </c>
      <c r="I253" t="s">
        <v>3167</v>
      </c>
      <c r="J253" t="s">
        <v>1038</v>
      </c>
      <c r="K253" t="s">
        <v>3191</v>
      </c>
      <c r="L253" t="s">
        <v>1038</v>
      </c>
      <c r="M253" t="s">
        <v>980</v>
      </c>
      <c r="N253" t="s">
        <v>1037</v>
      </c>
      <c r="O253" t="s">
        <v>1037</v>
      </c>
      <c r="P253" t="s">
        <v>1110</v>
      </c>
      <c r="Q253" t="s">
        <v>3169</v>
      </c>
      <c r="R253" t="s">
        <v>446</v>
      </c>
      <c r="S253" t="s">
        <v>2934</v>
      </c>
      <c r="T253" t="s">
        <v>1965</v>
      </c>
      <c r="U253" t="b">
        <v>0</v>
      </c>
      <c r="V253" t="s">
        <v>2935</v>
      </c>
    </row>
    <row r="254" spans="1:22" x14ac:dyDescent="0.25">
      <c r="A254" t="s">
        <v>42</v>
      </c>
      <c r="B254">
        <v>42</v>
      </c>
      <c r="C254" t="s">
        <v>1041</v>
      </c>
      <c r="D254" t="s">
        <v>2947</v>
      </c>
      <c r="E254" t="s">
        <v>1040</v>
      </c>
      <c r="F254" t="s">
        <v>3341</v>
      </c>
      <c r="G254" t="s">
        <v>24</v>
      </c>
      <c r="H254" t="s">
        <v>26</v>
      </c>
      <c r="I254" t="s">
        <v>3167</v>
      </c>
      <c r="J254" t="s">
        <v>1043</v>
      </c>
      <c r="K254" t="s">
        <v>3193</v>
      </c>
      <c r="L254" t="s">
        <v>1043</v>
      </c>
      <c r="M254" t="s">
        <v>980</v>
      </c>
      <c r="N254" t="s">
        <v>1042</v>
      </c>
      <c r="O254" t="s">
        <v>1042</v>
      </c>
      <c r="P254" t="s">
        <v>1110</v>
      </c>
      <c r="Q254" t="s">
        <v>3169</v>
      </c>
      <c r="R254" t="s">
        <v>446</v>
      </c>
      <c r="S254" t="s">
        <v>2934</v>
      </c>
      <c r="T254" t="s">
        <v>1965</v>
      </c>
      <c r="U254" t="b">
        <v>0</v>
      </c>
      <c r="V254" t="s">
        <v>2935</v>
      </c>
    </row>
    <row r="255" spans="1:22" x14ac:dyDescent="0.25">
      <c r="A255" t="s">
        <v>42</v>
      </c>
      <c r="B255">
        <v>42</v>
      </c>
      <c r="C255" t="s">
        <v>1046</v>
      </c>
      <c r="D255" t="s">
        <v>2948</v>
      </c>
      <c r="E255" t="s">
        <v>1045</v>
      </c>
      <c r="F255" t="s">
        <v>3342</v>
      </c>
      <c r="G255" t="s">
        <v>24</v>
      </c>
      <c r="H255" t="s">
        <v>26</v>
      </c>
      <c r="I255" t="s">
        <v>3167</v>
      </c>
      <c r="J255" t="s">
        <v>1048</v>
      </c>
      <c r="K255" t="s">
        <v>3195</v>
      </c>
      <c r="L255" t="s">
        <v>1048</v>
      </c>
      <c r="M255" t="s">
        <v>1000</v>
      </c>
      <c r="N255" t="s">
        <v>1047</v>
      </c>
      <c r="O255" t="s">
        <v>1047</v>
      </c>
      <c r="P255" t="s">
        <v>1110</v>
      </c>
      <c r="Q255" t="s">
        <v>3169</v>
      </c>
      <c r="R255" t="s">
        <v>446</v>
      </c>
      <c r="S255" t="s">
        <v>2934</v>
      </c>
      <c r="T255" t="s">
        <v>1965</v>
      </c>
      <c r="U255" t="b">
        <v>0</v>
      </c>
      <c r="V255" t="s">
        <v>2160</v>
      </c>
    </row>
    <row r="256" spans="1:22" x14ac:dyDescent="0.25">
      <c r="A256" t="s">
        <v>42</v>
      </c>
      <c r="B256">
        <v>42</v>
      </c>
      <c r="C256" t="s">
        <v>1050</v>
      </c>
      <c r="D256" t="s">
        <v>2949</v>
      </c>
      <c r="E256" t="s">
        <v>1032</v>
      </c>
      <c r="F256" t="s">
        <v>3343</v>
      </c>
      <c r="G256" t="s">
        <v>24</v>
      </c>
      <c r="H256" t="s">
        <v>26</v>
      </c>
      <c r="I256" t="s">
        <v>3167</v>
      </c>
      <c r="J256" t="s">
        <v>1048</v>
      </c>
      <c r="K256" t="s">
        <v>3195</v>
      </c>
      <c r="L256" t="s">
        <v>1048</v>
      </c>
      <c r="M256" t="s">
        <v>1000</v>
      </c>
      <c r="N256" t="s">
        <v>1047</v>
      </c>
      <c r="O256" t="s">
        <v>1047</v>
      </c>
      <c r="P256" t="s">
        <v>1110</v>
      </c>
      <c r="Q256" t="s">
        <v>3169</v>
      </c>
      <c r="R256" t="s">
        <v>446</v>
      </c>
      <c r="S256" t="s">
        <v>2934</v>
      </c>
      <c r="T256" t="s">
        <v>1965</v>
      </c>
      <c r="U256" t="b">
        <v>0</v>
      </c>
      <c r="V256" t="s">
        <v>2935</v>
      </c>
    </row>
    <row r="257" spans="1:22" x14ac:dyDescent="0.25">
      <c r="A257" t="s">
        <v>42</v>
      </c>
      <c r="B257">
        <v>42</v>
      </c>
      <c r="C257" t="s">
        <v>1052</v>
      </c>
      <c r="D257" t="s">
        <v>2950</v>
      </c>
      <c r="E257" t="s">
        <v>1051</v>
      </c>
      <c r="F257" t="s">
        <v>3344</v>
      </c>
      <c r="G257" t="s">
        <v>24</v>
      </c>
      <c r="H257" t="s">
        <v>26</v>
      </c>
      <c r="I257" t="s">
        <v>3167</v>
      </c>
      <c r="J257" t="s">
        <v>1055</v>
      </c>
      <c r="K257" t="s">
        <v>3199</v>
      </c>
      <c r="L257" t="s">
        <v>1055</v>
      </c>
      <c r="M257" t="s">
        <v>980</v>
      </c>
      <c r="N257" t="s">
        <v>1053</v>
      </c>
      <c r="O257" t="s">
        <v>1053</v>
      </c>
      <c r="P257" t="s">
        <v>1110</v>
      </c>
      <c r="Q257" t="s">
        <v>3169</v>
      </c>
      <c r="R257" t="s">
        <v>446</v>
      </c>
      <c r="S257" t="s">
        <v>2934</v>
      </c>
      <c r="T257" t="s">
        <v>1965</v>
      </c>
      <c r="U257" t="b">
        <v>0</v>
      </c>
      <c r="V257" t="s">
        <v>2935</v>
      </c>
    </row>
    <row r="258" spans="1:22" x14ac:dyDescent="0.25">
      <c r="A258" t="s">
        <v>42</v>
      </c>
      <c r="B258">
        <v>44</v>
      </c>
      <c r="C258" t="s">
        <v>979</v>
      </c>
      <c r="D258" t="s">
        <v>1272</v>
      </c>
      <c r="E258" t="s">
        <v>978</v>
      </c>
      <c r="F258">
        <v>-940</v>
      </c>
      <c r="G258" t="s">
        <v>24</v>
      </c>
      <c r="H258" t="s">
        <v>26</v>
      </c>
      <c r="I258" t="s">
        <v>3167</v>
      </c>
      <c r="J258" t="s">
        <v>984</v>
      </c>
      <c r="K258" t="s">
        <v>3168</v>
      </c>
      <c r="L258" t="s">
        <v>984</v>
      </c>
      <c r="M258" t="s">
        <v>980</v>
      </c>
      <c r="N258" t="s">
        <v>981</v>
      </c>
      <c r="O258" t="s">
        <v>981</v>
      </c>
      <c r="P258" t="s">
        <v>1110</v>
      </c>
      <c r="Q258" t="s">
        <v>3169</v>
      </c>
      <c r="R258" t="s">
        <v>2105</v>
      </c>
      <c r="S258" t="s">
        <v>2951</v>
      </c>
      <c r="T258" t="s">
        <v>3239</v>
      </c>
      <c r="U258" t="b">
        <v>0</v>
      </c>
      <c r="V258" t="s">
        <v>2104</v>
      </c>
    </row>
    <row r="259" spans="1:22" x14ac:dyDescent="0.25">
      <c r="A259" t="s">
        <v>42</v>
      </c>
      <c r="B259">
        <v>44</v>
      </c>
      <c r="C259" t="s">
        <v>987</v>
      </c>
      <c r="D259" t="s">
        <v>1274</v>
      </c>
      <c r="E259" t="s">
        <v>986</v>
      </c>
      <c r="F259">
        <v>-359</v>
      </c>
      <c r="G259" t="s">
        <v>24</v>
      </c>
      <c r="H259" t="s">
        <v>26</v>
      </c>
      <c r="I259" t="s">
        <v>3167</v>
      </c>
      <c r="J259" t="s">
        <v>990</v>
      </c>
      <c r="K259" t="s">
        <v>3171</v>
      </c>
      <c r="L259" t="s">
        <v>990</v>
      </c>
      <c r="M259" t="s">
        <v>980</v>
      </c>
      <c r="N259" t="s">
        <v>988</v>
      </c>
      <c r="O259" t="s">
        <v>988</v>
      </c>
      <c r="P259" t="s">
        <v>1110</v>
      </c>
      <c r="Q259" t="s">
        <v>3169</v>
      </c>
      <c r="R259" t="s">
        <v>2105</v>
      </c>
      <c r="S259" t="s">
        <v>2951</v>
      </c>
      <c r="T259" t="s">
        <v>3239</v>
      </c>
      <c r="U259" t="b">
        <v>0</v>
      </c>
      <c r="V259" t="s">
        <v>2104</v>
      </c>
    </row>
    <row r="260" spans="1:22" x14ac:dyDescent="0.25">
      <c r="A260" t="s">
        <v>42</v>
      </c>
      <c r="B260">
        <v>44</v>
      </c>
      <c r="C260" t="s">
        <v>993</v>
      </c>
      <c r="D260" t="s">
        <v>1276</v>
      </c>
      <c r="E260" t="s">
        <v>992</v>
      </c>
      <c r="F260">
        <v>-454</v>
      </c>
      <c r="G260" t="s">
        <v>24</v>
      </c>
      <c r="H260" t="s">
        <v>26</v>
      </c>
      <c r="I260" t="s">
        <v>3167</v>
      </c>
      <c r="J260" t="s">
        <v>996</v>
      </c>
      <c r="K260" t="s">
        <v>3173</v>
      </c>
      <c r="L260" t="s">
        <v>996</v>
      </c>
      <c r="M260" t="s">
        <v>980</v>
      </c>
      <c r="N260" t="s">
        <v>994</v>
      </c>
      <c r="O260" t="s">
        <v>994</v>
      </c>
      <c r="P260" t="s">
        <v>1110</v>
      </c>
      <c r="Q260" t="s">
        <v>3169</v>
      </c>
      <c r="R260" t="s">
        <v>2105</v>
      </c>
      <c r="S260" t="s">
        <v>2951</v>
      </c>
      <c r="T260" t="s">
        <v>3239</v>
      </c>
      <c r="U260" t="b">
        <v>0</v>
      </c>
      <c r="V260" t="s">
        <v>2104</v>
      </c>
    </row>
    <row r="261" spans="1:22" x14ac:dyDescent="0.25">
      <c r="A261" t="s">
        <v>42</v>
      </c>
      <c r="B261">
        <v>44</v>
      </c>
      <c r="C261" t="s">
        <v>999</v>
      </c>
      <c r="D261" t="s">
        <v>2108</v>
      </c>
      <c r="E261" t="s">
        <v>998</v>
      </c>
      <c r="F261" t="s">
        <v>3345</v>
      </c>
      <c r="G261" t="s">
        <v>24</v>
      </c>
      <c r="H261" t="s">
        <v>26</v>
      </c>
      <c r="I261" t="s">
        <v>3167</v>
      </c>
      <c r="J261" t="s">
        <v>1003</v>
      </c>
      <c r="K261" t="s">
        <v>3175</v>
      </c>
      <c r="L261" t="s">
        <v>1003</v>
      </c>
      <c r="M261" t="s">
        <v>1000</v>
      </c>
      <c r="N261" t="s">
        <v>1001</v>
      </c>
      <c r="O261" t="s">
        <v>1001</v>
      </c>
      <c r="P261" t="s">
        <v>1110</v>
      </c>
      <c r="Q261" t="s">
        <v>3169</v>
      </c>
      <c r="R261" t="s">
        <v>446</v>
      </c>
      <c r="S261" t="s">
        <v>2951</v>
      </c>
      <c r="T261" t="s">
        <v>1965</v>
      </c>
      <c r="U261" t="b">
        <v>0</v>
      </c>
      <c r="V261" t="s">
        <v>2160</v>
      </c>
    </row>
    <row r="262" spans="1:22" x14ac:dyDescent="0.25">
      <c r="A262" t="s">
        <v>42</v>
      </c>
      <c r="B262">
        <v>44</v>
      </c>
      <c r="C262" t="s">
        <v>1005</v>
      </c>
      <c r="D262" t="s">
        <v>2952</v>
      </c>
      <c r="E262" t="s">
        <v>982</v>
      </c>
      <c r="F262" t="s">
        <v>3346</v>
      </c>
      <c r="G262" t="s">
        <v>24</v>
      </c>
      <c r="H262" t="s">
        <v>26</v>
      </c>
      <c r="I262" t="s">
        <v>3167</v>
      </c>
      <c r="J262" t="s">
        <v>1003</v>
      </c>
      <c r="K262" t="s">
        <v>3175</v>
      </c>
      <c r="L262" t="s">
        <v>1003</v>
      </c>
      <c r="M262" t="s">
        <v>1000</v>
      </c>
      <c r="N262" t="s">
        <v>1001</v>
      </c>
      <c r="O262" t="s">
        <v>1001</v>
      </c>
      <c r="P262" t="s">
        <v>1110</v>
      </c>
      <c r="Q262" t="s">
        <v>3169</v>
      </c>
      <c r="R262" t="s">
        <v>446</v>
      </c>
      <c r="S262" t="s">
        <v>2951</v>
      </c>
      <c r="T262" t="s">
        <v>1965</v>
      </c>
      <c r="U262" t="b">
        <v>0</v>
      </c>
      <c r="V262" t="s">
        <v>2104</v>
      </c>
    </row>
    <row r="263" spans="1:22" x14ac:dyDescent="0.25">
      <c r="A263" t="s">
        <v>42</v>
      </c>
      <c r="B263">
        <v>44</v>
      </c>
      <c r="C263" t="s">
        <v>1007</v>
      </c>
      <c r="D263" t="s">
        <v>1278</v>
      </c>
      <c r="E263" t="s">
        <v>1006</v>
      </c>
      <c r="F263">
        <v>-687</v>
      </c>
      <c r="G263" t="s">
        <v>24</v>
      </c>
      <c r="H263" t="s">
        <v>26</v>
      </c>
      <c r="I263" t="s">
        <v>3167</v>
      </c>
      <c r="J263" t="s">
        <v>1967</v>
      </c>
      <c r="K263" t="s">
        <v>3227</v>
      </c>
      <c r="L263" t="s">
        <v>1967</v>
      </c>
      <c r="M263" t="s">
        <v>980</v>
      </c>
      <c r="N263" t="s">
        <v>1009</v>
      </c>
      <c r="O263" t="s">
        <v>1009</v>
      </c>
      <c r="P263" t="s">
        <v>1110</v>
      </c>
      <c r="Q263" t="s">
        <v>3169</v>
      </c>
      <c r="R263" t="s">
        <v>2105</v>
      </c>
      <c r="S263" t="s">
        <v>2951</v>
      </c>
      <c r="T263" t="s">
        <v>3239</v>
      </c>
      <c r="U263" t="b">
        <v>0</v>
      </c>
      <c r="V263" t="s">
        <v>2104</v>
      </c>
    </row>
    <row r="264" spans="1:22" x14ac:dyDescent="0.25">
      <c r="A264" t="s">
        <v>42</v>
      </c>
      <c r="B264">
        <v>44</v>
      </c>
      <c r="C264" t="s">
        <v>1014</v>
      </c>
      <c r="D264" t="s">
        <v>1280</v>
      </c>
      <c r="E264" t="s">
        <v>1013</v>
      </c>
      <c r="F264">
        <v>-627</v>
      </c>
      <c r="G264" t="s">
        <v>24</v>
      </c>
      <c r="H264" t="s">
        <v>26</v>
      </c>
      <c r="I264" t="s">
        <v>3167</v>
      </c>
      <c r="J264" t="s">
        <v>1016</v>
      </c>
      <c r="K264" t="s">
        <v>3181</v>
      </c>
      <c r="L264" t="s">
        <v>1016</v>
      </c>
      <c r="M264" t="s">
        <v>980</v>
      </c>
      <c r="N264" t="s">
        <v>1015</v>
      </c>
      <c r="O264" t="s">
        <v>1015</v>
      </c>
      <c r="P264" t="s">
        <v>1110</v>
      </c>
      <c r="Q264" t="s">
        <v>3169</v>
      </c>
      <c r="R264" t="s">
        <v>2105</v>
      </c>
      <c r="S264" t="s">
        <v>2951</v>
      </c>
      <c r="T264" t="s">
        <v>3239</v>
      </c>
      <c r="U264" t="b">
        <v>0</v>
      </c>
      <c r="V264" t="s">
        <v>2104</v>
      </c>
    </row>
    <row r="265" spans="1:22" x14ac:dyDescent="0.25">
      <c r="A265" t="s">
        <v>42</v>
      </c>
      <c r="B265">
        <v>44</v>
      </c>
      <c r="C265" t="s">
        <v>1019</v>
      </c>
      <c r="D265" t="s">
        <v>1282</v>
      </c>
      <c r="E265" t="s">
        <v>1018</v>
      </c>
      <c r="F265">
        <v>-530</v>
      </c>
      <c r="G265" t="s">
        <v>24</v>
      </c>
      <c r="H265" t="s">
        <v>26</v>
      </c>
      <c r="I265" t="s">
        <v>3167</v>
      </c>
      <c r="J265" t="s">
        <v>1021</v>
      </c>
      <c r="K265" t="s">
        <v>3183</v>
      </c>
      <c r="L265" t="s">
        <v>1021</v>
      </c>
      <c r="M265" t="s">
        <v>980</v>
      </c>
      <c r="N265" t="s">
        <v>1020</v>
      </c>
      <c r="O265" t="s">
        <v>1020</v>
      </c>
      <c r="P265" t="s">
        <v>1110</v>
      </c>
      <c r="Q265" t="s">
        <v>3169</v>
      </c>
      <c r="R265" t="s">
        <v>2105</v>
      </c>
      <c r="S265" t="s">
        <v>2951</v>
      </c>
      <c r="T265" t="s">
        <v>3239</v>
      </c>
      <c r="U265" t="b">
        <v>0</v>
      </c>
      <c r="V265" t="s">
        <v>2104</v>
      </c>
    </row>
    <row r="266" spans="1:22" x14ac:dyDescent="0.25">
      <c r="A266" t="s">
        <v>42</v>
      </c>
      <c r="B266">
        <v>44</v>
      </c>
      <c r="C266" t="s">
        <v>1024</v>
      </c>
      <c r="D266" t="s">
        <v>1284</v>
      </c>
      <c r="E266" t="s">
        <v>1023</v>
      </c>
      <c r="F266">
        <v>-593</v>
      </c>
      <c r="G266" t="s">
        <v>24</v>
      </c>
      <c r="H266" t="s">
        <v>26</v>
      </c>
      <c r="I266" t="s">
        <v>3167</v>
      </c>
      <c r="J266" t="s">
        <v>1026</v>
      </c>
      <c r="K266" t="s">
        <v>3185</v>
      </c>
      <c r="L266" t="s">
        <v>1026</v>
      </c>
      <c r="M266" t="s">
        <v>1000</v>
      </c>
      <c r="N266" t="s">
        <v>1025</v>
      </c>
      <c r="O266" t="s">
        <v>1025</v>
      </c>
      <c r="P266" t="s">
        <v>1110</v>
      </c>
      <c r="Q266" t="s">
        <v>3169</v>
      </c>
      <c r="R266" t="s">
        <v>2113</v>
      </c>
      <c r="S266" t="s">
        <v>2951</v>
      </c>
      <c r="T266" t="s">
        <v>3239</v>
      </c>
      <c r="U266" t="b">
        <v>0</v>
      </c>
      <c r="V266" t="s">
        <v>1950</v>
      </c>
    </row>
    <row r="267" spans="1:22" x14ac:dyDescent="0.25">
      <c r="A267" t="s">
        <v>42</v>
      </c>
      <c r="B267">
        <v>44</v>
      </c>
      <c r="C267" t="s">
        <v>1028</v>
      </c>
      <c r="D267" t="s">
        <v>3347</v>
      </c>
      <c r="E267" t="s">
        <v>1010</v>
      </c>
      <c r="F267" t="s">
        <v>3348</v>
      </c>
      <c r="G267" t="s">
        <v>24</v>
      </c>
      <c r="H267" t="s">
        <v>26</v>
      </c>
      <c r="I267" t="s">
        <v>3167</v>
      </c>
      <c r="J267" t="s">
        <v>1026</v>
      </c>
      <c r="K267" t="s">
        <v>3185</v>
      </c>
      <c r="L267" t="s">
        <v>1026</v>
      </c>
      <c r="M267" t="s">
        <v>1000</v>
      </c>
      <c r="N267" t="s">
        <v>1025</v>
      </c>
      <c r="O267" t="s">
        <v>1025</v>
      </c>
      <c r="P267" t="s">
        <v>1110</v>
      </c>
      <c r="Q267" t="s">
        <v>3169</v>
      </c>
      <c r="R267" t="s">
        <v>446</v>
      </c>
      <c r="S267" t="s">
        <v>446</v>
      </c>
      <c r="T267" t="s">
        <v>1965</v>
      </c>
      <c r="U267" t="b">
        <v>0</v>
      </c>
      <c r="V267" t="s">
        <v>446</v>
      </c>
    </row>
    <row r="268" spans="1:22" x14ac:dyDescent="0.25">
      <c r="A268" t="s">
        <v>42</v>
      </c>
      <c r="B268">
        <v>44</v>
      </c>
      <c r="C268" t="s">
        <v>1030</v>
      </c>
      <c r="D268" t="s">
        <v>1286</v>
      </c>
      <c r="E268" t="s">
        <v>1029</v>
      </c>
      <c r="F268">
        <v>-722</v>
      </c>
      <c r="G268" t="s">
        <v>24</v>
      </c>
      <c r="H268" t="s">
        <v>26</v>
      </c>
      <c r="I268" t="s">
        <v>3167</v>
      </c>
      <c r="J268" t="s">
        <v>1033</v>
      </c>
      <c r="K268" t="s">
        <v>3189</v>
      </c>
      <c r="L268" t="s">
        <v>1033</v>
      </c>
      <c r="M268" t="s">
        <v>980</v>
      </c>
      <c r="N268" t="s">
        <v>1031</v>
      </c>
      <c r="O268" t="s">
        <v>1031</v>
      </c>
      <c r="P268" t="s">
        <v>1110</v>
      </c>
      <c r="Q268" t="s">
        <v>3169</v>
      </c>
      <c r="R268" t="s">
        <v>2105</v>
      </c>
      <c r="S268" t="s">
        <v>2951</v>
      </c>
      <c r="T268" t="s">
        <v>3239</v>
      </c>
      <c r="U268" t="b">
        <v>0</v>
      </c>
      <c r="V268" t="s">
        <v>2104</v>
      </c>
    </row>
    <row r="269" spans="1:22" x14ac:dyDescent="0.25">
      <c r="A269" t="s">
        <v>42</v>
      </c>
      <c r="B269">
        <v>44</v>
      </c>
      <c r="C269" t="s">
        <v>1036</v>
      </c>
      <c r="D269" t="s">
        <v>1288</v>
      </c>
      <c r="E269" t="s">
        <v>1035</v>
      </c>
      <c r="F269">
        <v>-993</v>
      </c>
      <c r="G269" t="s">
        <v>24</v>
      </c>
      <c r="H269" t="s">
        <v>26</v>
      </c>
      <c r="I269" t="s">
        <v>3167</v>
      </c>
      <c r="J269" t="s">
        <v>1038</v>
      </c>
      <c r="K269" t="s">
        <v>3191</v>
      </c>
      <c r="L269" t="s">
        <v>1038</v>
      </c>
      <c r="M269" t="s">
        <v>980</v>
      </c>
      <c r="N269" t="s">
        <v>1037</v>
      </c>
      <c r="O269" t="s">
        <v>1037</v>
      </c>
      <c r="P269" t="s">
        <v>1110</v>
      </c>
      <c r="Q269" t="s">
        <v>3169</v>
      </c>
      <c r="R269" t="s">
        <v>2105</v>
      </c>
      <c r="S269" t="s">
        <v>2951</v>
      </c>
      <c r="T269" t="s">
        <v>3239</v>
      </c>
      <c r="U269" t="b">
        <v>0</v>
      </c>
      <c r="V269" t="s">
        <v>2104</v>
      </c>
    </row>
    <row r="270" spans="1:22" x14ac:dyDescent="0.25">
      <c r="A270" t="s">
        <v>42</v>
      </c>
      <c r="B270">
        <v>44</v>
      </c>
      <c r="C270" t="s">
        <v>1041</v>
      </c>
      <c r="D270" t="s">
        <v>1290</v>
      </c>
      <c r="E270" t="s">
        <v>1040</v>
      </c>
      <c r="F270">
        <v>-500</v>
      </c>
      <c r="G270" t="s">
        <v>24</v>
      </c>
      <c r="H270" t="s">
        <v>26</v>
      </c>
      <c r="I270" t="s">
        <v>3167</v>
      </c>
      <c r="J270" t="s">
        <v>1043</v>
      </c>
      <c r="K270" t="s">
        <v>3193</v>
      </c>
      <c r="L270" t="s">
        <v>1043</v>
      </c>
      <c r="M270" t="s">
        <v>980</v>
      </c>
      <c r="N270" t="s">
        <v>1042</v>
      </c>
      <c r="O270" t="s">
        <v>1042</v>
      </c>
      <c r="P270" t="s">
        <v>1110</v>
      </c>
      <c r="Q270" t="s">
        <v>3169</v>
      </c>
      <c r="R270" t="s">
        <v>2105</v>
      </c>
      <c r="S270" t="s">
        <v>2951</v>
      </c>
      <c r="T270" t="s">
        <v>3239</v>
      </c>
      <c r="U270" t="b">
        <v>0</v>
      </c>
      <c r="V270" t="s">
        <v>2104</v>
      </c>
    </row>
    <row r="271" spans="1:22" x14ac:dyDescent="0.25">
      <c r="A271" t="s">
        <v>42</v>
      </c>
      <c r="B271">
        <v>44</v>
      </c>
      <c r="C271" t="s">
        <v>1046</v>
      </c>
      <c r="D271" t="s">
        <v>1292</v>
      </c>
      <c r="E271" t="s">
        <v>1045</v>
      </c>
      <c r="F271">
        <v>-646</v>
      </c>
      <c r="G271" t="s">
        <v>24</v>
      </c>
      <c r="H271" t="s">
        <v>26</v>
      </c>
      <c r="I271" t="s">
        <v>3167</v>
      </c>
      <c r="J271" t="s">
        <v>1048</v>
      </c>
      <c r="K271" t="s">
        <v>3195</v>
      </c>
      <c r="L271" t="s">
        <v>1048</v>
      </c>
      <c r="M271" t="s">
        <v>1000</v>
      </c>
      <c r="N271" t="s">
        <v>1047</v>
      </c>
      <c r="O271" t="s">
        <v>1047</v>
      </c>
      <c r="P271" t="s">
        <v>1110</v>
      </c>
      <c r="Q271" t="s">
        <v>3169</v>
      </c>
      <c r="R271" t="s">
        <v>2113</v>
      </c>
      <c r="S271" t="s">
        <v>2951</v>
      </c>
      <c r="T271" t="s">
        <v>3239</v>
      </c>
      <c r="U271" t="b">
        <v>0</v>
      </c>
      <c r="V271" t="s">
        <v>1950</v>
      </c>
    </row>
    <row r="272" spans="1:22" x14ac:dyDescent="0.25">
      <c r="A272" t="s">
        <v>42</v>
      </c>
      <c r="B272">
        <v>44</v>
      </c>
      <c r="C272" t="s">
        <v>1050</v>
      </c>
      <c r="D272" t="s">
        <v>3349</v>
      </c>
      <c r="E272" t="s">
        <v>1032</v>
      </c>
      <c r="F272" t="s">
        <v>3350</v>
      </c>
      <c r="G272" t="s">
        <v>24</v>
      </c>
      <c r="H272" t="s">
        <v>26</v>
      </c>
      <c r="I272" t="s">
        <v>3167</v>
      </c>
      <c r="J272" t="s">
        <v>1048</v>
      </c>
      <c r="K272" t="s">
        <v>3195</v>
      </c>
      <c r="L272" t="s">
        <v>1048</v>
      </c>
      <c r="M272" t="s">
        <v>1000</v>
      </c>
      <c r="N272" t="s">
        <v>1047</v>
      </c>
      <c r="O272" t="s">
        <v>1047</v>
      </c>
      <c r="P272" t="s">
        <v>1110</v>
      </c>
      <c r="Q272" t="s">
        <v>3169</v>
      </c>
      <c r="R272" t="s">
        <v>446</v>
      </c>
      <c r="S272" t="s">
        <v>446</v>
      </c>
      <c r="T272" t="s">
        <v>1965</v>
      </c>
      <c r="U272" t="b">
        <v>0</v>
      </c>
      <c r="V272" t="s">
        <v>446</v>
      </c>
    </row>
    <row r="273" spans="1:22" x14ac:dyDescent="0.25">
      <c r="A273" t="s">
        <v>42</v>
      </c>
      <c r="B273">
        <v>44</v>
      </c>
      <c r="C273" t="s">
        <v>1052</v>
      </c>
      <c r="D273" t="s">
        <v>1294</v>
      </c>
      <c r="E273" t="s">
        <v>1051</v>
      </c>
      <c r="F273">
        <v>-645</v>
      </c>
      <c r="G273" t="s">
        <v>24</v>
      </c>
      <c r="H273" t="s">
        <v>26</v>
      </c>
      <c r="I273" t="s">
        <v>3167</v>
      </c>
      <c r="J273" t="s">
        <v>1055</v>
      </c>
      <c r="K273" t="s">
        <v>3199</v>
      </c>
      <c r="L273" t="s">
        <v>1055</v>
      </c>
      <c r="M273" t="s">
        <v>980</v>
      </c>
      <c r="N273" t="s">
        <v>1053</v>
      </c>
      <c r="O273" t="s">
        <v>1053</v>
      </c>
      <c r="P273" t="s">
        <v>1110</v>
      </c>
      <c r="Q273" t="s">
        <v>3169</v>
      </c>
      <c r="R273" t="s">
        <v>2105</v>
      </c>
      <c r="S273" t="s">
        <v>2951</v>
      </c>
      <c r="T273" t="s">
        <v>3239</v>
      </c>
      <c r="U273" t="b">
        <v>0</v>
      </c>
      <c r="V273" t="s">
        <v>2104</v>
      </c>
    </row>
    <row r="274" spans="1:22" x14ac:dyDescent="0.25">
      <c r="A274" t="s">
        <v>42</v>
      </c>
      <c r="B274">
        <v>45</v>
      </c>
      <c r="C274" t="s">
        <v>979</v>
      </c>
      <c r="D274" t="s">
        <v>2953</v>
      </c>
      <c r="E274" t="s">
        <v>978</v>
      </c>
      <c r="F274" t="s">
        <v>3351</v>
      </c>
      <c r="G274" t="s">
        <v>24</v>
      </c>
      <c r="H274" t="s">
        <v>26</v>
      </c>
      <c r="I274" t="s">
        <v>3167</v>
      </c>
      <c r="J274" t="s">
        <v>984</v>
      </c>
      <c r="K274" t="s">
        <v>3168</v>
      </c>
      <c r="L274" t="s">
        <v>984</v>
      </c>
      <c r="M274" t="s">
        <v>980</v>
      </c>
      <c r="N274" t="s">
        <v>981</v>
      </c>
      <c r="O274" t="s">
        <v>981</v>
      </c>
      <c r="P274" t="s">
        <v>1110</v>
      </c>
      <c r="Q274" t="s">
        <v>3169</v>
      </c>
      <c r="R274" t="s">
        <v>446</v>
      </c>
      <c r="S274" t="s">
        <v>2954</v>
      </c>
      <c r="T274" t="s">
        <v>1965</v>
      </c>
      <c r="U274" t="b">
        <v>0</v>
      </c>
      <c r="V274" t="s">
        <v>2955</v>
      </c>
    </row>
    <row r="275" spans="1:22" x14ac:dyDescent="0.25">
      <c r="A275" t="s">
        <v>42</v>
      </c>
      <c r="B275">
        <v>45</v>
      </c>
      <c r="C275" t="s">
        <v>987</v>
      </c>
      <c r="D275" t="s">
        <v>2956</v>
      </c>
      <c r="E275" t="s">
        <v>986</v>
      </c>
      <c r="F275" t="s">
        <v>3352</v>
      </c>
      <c r="G275" t="s">
        <v>24</v>
      </c>
      <c r="H275" t="s">
        <v>26</v>
      </c>
      <c r="I275" t="s">
        <v>3167</v>
      </c>
      <c r="J275" t="s">
        <v>990</v>
      </c>
      <c r="K275" t="s">
        <v>3171</v>
      </c>
      <c r="L275" t="s">
        <v>990</v>
      </c>
      <c r="M275" t="s">
        <v>980</v>
      </c>
      <c r="N275" t="s">
        <v>988</v>
      </c>
      <c r="O275" t="s">
        <v>988</v>
      </c>
      <c r="P275" t="s">
        <v>1110</v>
      </c>
      <c r="Q275" t="s">
        <v>3169</v>
      </c>
      <c r="R275" t="s">
        <v>446</v>
      </c>
      <c r="S275" t="s">
        <v>2954</v>
      </c>
      <c r="T275" t="s">
        <v>1965</v>
      </c>
      <c r="U275" t="b">
        <v>0</v>
      </c>
      <c r="V275" t="s">
        <v>2955</v>
      </c>
    </row>
    <row r="276" spans="1:22" x14ac:dyDescent="0.25">
      <c r="A276" t="s">
        <v>42</v>
      </c>
      <c r="B276">
        <v>45</v>
      </c>
      <c r="C276" t="s">
        <v>993</v>
      </c>
      <c r="D276" t="s">
        <v>2957</v>
      </c>
      <c r="E276" t="s">
        <v>992</v>
      </c>
      <c r="F276" t="s">
        <v>3353</v>
      </c>
      <c r="G276" t="s">
        <v>24</v>
      </c>
      <c r="H276" t="s">
        <v>26</v>
      </c>
      <c r="I276" t="s">
        <v>3167</v>
      </c>
      <c r="J276" t="s">
        <v>996</v>
      </c>
      <c r="K276" t="s">
        <v>3173</v>
      </c>
      <c r="L276" t="s">
        <v>996</v>
      </c>
      <c r="M276" t="s">
        <v>980</v>
      </c>
      <c r="N276" t="s">
        <v>994</v>
      </c>
      <c r="O276" t="s">
        <v>994</v>
      </c>
      <c r="P276" t="s">
        <v>1110</v>
      </c>
      <c r="Q276" t="s">
        <v>3169</v>
      </c>
      <c r="R276" t="s">
        <v>446</v>
      </c>
      <c r="S276" t="s">
        <v>2954</v>
      </c>
      <c r="T276" t="s">
        <v>1965</v>
      </c>
      <c r="U276" t="b">
        <v>0</v>
      </c>
      <c r="V276" t="s">
        <v>2955</v>
      </c>
    </row>
    <row r="277" spans="1:22" x14ac:dyDescent="0.25">
      <c r="A277" t="s">
        <v>42</v>
      </c>
      <c r="B277">
        <v>45</v>
      </c>
      <c r="C277" t="s">
        <v>999</v>
      </c>
      <c r="D277" t="s">
        <v>2958</v>
      </c>
      <c r="E277" t="s">
        <v>998</v>
      </c>
      <c r="F277" t="s">
        <v>3354</v>
      </c>
      <c r="G277" t="s">
        <v>24</v>
      </c>
      <c r="H277" t="s">
        <v>26</v>
      </c>
      <c r="I277" t="s">
        <v>3167</v>
      </c>
      <c r="J277" t="s">
        <v>1003</v>
      </c>
      <c r="K277" t="s">
        <v>3175</v>
      </c>
      <c r="L277" t="s">
        <v>1003</v>
      </c>
      <c r="M277" t="s">
        <v>1000</v>
      </c>
      <c r="N277" t="s">
        <v>1001</v>
      </c>
      <c r="O277" t="s">
        <v>1001</v>
      </c>
      <c r="P277" t="s">
        <v>1110</v>
      </c>
      <c r="Q277" t="s">
        <v>3169</v>
      </c>
      <c r="R277" t="s">
        <v>446</v>
      </c>
      <c r="S277" t="s">
        <v>2954</v>
      </c>
      <c r="T277" t="s">
        <v>1965</v>
      </c>
      <c r="U277" t="b">
        <v>0</v>
      </c>
      <c r="V277" t="s">
        <v>3126</v>
      </c>
    </row>
    <row r="278" spans="1:22" x14ac:dyDescent="0.25">
      <c r="A278" t="s">
        <v>42</v>
      </c>
      <c r="B278">
        <v>45</v>
      </c>
      <c r="C278" t="s">
        <v>1005</v>
      </c>
      <c r="D278" t="s">
        <v>2959</v>
      </c>
      <c r="E278" t="s">
        <v>982</v>
      </c>
      <c r="F278" t="s">
        <v>3355</v>
      </c>
      <c r="G278" t="s">
        <v>24</v>
      </c>
      <c r="H278" t="s">
        <v>26</v>
      </c>
      <c r="I278" t="s">
        <v>3167</v>
      </c>
      <c r="J278" t="s">
        <v>1003</v>
      </c>
      <c r="K278" t="s">
        <v>3175</v>
      </c>
      <c r="L278" t="s">
        <v>1003</v>
      </c>
      <c r="M278" t="s">
        <v>1000</v>
      </c>
      <c r="N278" t="s">
        <v>1001</v>
      </c>
      <c r="O278" t="s">
        <v>1001</v>
      </c>
      <c r="P278" t="s">
        <v>1110</v>
      </c>
      <c r="Q278" t="s">
        <v>3169</v>
      </c>
      <c r="R278" t="s">
        <v>446</v>
      </c>
      <c r="S278" t="s">
        <v>2954</v>
      </c>
      <c r="T278" t="s">
        <v>1965</v>
      </c>
      <c r="U278" t="b">
        <v>0</v>
      </c>
      <c r="V278" t="s">
        <v>2955</v>
      </c>
    </row>
    <row r="279" spans="1:22" x14ac:dyDescent="0.25">
      <c r="A279" t="s">
        <v>42</v>
      </c>
      <c r="B279">
        <v>45</v>
      </c>
      <c r="C279" t="s">
        <v>1007</v>
      </c>
      <c r="D279" t="s">
        <v>2960</v>
      </c>
      <c r="E279" t="s">
        <v>1006</v>
      </c>
      <c r="F279" t="s">
        <v>3356</v>
      </c>
      <c r="G279" t="s">
        <v>24</v>
      </c>
      <c r="H279" t="s">
        <v>26</v>
      </c>
      <c r="I279" t="s">
        <v>3167</v>
      </c>
      <c r="J279" t="s">
        <v>1967</v>
      </c>
      <c r="K279" t="s">
        <v>3227</v>
      </c>
      <c r="L279" t="s">
        <v>1967</v>
      </c>
      <c r="M279" t="s">
        <v>1008</v>
      </c>
      <c r="N279" t="s">
        <v>1009</v>
      </c>
      <c r="O279" t="s">
        <v>1009</v>
      </c>
      <c r="P279" t="s">
        <v>1110</v>
      </c>
      <c r="Q279" t="s">
        <v>3169</v>
      </c>
      <c r="R279" t="s">
        <v>446</v>
      </c>
      <c r="S279" t="s">
        <v>2954</v>
      </c>
      <c r="T279" t="s">
        <v>1965</v>
      </c>
      <c r="U279" t="b">
        <v>0</v>
      </c>
      <c r="V279" t="s">
        <v>2955</v>
      </c>
    </row>
    <row r="280" spans="1:22" x14ac:dyDescent="0.25">
      <c r="A280" t="s">
        <v>42</v>
      </c>
      <c r="B280">
        <v>45</v>
      </c>
      <c r="C280" t="s">
        <v>1014</v>
      </c>
      <c r="D280" t="s">
        <v>2961</v>
      </c>
      <c r="E280" t="s">
        <v>1013</v>
      </c>
      <c r="F280" t="s">
        <v>3288</v>
      </c>
      <c r="G280" t="s">
        <v>24</v>
      </c>
      <c r="H280" t="s">
        <v>26</v>
      </c>
      <c r="I280" t="s">
        <v>3167</v>
      </c>
      <c r="J280" t="s">
        <v>1016</v>
      </c>
      <c r="K280" t="s">
        <v>3181</v>
      </c>
      <c r="L280" t="s">
        <v>1016</v>
      </c>
      <c r="M280" t="s">
        <v>980</v>
      </c>
      <c r="N280" t="s">
        <v>1015</v>
      </c>
      <c r="O280" t="s">
        <v>1015</v>
      </c>
      <c r="P280" t="s">
        <v>1110</v>
      </c>
      <c r="Q280" t="s">
        <v>3169</v>
      </c>
      <c r="R280" t="s">
        <v>446</v>
      </c>
      <c r="S280" t="s">
        <v>2954</v>
      </c>
      <c r="T280" t="s">
        <v>1965</v>
      </c>
      <c r="U280" t="b">
        <v>0</v>
      </c>
      <c r="V280" t="s">
        <v>2955</v>
      </c>
    </row>
    <row r="281" spans="1:22" x14ac:dyDescent="0.25">
      <c r="A281" t="s">
        <v>42</v>
      </c>
      <c r="B281">
        <v>45</v>
      </c>
      <c r="C281" t="s">
        <v>1019</v>
      </c>
      <c r="D281" t="s">
        <v>2962</v>
      </c>
      <c r="E281" t="s">
        <v>1018</v>
      </c>
      <c r="F281" t="s">
        <v>3357</v>
      </c>
      <c r="G281" t="s">
        <v>24</v>
      </c>
      <c r="H281" t="s">
        <v>26</v>
      </c>
      <c r="I281" t="s">
        <v>3167</v>
      </c>
      <c r="J281" t="s">
        <v>1021</v>
      </c>
      <c r="K281" t="s">
        <v>3183</v>
      </c>
      <c r="L281" t="s">
        <v>1021</v>
      </c>
      <c r="M281" t="s">
        <v>980</v>
      </c>
      <c r="N281" t="s">
        <v>1020</v>
      </c>
      <c r="O281" t="s">
        <v>1020</v>
      </c>
      <c r="P281" t="s">
        <v>1110</v>
      </c>
      <c r="Q281" t="s">
        <v>3169</v>
      </c>
      <c r="R281" t="s">
        <v>446</v>
      </c>
      <c r="S281" t="s">
        <v>2954</v>
      </c>
      <c r="T281" t="s">
        <v>1965</v>
      </c>
      <c r="U281" t="b">
        <v>0</v>
      </c>
      <c r="V281" t="s">
        <v>2955</v>
      </c>
    </row>
    <row r="282" spans="1:22" x14ac:dyDescent="0.25">
      <c r="A282" t="s">
        <v>42</v>
      </c>
      <c r="B282">
        <v>45</v>
      </c>
      <c r="C282" t="s">
        <v>1024</v>
      </c>
      <c r="D282" t="s">
        <v>2963</v>
      </c>
      <c r="E282" t="s">
        <v>1023</v>
      </c>
      <c r="F282" t="s">
        <v>3358</v>
      </c>
      <c r="G282" t="s">
        <v>24</v>
      </c>
      <c r="H282" t="s">
        <v>26</v>
      </c>
      <c r="I282" t="s">
        <v>3167</v>
      </c>
      <c r="J282" t="s">
        <v>1026</v>
      </c>
      <c r="K282" t="s">
        <v>3185</v>
      </c>
      <c r="L282" t="s">
        <v>1026</v>
      </c>
      <c r="M282" t="s">
        <v>1000</v>
      </c>
      <c r="N282" t="s">
        <v>1025</v>
      </c>
      <c r="O282" t="s">
        <v>1025</v>
      </c>
      <c r="P282" t="s">
        <v>1110</v>
      </c>
      <c r="Q282" t="s">
        <v>3169</v>
      </c>
      <c r="R282" t="s">
        <v>446</v>
      </c>
      <c r="S282" t="s">
        <v>2954</v>
      </c>
      <c r="T282" t="s">
        <v>1965</v>
      </c>
      <c r="U282" t="b">
        <v>0</v>
      </c>
      <c r="V282" t="s">
        <v>3126</v>
      </c>
    </row>
    <row r="283" spans="1:22" x14ac:dyDescent="0.25">
      <c r="A283" t="s">
        <v>42</v>
      </c>
      <c r="B283">
        <v>45</v>
      </c>
      <c r="C283" t="s">
        <v>1028</v>
      </c>
      <c r="D283" t="s">
        <v>2964</v>
      </c>
      <c r="E283" t="s">
        <v>1010</v>
      </c>
      <c r="F283" t="s">
        <v>3359</v>
      </c>
      <c r="G283" t="s">
        <v>24</v>
      </c>
      <c r="H283" t="s">
        <v>26</v>
      </c>
      <c r="I283" t="s">
        <v>3167</v>
      </c>
      <c r="J283" t="s">
        <v>1026</v>
      </c>
      <c r="K283" t="s">
        <v>3185</v>
      </c>
      <c r="L283" t="s">
        <v>1026</v>
      </c>
      <c r="M283" t="s">
        <v>1000</v>
      </c>
      <c r="N283" t="s">
        <v>1025</v>
      </c>
      <c r="O283" t="s">
        <v>1025</v>
      </c>
      <c r="P283" t="s">
        <v>1110</v>
      </c>
      <c r="Q283" t="s">
        <v>3169</v>
      </c>
      <c r="R283" t="s">
        <v>446</v>
      </c>
      <c r="S283" t="s">
        <v>2954</v>
      </c>
      <c r="T283" t="s">
        <v>1965</v>
      </c>
      <c r="U283" t="b">
        <v>0</v>
      </c>
      <c r="V283" t="s">
        <v>2955</v>
      </c>
    </row>
    <row r="284" spans="1:22" x14ac:dyDescent="0.25">
      <c r="A284" t="s">
        <v>42</v>
      </c>
      <c r="B284">
        <v>45</v>
      </c>
      <c r="C284" t="s">
        <v>1030</v>
      </c>
      <c r="D284" t="s">
        <v>2965</v>
      </c>
      <c r="E284" t="s">
        <v>1029</v>
      </c>
      <c r="F284" t="s">
        <v>3360</v>
      </c>
      <c r="G284" t="s">
        <v>24</v>
      </c>
      <c r="H284" t="s">
        <v>26</v>
      </c>
      <c r="I284" t="s">
        <v>3167</v>
      </c>
      <c r="J284" t="s">
        <v>1033</v>
      </c>
      <c r="K284" t="s">
        <v>3189</v>
      </c>
      <c r="L284" t="s">
        <v>1033</v>
      </c>
      <c r="M284" t="s">
        <v>980</v>
      </c>
      <c r="N284" t="s">
        <v>1031</v>
      </c>
      <c r="O284" t="s">
        <v>1031</v>
      </c>
      <c r="P284" t="s">
        <v>1110</v>
      </c>
      <c r="Q284" t="s">
        <v>3169</v>
      </c>
      <c r="R284" t="s">
        <v>446</v>
      </c>
      <c r="S284" t="s">
        <v>2954</v>
      </c>
      <c r="T284" t="s">
        <v>1965</v>
      </c>
      <c r="U284" t="b">
        <v>0</v>
      </c>
      <c r="V284" t="s">
        <v>2955</v>
      </c>
    </row>
    <row r="285" spans="1:22" x14ac:dyDescent="0.25">
      <c r="A285" t="s">
        <v>42</v>
      </c>
      <c r="B285">
        <v>45</v>
      </c>
      <c r="C285" t="s">
        <v>1036</v>
      </c>
      <c r="D285" t="s">
        <v>2966</v>
      </c>
      <c r="E285" t="s">
        <v>1035</v>
      </c>
      <c r="F285" t="s">
        <v>3361</v>
      </c>
      <c r="G285" t="s">
        <v>24</v>
      </c>
      <c r="H285" t="s">
        <v>26</v>
      </c>
      <c r="I285" t="s">
        <v>3167</v>
      </c>
      <c r="J285" t="s">
        <v>1038</v>
      </c>
      <c r="K285" t="s">
        <v>3191</v>
      </c>
      <c r="L285" t="s">
        <v>1038</v>
      </c>
      <c r="M285" t="s">
        <v>980</v>
      </c>
      <c r="N285" t="s">
        <v>1037</v>
      </c>
      <c r="O285" t="s">
        <v>1037</v>
      </c>
      <c r="P285" t="s">
        <v>1110</v>
      </c>
      <c r="Q285" t="s">
        <v>3169</v>
      </c>
      <c r="R285" t="s">
        <v>446</v>
      </c>
      <c r="S285" t="s">
        <v>2954</v>
      </c>
      <c r="T285" t="s">
        <v>1965</v>
      </c>
      <c r="U285" t="b">
        <v>0</v>
      </c>
      <c r="V285" t="s">
        <v>2955</v>
      </c>
    </row>
    <row r="286" spans="1:22" x14ac:dyDescent="0.25">
      <c r="A286" t="s">
        <v>42</v>
      </c>
      <c r="B286">
        <v>45</v>
      </c>
      <c r="C286" t="s">
        <v>1041</v>
      </c>
      <c r="D286" t="s">
        <v>2967</v>
      </c>
      <c r="E286" t="s">
        <v>1040</v>
      </c>
      <c r="F286" t="s">
        <v>3362</v>
      </c>
      <c r="G286" t="s">
        <v>24</v>
      </c>
      <c r="H286" t="s">
        <v>26</v>
      </c>
      <c r="I286" t="s">
        <v>3167</v>
      </c>
      <c r="J286" t="s">
        <v>1043</v>
      </c>
      <c r="K286" t="s">
        <v>3193</v>
      </c>
      <c r="L286" t="s">
        <v>1043</v>
      </c>
      <c r="M286" t="s">
        <v>980</v>
      </c>
      <c r="N286" t="s">
        <v>1042</v>
      </c>
      <c r="O286" t="s">
        <v>1042</v>
      </c>
      <c r="P286" t="s">
        <v>1110</v>
      </c>
      <c r="Q286" t="s">
        <v>3169</v>
      </c>
      <c r="R286" t="s">
        <v>446</v>
      </c>
      <c r="S286" t="s">
        <v>2954</v>
      </c>
      <c r="T286" t="s">
        <v>1965</v>
      </c>
      <c r="U286" t="b">
        <v>0</v>
      </c>
      <c r="V286" t="s">
        <v>2955</v>
      </c>
    </row>
    <row r="287" spans="1:22" x14ac:dyDescent="0.25">
      <c r="A287" t="s">
        <v>42</v>
      </c>
      <c r="B287">
        <v>45</v>
      </c>
      <c r="C287" t="s">
        <v>1046</v>
      </c>
      <c r="D287" t="s">
        <v>2968</v>
      </c>
      <c r="E287" t="s">
        <v>1045</v>
      </c>
      <c r="F287" t="s">
        <v>3363</v>
      </c>
      <c r="G287" t="s">
        <v>24</v>
      </c>
      <c r="H287" t="s">
        <v>26</v>
      </c>
      <c r="I287" t="s">
        <v>3167</v>
      </c>
      <c r="J287" t="s">
        <v>1048</v>
      </c>
      <c r="K287" t="s">
        <v>3195</v>
      </c>
      <c r="L287" t="s">
        <v>1048</v>
      </c>
      <c r="M287" t="s">
        <v>1000</v>
      </c>
      <c r="N287" t="s">
        <v>1047</v>
      </c>
      <c r="O287" t="s">
        <v>1047</v>
      </c>
      <c r="P287" t="s">
        <v>1110</v>
      </c>
      <c r="Q287" t="s">
        <v>3169</v>
      </c>
      <c r="R287" t="s">
        <v>446</v>
      </c>
      <c r="S287" t="s">
        <v>2954</v>
      </c>
      <c r="T287" t="s">
        <v>1965</v>
      </c>
      <c r="U287" t="b">
        <v>0</v>
      </c>
      <c r="V287" t="s">
        <v>3126</v>
      </c>
    </row>
    <row r="288" spans="1:22" x14ac:dyDescent="0.25">
      <c r="A288" t="s">
        <v>42</v>
      </c>
      <c r="B288">
        <v>45</v>
      </c>
      <c r="C288" t="s">
        <v>1050</v>
      </c>
      <c r="D288" t="s">
        <v>2969</v>
      </c>
      <c r="E288" t="s">
        <v>1032</v>
      </c>
      <c r="F288" t="s">
        <v>3364</v>
      </c>
      <c r="G288" t="s">
        <v>24</v>
      </c>
      <c r="H288" t="s">
        <v>26</v>
      </c>
      <c r="I288" t="s">
        <v>3167</v>
      </c>
      <c r="J288" t="s">
        <v>1048</v>
      </c>
      <c r="K288" t="s">
        <v>3195</v>
      </c>
      <c r="L288" t="s">
        <v>1048</v>
      </c>
      <c r="M288" t="s">
        <v>1000</v>
      </c>
      <c r="N288" t="s">
        <v>1047</v>
      </c>
      <c r="O288" t="s">
        <v>1047</v>
      </c>
      <c r="P288" t="s">
        <v>1110</v>
      </c>
      <c r="Q288" t="s">
        <v>3169</v>
      </c>
      <c r="R288" t="s">
        <v>446</v>
      </c>
      <c r="S288" t="s">
        <v>2954</v>
      </c>
      <c r="T288" t="s">
        <v>1965</v>
      </c>
      <c r="U288" t="b">
        <v>0</v>
      </c>
      <c r="V288" t="s">
        <v>2955</v>
      </c>
    </row>
    <row r="289" spans="1:22" x14ac:dyDescent="0.25">
      <c r="A289" t="s">
        <v>42</v>
      </c>
      <c r="B289">
        <v>45</v>
      </c>
      <c r="C289" t="s">
        <v>1052</v>
      </c>
      <c r="D289" t="s">
        <v>2970</v>
      </c>
      <c r="E289" t="s">
        <v>1051</v>
      </c>
      <c r="F289" t="s">
        <v>3365</v>
      </c>
      <c r="G289" t="s">
        <v>24</v>
      </c>
      <c r="H289" t="s">
        <v>26</v>
      </c>
      <c r="I289" t="s">
        <v>3167</v>
      </c>
      <c r="J289" t="s">
        <v>1055</v>
      </c>
      <c r="K289" t="s">
        <v>3199</v>
      </c>
      <c r="L289" t="s">
        <v>1055</v>
      </c>
      <c r="M289" t="s">
        <v>980</v>
      </c>
      <c r="N289" t="s">
        <v>1053</v>
      </c>
      <c r="O289" t="s">
        <v>1053</v>
      </c>
      <c r="P289" t="s">
        <v>1110</v>
      </c>
      <c r="Q289" t="s">
        <v>3169</v>
      </c>
      <c r="R289" t="s">
        <v>446</v>
      </c>
      <c r="S289" t="s">
        <v>2954</v>
      </c>
      <c r="T289" t="s">
        <v>1965</v>
      </c>
      <c r="U289" t="b">
        <v>0</v>
      </c>
      <c r="V289" t="s">
        <v>2955</v>
      </c>
    </row>
    <row r="290" spans="1:22" x14ac:dyDescent="0.25">
      <c r="A290" t="s">
        <v>42</v>
      </c>
      <c r="B290">
        <v>47</v>
      </c>
      <c r="C290" t="s">
        <v>979</v>
      </c>
      <c r="D290" t="s">
        <v>1296</v>
      </c>
      <c r="E290" t="s">
        <v>978</v>
      </c>
      <c r="F290">
        <v>0</v>
      </c>
      <c r="G290" t="s">
        <v>24</v>
      </c>
      <c r="H290" t="s">
        <v>26</v>
      </c>
      <c r="I290" t="s">
        <v>3167</v>
      </c>
      <c r="J290" t="s">
        <v>984</v>
      </c>
      <c r="K290" t="s">
        <v>3168</v>
      </c>
      <c r="L290" t="s">
        <v>984</v>
      </c>
      <c r="M290" t="s">
        <v>980</v>
      </c>
      <c r="N290" t="s">
        <v>981</v>
      </c>
      <c r="O290" t="s">
        <v>981</v>
      </c>
      <c r="P290" t="s">
        <v>1110</v>
      </c>
      <c r="Q290" t="s">
        <v>3169</v>
      </c>
      <c r="R290" t="s">
        <v>2120</v>
      </c>
      <c r="S290" t="s">
        <v>2120</v>
      </c>
      <c r="T290" t="s">
        <v>3271</v>
      </c>
      <c r="U290" t="b">
        <v>0</v>
      </c>
      <c r="V290" t="s">
        <v>1950</v>
      </c>
    </row>
    <row r="291" spans="1:22" x14ac:dyDescent="0.25">
      <c r="A291" t="s">
        <v>42</v>
      </c>
      <c r="B291">
        <v>47</v>
      </c>
      <c r="C291" t="s">
        <v>987</v>
      </c>
      <c r="D291" t="s">
        <v>1297</v>
      </c>
      <c r="E291" t="s">
        <v>986</v>
      </c>
      <c r="F291">
        <v>0</v>
      </c>
      <c r="G291" t="s">
        <v>24</v>
      </c>
      <c r="H291" t="s">
        <v>26</v>
      </c>
      <c r="I291" t="s">
        <v>3167</v>
      </c>
      <c r="J291" t="s">
        <v>990</v>
      </c>
      <c r="K291" t="s">
        <v>3171</v>
      </c>
      <c r="L291" t="s">
        <v>990</v>
      </c>
      <c r="M291" t="s">
        <v>980</v>
      </c>
      <c r="N291" t="s">
        <v>988</v>
      </c>
      <c r="O291" t="s">
        <v>988</v>
      </c>
      <c r="P291" t="s">
        <v>1110</v>
      </c>
      <c r="Q291" t="s">
        <v>3169</v>
      </c>
      <c r="R291" t="s">
        <v>2120</v>
      </c>
      <c r="S291" t="s">
        <v>2120</v>
      </c>
      <c r="T291" t="s">
        <v>3271</v>
      </c>
      <c r="U291" t="b">
        <v>0</v>
      </c>
      <c r="V291" t="s">
        <v>1950</v>
      </c>
    </row>
    <row r="292" spans="1:22" x14ac:dyDescent="0.25">
      <c r="A292" t="s">
        <v>42</v>
      </c>
      <c r="B292">
        <v>47</v>
      </c>
      <c r="C292" t="s">
        <v>993</v>
      </c>
      <c r="D292" t="s">
        <v>1298</v>
      </c>
      <c r="E292" t="s">
        <v>992</v>
      </c>
      <c r="F292">
        <v>0</v>
      </c>
      <c r="G292" t="s">
        <v>24</v>
      </c>
      <c r="H292" t="s">
        <v>26</v>
      </c>
      <c r="I292" t="s">
        <v>3167</v>
      </c>
      <c r="J292" t="s">
        <v>996</v>
      </c>
      <c r="K292" t="s">
        <v>3173</v>
      </c>
      <c r="L292" t="s">
        <v>996</v>
      </c>
      <c r="M292" t="s">
        <v>980</v>
      </c>
      <c r="N292" t="s">
        <v>994</v>
      </c>
      <c r="O292" t="s">
        <v>994</v>
      </c>
      <c r="P292" t="s">
        <v>1110</v>
      </c>
      <c r="Q292" t="s">
        <v>3169</v>
      </c>
      <c r="R292" t="s">
        <v>2120</v>
      </c>
      <c r="S292" t="s">
        <v>2120</v>
      </c>
      <c r="T292" t="s">
        <v>3271</v>
      </c>
      <c r="U292" t="b">
        <v>0</v>
      </c>
      <c r="V292" t="s">
        <v>1950</v>
      </c>
    </row>
    <row r="293" spans="1:22" x14ac:dyDescent="0.25">
      <c r="A293" t="s">
        <v>42</v>
      </c>
      <c r="B293">
        <v>47</v>
      </c>
      <c r="C293" t="s">
        <v>999</v>
      </c>
      <c r="D293" t="s">
        <v>1299</v>
      </c>
      <c r="E293" t="s">
        <v>998</v>
      </c>
      <c r="F293">
        <v>0</v>
      </c>
      <c r="G293" t="s">
        <v>24</v>
      </c>
      <c r="H293" t="s">
        <v>26</v>
      </c>
      <c r="I293" t="s">
        <v>3167</v>
      </c>
      <c r="J293" t="s">
        <v>1003</v>
      </c>
      <c r="K293" t="s">
        <v>3175</v>
      </c>
      <c r="L293" t="s">
        <v>1003</v>
      </c>
      <c r="M293" t="s">
        <v>1000</v>
      </c>
      <c r="N293" t="s">
        <v>1001</v>
      </c>
      <c r="O293" t="s">
        <v>1001</v>
      </c>
      <c r="P293" t="s">
        <v>1110</v>
      </c>
      <c r="Q293" t="s">
        <v>3169</v>
      </c>
      <c r="R293" t="s">
        <v>2120</v>
      </c>
      <c r="S293" t="s">
        <v>2120</v>
      </c>
      <c r="T293" t="s">
        <v>3271</v>
      </c>
      <c r="U293" t="b">
        <v>0</v>
      </c>
      <c r="V293" t="s">
        <v>1950</v>
      </c>
    </row>
    <row r="294" spans="1:22" x14ac:dyDescent="0.25">
      <c r="A294" t="s">
        <v>42</v>
      </c>
      <c r="B294">
        <v>47</v>
      </c>
      <c r="C294" t="s">
        <v>1005</v>
      </c>
      <c r="D294" t="s">
        <v>3366</v>
      </c>
      <c r="E294" t="s">
        <v>982</v>
      </c>
      <c r="F294" t="s">
        <v>3218</v>
      </c>
      <c r="G294" t="s">
        <v>24</v>
      </c>
      <c r="H294" t="s">
        <v>26</v>
      </c>
      <c r="I294" t="s">
        <v>3167</v>
      </c>
      <c r="J294" t="s">
        <v>1003</v>
      </c>
      <c r="K294" t="s">
        <v>3175</v>
      </c>
      <c r="L294" t="s">
        <v>1003</v>
      </c>
      <c r="M294" t="s">
        <v>1000</v>
      </c>
      <c r="N294" t="s">
        <v>1001</v>
      </c>
      <c r="O294" t="s">
        <v>1001</v>
      </c>
      <c r="P294" t="s">
        <v>1110</v>
      </c>
      <c r="Q294" t="s">
        <v>3169</v>
      </c>
      <c r="R294" t="s">
        <v>446</v>
      </c>
      <c r="S294" t="s">
        <v>446</v>
      </c>
      <c r="T294" t="s">
        <v>1965</v>
      </c>
      <c r="U294" t="b">
        <v>0</v>
      </c>
      <c r="V294" t="s">
        <v>446</v>
      </c>
    </row>
    <row r="295" spans="1:22" x14ac:dyDescent="0.25">
      <c r="A295" t="s">
        <v>42</v>
      </c>
      <c r="B295">
        <v>47</v>
      </c>
      <c r="C295" t="s">
        <v>1007</v>
      </c>
      <c r="D295" t="s">
        <v>1300</v>
      </c>
      <c r="E295" t="s">
        <v>1006</v>
      </c>
      <c r="F295">
        <v>0</v>
      </c>
      <c r="G295" t="s">
        <v>24</v>
      </c>
      <c r="H295" t="s">
        <v>26</v>
      </c>
      <c r="I295" t="s">
        <v>3167</v>
      </c>
      <c r="J295" t="s">
        <v>1011</v>
      </c>
      <c r="K295" t="s">
        <v>3179</v>
      </c>
      <c r="L295" t="s">
        <v>1011</v>
      </c>
      <c r="M295" t="s">
        <v>1008</v>
      </c>
      <c r="N295" t="s">
        <v>1009</v>
      </c>
      <c r="O295" t="s">
        <v>1009</v>
      </c>
      <c r="P295" t="s">
        <v>1110</v>
      </c>
      <c r="Q295" t="s">
        <v>3169</v>
      </c>
      <c r="R295" t="s">
        <v>2120</v>
      </c>
      <c r="S295" t="s">
        <v>2120</v>
      </c>
      <c r="T295" t="s">
        <v>3271</v>
      </c>
      <c r="U295" t="b">
        <v>0</v>
      </c>
      <c r="V295" t="s">
        <v>1950</v>
      </c>
    </row>
    <row r="296" spans="1:22" x14ac:dyDescent="0.25">
      <c r="A296" t="s">
        <v>42</v>
      </c>
      <c r="B296">
        <v>47</v>
      </c>
      <c r="C296" t="s">
        <v>1014</v>
      </c>
      <c r="D296" t="s">
        <v>1301</v>
      </c>
      <c r="E296" t="s">
        <v>1013</v>
      </c>
      <c r="F296">
        <v>0</v>
      </c>
      <c r="G296" t="s">
        <v>24</v>
      </c>
      <c r="H296" t="s">
        <v>26</v>
      </c>
      <c r="I296" t="s">
        <v>3167</v>
      </c>
      <c r="J296" t="s">
        <v>1016</v>
      </c>
      <c r="K296" t="s">
        <v>3181</v>
      </c>
      <c r="L296" t="s">
        <v>1016</v>
      </c>
      <c r="M296" t="s">
        <v>980</v>
      </c>
      <c r="N296" t="s">
        <v>1015</v>
      </c>
      <c r="O296" t="s">
        <v>1015</v>
      </c>
      <c r="P296" t="s">
        <v>1110</v>
      </c>
      <c r="Q296" t="s">
        <v>3169</v>
      </c>
      <c r="R296" t="s">
        <v>2120</v>
      </c>
      <c r="S296" t="s">
        <v>2120</v>
      </c>
      <c r="T296" t="s">
        <v>3271</v>
      </c>
      <c r="U296" t="b">
        <v>0</v>
      </c>
      <c r="V296" t="s">
        <v>1950</v>
      </c>
    </row>
    <row r="297" spans="1:22" x14ac:dyDescent="0.25">
      <c r="A297" t="s">
        <v>42</v>
      </c>
      <c r="B297">
        <v>47</v>
      </c>
      <c r="C297" t="s">
        <v>1019</v>
      </c>
      <c r="D297" t="s">
        <v>1302</v>
      </c>
      <c r="E297" t="s">
        <v>1018</v>
      </c>
      <c r="F297">
        <v>0</v>
      </c>
      <c r="G297" t="s">
        <v>24</v>
      </c>
      <c r="H297" t="s">
        <v>26</v>
      </c>
      <c r="I297" t="s">
        <v>3167</v>
      </c>
      <c r="J297" t="s">
        <v>1021</v>
      </c>
      <c r="K297" t="s">
        <v>3183</v>
      </c>
      <c r="L297" t="s">
        <v>1021</v>
      </c>
      <c r="M297" t="s">
        <v>980</v>
      </c>
      <c r="N297" t="s">
        <v>1020</v>
      </c>
      <c r="O297" t="s">
        <v>1020</v>
      </c>
      <c r="P297" t="s">
        <v>1110</v>
      </c>
      <c r="Q297" t="s">
        <v>3169</v>
      </c>
      <c r="R297" t="s">
        <v>2120</v>
      </c>
      <c r="S297" t="s">
        <v>2120</v>
      </c>
      <c r="T297" t="s">
        <v>3271</v>
      </c>
      <c r="U297" t="b">
        <v>0</v>
      </c>
      <c r="V297" t="s">
        <v>1950</v>
      </c>
    </row>
    <row r="298" spans="1:22" x14ac:dyDescent="0.25">
      <c r="A298" t="s">
        <v>42</v>
      </c>
      <c r="B298">
        <v>47</v>
      </c>
      <c r="C298" t="s">
        <v>1024</v>
      </c>
      <c r="D298" t="s">
        <v>1303</v>
      </c>
      <c r="E298" t="s">
        <v>1023</v>
      </c>
      <c r="F298">
        <v>0</v>
      </c>
      <c r="G298" t="s">
        <v>24</v>
      </c>
      <c r="H298" t="s">
        <v>26</v>
      </c>
      <c r="I298" t="s">
        <v>3167</v>
      </c>
      <c r="J298" t="s">
        <v>1026</v>
      </c>
      <c r="K298" t="s">
        <v>3185</v>
      </c>
      <c r="L298" t="s">
        <v>1026</v>
      </c>
      <c r="M298" t="s">
        <v>1000</v>
      </c>
      <c r="N298" t="s">
        <v>1025</v>
      </c>
      <c r="O298" t="s">
        <v>1025</v>
      </c>
      <c r="P298" t="s">
        <v>1110</v>
      </c>
      <c r="Q298" t="s">
        <v>3169</v>
      </c>
      <c r="R298" t="s">
        <v>2120</v>
      </c>
      <c r="S298" t="s">
        <v>2120</v>
      </c>
      <c r="T298" t="s">
        <v>3271</v>
      </c>
      <c r="U298" t="b">
        <v>0</v>
      </c>
      <c r="V298" t="s">
        <v>1950</v>
      </c>
    </row>
    <row r="299" spans="1:22" x14ac:dyDescent="0.25">
      <c r="A299" t="s">
        <v>42</v>
      </c>
      <c r="B299">
        <v>47</v>
      </c>
      <c r="C299" t="s">
        <v>1028</v>
      </c>
      <c r="D299" t="s">
        <v>3367</v>
      </c>
      <c r="E299" t="s">
        <v>1010</v>
      </c>
      <c r="F299" t="s">
        <v>3218</v>
      </c>
      <c r="G299" t="s">
        <v>24</v>
      </c>
      <c r="H299" t="s">
        <v>26</v>
      </c>
      <c r="I299" t="s">
        <v>3167</v>
      </c>
      <c r="J299" t="s">
        <v>1026</v>
      </c>
      <c r="K299" t="s">
        <v>3185</v>
      </c>
      <c r="L299" t="s">
        <v>1026</v>
      </c>
      <c r="M299" t="s">
        <v>1000</v>
      </c>
      <c r="N299" t="s">
        <v>1025</v>
      </c>
      <c r="O299" t="s">
        <v>1025</v>
      </c>
      <c r="P299" t="s">
        <v>1110</v>
      </c>
      <c r="Q299" t="s">
        <v>3169</v>
      </c>
      <c r="R299" t="s">
        <v>446</v>
      </c>
      <c r="S299" t="s">
        <v>446</v>
      </c>
      <c r="T299" t="s">
        <v>1965</v>
      </c>
      <c r="U299" t="b">
        <v>0</v>
      </c>
      <c r="V299" t="s">
        <v>446</v>
      </c>
    </row>
    <row r="300" spans="1:22" x14ac:dyDescent="0.25">
      <c r="A300" t="s">
        <v>42</v>
      </c>
      <c r="B300">
        <v>47</v>
      </c>
      <c r="C300" t="s">
        <v>1030</v>
      </c>
      <c r="D300" t="s">
        <v>1304</v>
      </c>
      <c r="E300" t="s">
        <v>1029</v>
      </c>
      <c r="F300">
        <v>0</v>
      </c>
      <c r="G300" t="s">
        <v>24</v>
      </c>
      <c r="H300" t="s">
        <v>26</v>
      </c>
      <c r="I300" t="s">
        <v>3167</v>
      </c>
      <c r="J300" t="s">
        <v>1033</v>
      </c>
      <c r="K300" t="s">
        <v>3189</v>
      </c>
      <c r="L300" t="s">
        <v>1033</v>
      </c>
      <c r="M300" t="s">
        <v>980</v>
      </c>
      <c r="N300" t="s">
        <v>1031</v>
      </c>
      <c r="O300" t="s">
        <v>1031</v>
      </c>
      <c r="P300" t="s">
        <v>1110</v>
      </c>
      <c r="Q300" t="s">
        <v>3169</v>
      </c>
      <c r="R300" t="s">
        <v>2120</v>
      </c>
      <c r="S300" t="s">
        <v>2120</v>
      </c>
      <c r="T300" t="s">
        <v>3271</v>
      </c>
      <c r="U300" t="b">
        <v>0</v>
      </c>
      <c r="V300" t="s">
        <v>1950</v>
      </c>
    </row>
    <row r="301" spans="1:22" x14ac:dyDescent="0.25">
      <c r="A301" t="s">
        <v>42</v>
      </c>
      <c r="B301">
        <v>47</v>
      </c>
      <c r="C301" t="s">
        <v>1036</v>
      </c>
      <c r="D301" t="s">
        <v>1305</v>
      </c>
      <c r="E301" t="s">
        <v>1035</v>
      </c>
      <c r="F301">
        <v>0</v>
      </c>
      <c r="G301" t="s">
        <v>24</v>
      </c>
      <c r="H301" t="s">
        <v>26</v>
      </c>
      <c r="I301" t="s">
        <v>3167</v>
      </c>
      <c r="J301" t="s">
        <v>1038</v>
      </c>
      <c r="K301" t="s">
        <v>3191</v>
      </c>
      <c r="L301" t="s">
        <v>1038</v>
      </c>
      <c r="M301" t="s">
        <v>980</v>
      </c>
      <c r="N301" t="s">
        <v>1037</v>
      </c>
      <c r="O301" t="s">
        <v>1037</v>
      </c>
      <c r="P301" t="s">
        <v>1110</v>
      </c>
      <c r="Q301" t="s">
        <v>3169</v>
      </c>
      <c r="R301" t="s">
        <v>2120</v>
      </c>
      <c r="S301" t="s">
        <v>2120</v>
      </c>
      <c r="T301" t="s">
        <v>3271</v>
      </c>
      <c r="U301" t="b">
        <v>0</v>
      </c>
      <c r="V301" t="s">
        <v>1950</v>
      </c>
    </row>
    <row r="302" spans="1:22" x14ac:dyDescent="0.25">
      <c r="A302" t="s">
        <v>42</v>
      </c>
      <c r="B302">
        <v>47</v>
      </c>
      <c r="C302" t="s">
        <v>1041</v>
      </c>
      <c r="D302" t="s">
        <v>1306</v>
      </c>
      <c r="E302" t="s">
        <v>1040</v>
      </c>
      <c r="F302">
        <v>0</v>
      </c>
      <c r="G302" t="s">
        <v>24</v>
      </c>
      <c r="H302" t="s">
        <v>26</v>
      </c>
      <c r="I302" t="s">
        <v>3167</v>
      </c>
      <c r="J302" t="s">
        <v>1043</v>
      </c>
      <c r="K302" t="s">
        <v>3193</v>
      </c>
      <c r="L302" t="s">
        <v>1043</v>
      </c>
      <c r="M302" t="s">
        <v>980</v>
      </c>
      <c r="N302" t="s">
        <v>1042</v>
      </c>
      <c r="O302" t="s">
        <v>1042</v>
      </c>
      <c r="P302" t="s">
        <v>1110</v>
      </c>
      <c r="Q302" t="s">
        <v>3169</v>
      </c>
      <c r="R302" t="s">
        <v>2120</v>
      </c>
      <c r="S302" t="s">
        <v>2120</v>
      </c>
      <c r="T302" t="s">
        <v>3271</v>
      </c>
      <c r="U302" t="b">
        <v>0</v>
      </c>
      <c r="V302" t="s">
        <v>1950</v>
      </c>
    </row>
    <row r="303" spans="1:22" x14ac:dyDescent="0.25">
      <c r="A303" t="s">
        <v>42</v>
      </c>
      <c r="B303">
        <v>47</v>
      </c>
      <c r="C303" t="s">
        <v>1046</v>
      </c>
      <c r="D303" t="s">
        <v>1307</v>
      </c>
      <c r="E303" t="s">
        <v>1045</v>
      </c>
      <c r="F303">
        <v>0</v>
      </c>
      <c r="G303" t="s">
        <v>24</v>
      </c>
      <c r="H303" t="s">
        <v>26</v>
      </c>
      <c r="I303" t="s">
        <v>3167</v>
      </c>
      <c r="J303" t="s">
        <v>1048</v>
      </c>
      <c r="K303" t="s">
        <v>3195</v>
      </c>
      <c r="L303" t="s">
        <v>1048</v>
      </c>
      <c r="M303" t="s">
        <v>1000</v>
      </c>
      <c r="N303" t="s">
        <v>1047</v>
      </c>
      <c r="O303" t="s">
        <v>1047</v>
      </c>
      <c r="P303" t="s">
        <v>1110</v>
      </c>
      <c r="Q303" t="s">
        <v>3169</v>
      </c>
      <c r="R303" t="s">
        <v>2120</v>
      </c>
      <c r="S303" t="s">
        <v>2120</v>
      </c>
      <c r="T303" t="s">
        <v>3271</v>
      </c>
      <c r="U303" t="b">
        <v>0</v>
      </c>
      <c r="V303" t="s">
        <v>1950</v>
      </c>
    </row>
    <row r="304" spans="1:22" x14ac:dyDescent="0.25">
      <c r="A304" t="s">
        <v>42</v>
      </c>
      <c r="B304">
        <v>47</v>
      </c>
      <c r="C304" t="s">
        <v>1050</v>
      </c>
      <c r="D304" t="s">
        <v>3368</v>
      </c>
      <c r="E304" t="s">
        <v>1032</v>
      </c>
      <c r="F304" t="s">
        <v>3218</v>
      </c>
      <c r="G304" t="s">
        <v>24</v>
      </c>
      <c r="H304" t="s">
        <v>26</v>
      </c>
      <c r="I304" t="s">
        <v>3167</v>
      </c>
      <c r="J304" t="s">
        <v>1048</v>
      </c>
      <c r="K304" t="s">
        <v>3195</v>
      </c>
      <c r="L304" t="s">
        <v>1048</v>
      </c>
      <c r="M304" t="s">
        <v>1000</v>
      </c>
      <c r="N304" t="s">
        <v>1047</v>
      </c>
      <c r="O304" t="s">
        <v>1047</v>
      </c>
      <c r="P304" t="s">
        <v>1110</v>
      </c>
      <c r="Q304" t="s">
        <v>3169</v>
      </c>
      <c r="R304" t="s">
        <v>446</v>
      </c>
      <c r="S304" t="s">
        <v>446</v>
      </c>
      <c r="T304" t="s">
        <v>1965</v>
      </c>
      <c r="U304" t="b">
        <v>0</v>
      </c>
      <c r="V304" t="s">
        <v>446</v>
      </c>
    </row>
    <row r="305" spans="1:22" x14ac:dyDescent="0.25">
      <c r="A305" t="s">
        <v>42</v>
      </c>
      <c r="B305">
        <v>47</v>
      </c>
      <c r="C305" t="s">
        <v>1052</v>
      </c>
      <c r="D305" t="s">
        <v>1308</v>
      </c>
      <c r="E305" t="s">
        <v>1051</v>
      </c>
      <c r="F305">
        <v>0</v>
      </c>
      <c r="G305" t="s">
        <v>24</v>
      </c>
      <c r="H305" t="s">
        <v>26</v>
      </c>
      <c r="I305" t="s">
        <v>3167</v>
      </c>
      <c r="J305" t="s">
        <v>1055</v>
      </c>
      <c r="K305" t="s">
        <v>3199</v>
      </c>
      <c r="L305" t="s">
        <v>1055</v>
      </c>
      <c r="M305" t="s">
        <v>980</v>
      </c>
      <c r="N305" t="s">
        <v>1053</v>
      </c>
      <c r="O305" t="s">
        <v>1053</v>
      </c>
      <c r="P305" t="s">
        <v>1110</v>
      </c>
      <c r="Q305" t="s">
        <v>3169</v>
      </c>
      <c r="R305" t="s">
        <v>2120</v>
      </c>
      <c r="S305" t="s">
        <v>2120</v>
      </c>
      <c r="T305" t="s">
        <v>3271</v>
      </c>
      <c r="U305" t="b">
        <v>0</v>
      </c>
      <c r="V305" t="s">
        <v>1950</v>
      </c>
    </row>
    <row r="306" spans="1:22" x14ac:dyDescent="0.25">
      <c r="A306" t="s">
        <v>42</v>
      </c>
      <c r="B306">
        <v>48</v>
      </c>
      <c r="C306" t="s">
        <v>979</v>
      </c>
      <c r="D306" t="s">
        <v>1309</v>
      </c>
      <c r="E306" t="s">
        <v>978</v>
      </c>
      <c r="F306">
        <v>275</v>
      </c>
      <c r="G306" t="s">
        <v>24</v>
      </c>
      <c r="H306" t="s">
        <v>26</v>
      </c>
      <c r="I306" t="s">
        <v>3167</v>
      </c>
      <c r="J306" t="s">
        <v>984</v>
      </c>
      <c r="K306" t="s">
        <v>3168</v>
      </c>
      <c r="L306" t="s">
        <v>984</v>
      </c>
      <c r="M306" t="s">
        <v>980</v>
      </c>
      <c r="N306" t="s">
        <v>981</v>
      </c>
      <c r="O306" t="s">
        <v>981</v>
      </c>
      <c r="P306" t="s">
        <v>1110</v>
      </c>
      <c r="Q306" t="s">
        <v>3169</v>
      </c>
      <c r="R306" t="s">
        <v>2124</v>
      </c>
      <c r="S306" t="s">
        <v>3369</v>
      </c>
      <c r="T306" t="s">
        <v>3239</v>
      </c>
      <c r="U306" t="b">
        <v>0</v>
      </c>
      <c r="V306" t="s">
        <v>2123</v>
      </c>
    </row>
    <row r="307" spans="1:22" x14ac:dyDescent="0.25">
      <c r="A307" t="s">
        <v>42</v>
      </c>
      <c r="B307">
        <v>48</v>
      </c>
      <c r="C307" t="s">
        <v>987</v>
      </c>
      <c r="D307" t="s">
        <v>1310</v>
      </c>
      <c r="E307" t="s">
        <v>986</v>
      </c>
      <c r="F307">
        <v>538</v>
      </c>
      <c r="G307" t="s">
        <v>24</v>
      </c>
      <c r="H307" t="s">
        <v>26</v>
      </c>
      <c r="I307" t="s">
        <v>3167</v>
      </c>
      <c r="J307" t="s">
        <v>990</v>
      </c>
      <c r="K307" t="s">
        <v>3171</v>
      </c>
      <c r="L307" t="s">
        <v>990</v>
      </c>
      <c r="M307" t="s">
        <v>980</v>
      </c>
      <c r="N307" t="s">
        <v>988</v>
      </c>
      <c r="O307" t="s">
        <v>988</v>
      </c>
      <c r="P307" t="s">
        <v>1110</v>
      </c>
      <c r="Q307" t="s">
        <v>3169</v>
      </c>
      <c r="R307" t="s">
        <v>2124</v>
      </c>
      <c r="S307" t="s">
        <v>3369</v>
      </c>
      <c r="T307" t="s">
        <v>3239</v>
      </c>
      <c r="U307" t="b">
        <v>0</v>
      </c>
      <c r="V307" t="s">
        <v>2123</v>
      </c>
    </row>
    <row r="308" spans="1:22" x14ac:dyDescent="0.25">
      <c r="A308" t="s">
        <v>42</v>
      </c>
      <c r="B308">
        <v>48</v>
      </c>
      <c r="C308" t="s">
        <v>993</v>
      </c>
      <c r="D308" t="s">
        <v>2126</v>
      </c>
      <c r="E308" t="s">
        <v>992</v>
      </c>
      <c r="F308" t="s">
        <v>3218</v>
      </c>
      <c r="G308" t="s">
        <v>24</v>
      </c>
      <c r="H308" t="s">
        <v>26</v>
      </c>
      <c r="I308" t="s">
        <v>3167</v>
      </c>
      <c r="J308" t="s">
        <v>996</v>
      </c>
      <c r="K308" t="s">
        <v>3173</v>
      </c>
      <c r="L308" t="s">
        <v>996</v>
      </c>
      <c r="M308" t="s">
        <v>980</v>
      </c>
      <c r="N308" t="s">
        <v>994</v>
      </c>
      <c r="O308" t="s">
        <v>994</v>
      </c>
      <c r="P308" t="s">
        <v>1110</v>
      </c>
      <c r="Q308" t="s">
        <v>3169</v>
      </c>
      <c r="R308" t="s">
        <v>446</v>
      </c>
      <c r="S308" t="s">
        <v>446</v>
      </c>
      <c r="T308" t="s">
        <v>1965</v>
      </c>
      <c r="U308" t="b">
        <v>0</v>
      </c>
      <c r="V308" t="s">
        <v>1962</v>
      </c>
    </row>
    <row r="309" spans="1:22" x14ac:dyDescent="0.25">
      <c r="A309" t="s">
        <v>42</v>
      </c>
      <c r="B309">
        <v>48</v>
      </c>
      <c r="C309" t="s">
        <v>999</v>
      </c>
      <c r="D309" t="s">
        <v>1312</v>
      </c>
      <c r="E309" t="s">
        <v>998</v>
      </c>
      <c r="F309">
        <v>361</v>
      </c>
      <c r="G309" t="s">
        <v>24</v>
      </c>
      <c r="H309" t="s">
        <v>26</v>
      </c>
      <c r="I309" t="s">
        <v>3167</v>
      </c>
      <c r="J309" t="s">
        <v>1003</v>
      </c>
      <c r="K309" t="s">
        <v>3175</v>
      </c>
      <c r="L309" t="s">
        <v>1003</v>
      </c>
      <c r="M309" t="s">
        <v>1000</v>
      </c>
      <c r="N309" t="s">
        <v>1001</v>
      </c>
      <c r="O309" t="s">
        <v>1001</v>
      </c>
      <c r="P309" t="s">
        <v>1110</v>
      </c>
      <c r="Q309" t="s">
        <v>3169</v>
      </c>
      <c r="R309" t="s">
        <v>2128</v>
      </c>
      <c r="S309" t="s">
        <v>3369</v>
      </c>
      <c r="T309" t="s">
        <v>3239</v>
      </c>
      <c r="U309" t="b">
        <v>0</v>
      </c>
      <c r="V309" t="s">
        <v>1950</v>
      </c>
    </row>
    <row r="310" spans="1:22" x14ac:dyDescent="0.25">
      <c r="A310" t="s">
        <v>42</v>
      </c>
      <c r="B310">
        <v>48</v>
      </c>
      <c r="C310" t="s">
        <v>1005</v>
      </c>
      <c r="D310" t="s">
        <v>3370</v>
      </c>
      <c r="E310" t="s">
        <v>982</v>
      </c>
      <c r="F310" t="s">
        <v>3371</v>
      </c>
      <c r="G310" t="s">
        <v>24</v>
      </c>
      <c r="H310" t="s">
        <v>26</v>
      </c>
      <c r="I310" t="s">
        <v>3167</v>
      </c>
      <c r="J310" t="s">
        <v>1003</v>
      </c>
      <c r="K310" t="s">
        <v>3175</v>
      </c>
      <c r="L310" t="s">
        <v>1003</v>
      </c>
      <c r="M310" t="s">
        <v>1000</v>
      </c>
      <c r="N310" t="s">
        <v>1001</v>
      </c>
      <c r="O310" t="s">
        <v>1001</v>
      </c>
      <c r="P310" t="s">
        <v>1110</v>
      </c>
      <c r="Q310" t="s">
        <v>3169</v>
      </c>
      <c r="R310" t="s">
        <v>446</v>
      </c>
      <c r="S310" t="s">
        <v>446</v>
      </c>
      <c r="T310" t="s">
        <v>1965</v>
      </c>
      <c r="U310" t="b">
        <v>0</v>
      </c>
      <c r="V310" t="s">
        <v>446</v>
      </c>
    </row>
    <row r="311" spans="1:22" x14ac:dyDescent="0.25">
      <c r="A311" t="s">
        <v>42</v>
      </c>
      <c r="B311">
        <v>48</v>
      </c>
      <c r="C311" t="s">
        <v>1007</v>
      </c>
      <c r="D311" t="s">
        <v>1314</v>
      </c>
      <c r="E311" t="s">
        <v>1006</v>
      </c>
      <c r="F311">
        <v>354</v>
      </c>
      <c r="G311" t="s">
        <v>24</v>
      </c>
      <c r="H311" t="s">
        <v>26</v>
      </c>
      <c r="I311" t="s">
        <v>3167</v>
      </c>
      <c r="J311" t="s">
        <v>1967</v>
      </c>
      <c r="K311" t="s">
        <v>3227</v>
      </c>
      <c r="L311" t="s">
        <v>1967</v>
      </c>
      <c r="M311" t="s">
        <v>980</v>
      </c>
      <c r="N311" t="s">
        <v>1009</v>
      </c>
      <c r="O311" t="s">
        <v>1009</v>
      </c>
      <c r="P311" t="s">
        <v>1110</v>
      </c>
      <c r="Q311" t="s">
        <v>3169</v>
      </c>
      <c r="R311" t="s">
        <v>2124</v>
      </c>
      <c r="S311" t="s">
        <v>3369</v>
      </c>
      <c r="T311" t="s">
        <v>3239</v>
      </c>
      <c r="U311" t="b">
        <v>0</v>
      </c>
      <c r="V311" t="s">
        <v>2123</v>
      </c>
    </row>
    <row r="312" spans="1:22" x14ac:dyDescent="0.25">
      <c r="A312" t="s">
        <v>42</v>
      </c>
      <c r="B312">
        <v>48</v>
      </c>
      <c r="C312" t="s">
        <v>1014</v>
      </c>
      <c r="D312" t="s">
        <v>1316</v>
      </c>
      <c r="E312" t="s">
        <v>1013</v>
      </c>
      <c r="F312">
        <v>537</v>
      </c>
      <c r="G312" t="s">
        <v>24</v>
      </c>
      <c r="H312" t="s">
        <v>26</v>
      </c>
      <c r="I312" t="s">
        <v>3167</v>
      </c>
      <c r="J312" t="s">
        <v>1016</v>
      </c>
      <c r="K312" t="s">
        <v>3181</v>
      </c>
      <c r="L312" t="s">
        <v>1016</v>
      </c>
      <c r="M312" t="s">
        <v>980</v>
      </c>
      <c r="N312" t="s">
        <v>1015</v>
      </c>
      <c r="O312" t="s">
        <v>1015</v>
      </c>
      <c r="P312" t="s">
        <v>1110</v>
      </c>
      <c r="Q312" t="s">
        <v>3169</v>
      </c>
      <c r="R312" t="s">
        <v>2124</v>
      </c>
      <c r="S312" t="s">
        <v>3369</v>
      </c>
      <c r="T312" t="s">
        <v>3239</v>
      </c>
      <c r="U312" t="b">
        <v>0</v>
      </c>
      <c r="V312" t="s">
        <v>2123</v>
      </c>
    </row>
    <row r="313" spans="1:22" x14ac:dyDescent="0.25">
      <c r="A313" t="s">
        <v>42</v>
      </c>
      <c r="B313">
        <v>48</v>
      </c>
      <c r="C313" t="s">
        <v>1019</v>
      </c>
      <c r="D313" t="s">
        <v>1318</v>
      </c>
      <c r="E313" t="s">
        <v>1018</v>
      </c>
      <c r="F313">
        <v>541</v>
      </c>
      <c r="G313" t="s">
        <v>24</v>
      </c>
      <c r="H313" t="s">
        <v>26</v>
      </c>
      <c r="I313" t="s">
        <v>3167</v>
      </c>
      <c r="J313" t="s">
        <v>1021</v>
      </c>
      <c r="K313" t="s">
        <v>3183</v>
      </c>
      <c r="L313" t="s">
        <v>1021</v>
      </c>
      <c r="M313" t="s">
        <v>980</v>
      </c>
      <c r="N313" t="s">
        <v>1020</v>
      </c>
      <c r="O313" t="s">
        <v>1020</v>
      </c>
      <c r="P313" t="s">
        <v>1110</v>
      </c>
      <c r="Q313" t="s">
        <v>3169</v>
      </c>
      <c r="R313" t="s">
        <v>2124</v>
      </c>
      <c r="S313" t="s">
        <v>3369</v>
      </c>
      <c r="T313" t="s">
        <v>3239</v>
      </c>
      <c r="U313" t="b">
        <v>0</v>
      </c>
      <c r="V313" t="s">
        <v>2123</v>
      </c>
    </row>
    <row r="314" spans="1:22" x14ac:dyDescent="0.25">
      <c r="A314" t="s">
        <v>42</v>
      </c>
      <c r="B314">
        <v>48</v>
      </c>
      <c r="C314" t="s">
        <v>1024</v>
      </c>
      <c r="D314" t="s">
        <v>1320</v>
      </c>
      <c r="E314" t="s">
        <v>1023</v>
      </c>
      <c r="F314">
        <v>338</v>
      </c>
      <c r="G314" t="s">
        <v>24</v>
      </c>
      <c r="H314" t="s">
        <v>26</v>
      </c>
      <c r="I314" t="s">
        <v>3167</v>
      </c>
      <c r="J314" t="s">
        <v>1026</v>
      </c>
      <c r="K314" t="s">
        <v>3185</v>
      </c>
      <c r="L314" t="s">
        <v>1026</v>
      </c>
      <c r="M314" t="s">
        <v>1000</v>
      </c>
      <c r="N314" t="s">
        <v>1025</v>
      </c>
      <c r="O314" t="s">
        <v>1025</v>
      </c>
      <c r="P314" t="s">
        <v>1110</v>
      </c>
      <c r="Q314" t="s">
        <v>3169</v>
      </c>
      <c r="R314" t="s">
        <v>2128</v>
      </c>
      <c r="S314" t="s">
        <v>3369</v>
      </c>
      <c r="T314" t="s">
        <v>3239</v>
      </c>
      <c r="U314" t="b">
        <v>0</v>
      </c>
      <c r="V314" t="s">
        <v>1950</v>
      </c>
    </row>
    <row r="315" spans="1:22" x14ac:dyDescent="0.25">
      <c r="A315" t="s">
        <v>42</v>
      </c>
      <c r="B315">
        <v>48</v>
      </c>
      <c r="C315" t="s">
        <v>1028</v>
      </c>
      <c r="D315" t="s">
        <v>3372</v>
      </c>
      <c r="E315" t="s">
        <v>1010</v>
      </c>
      <c r="F315" t="s">
        <v>3373</v>
      </c>
      <c r="G315" t="s">
        <v>24</v>
      </c>
      <c r="H315" t="s">
        <v>26</v>
      </c>
      <c r="I315" t="s">
        <v>3167</v>
      </c>
      <c r="J315" t="s">
        <v>1026</v>
      </c>
      <c r="K315" t="s">
        <v>3185</v>
      </c>
      <c r="L315" t="s">
        <v>1026</v>
      </c>
      <c r="M315" t="s">
        <v>1000</v>
      </c>
      <c r="N315" t="s">
        <v>1025</v>
      </c>
      <c r="O315" t="s">
        <v>1025</v>
      </c>
      <c r="P315" t="s">
        <v>1110</v>
      </c>
      <c r="Q315" t="s">
        <v>3169</v>
      </c>
      <c r="R315" t="s">
        <v>446</v>
      </c>
      <c r="S315" t="s">
        <v>446</v>
      </c>
      <c r="T315" t="s">
        <v>1965</v>
      </c>
      <c r="U315" t="b">
        <v>0</v>
      </c>
      <c r="V315" t="s">
        <v>446</v>
      </c>
    </row>
    <row r="316" spans="1:22" x14ac:dyDescent="0.25">
      <c r="A316" t="s">
        <v>42</v>
      </c>
      <c r="B316">
        <v>48</v>
      </c>
      <c r="C316" t="s">
        <v>1030</v>
      </c>
      <c r="D316" t="s">
        <v>1322</v>
      </c>
      <c r="E316" t="s">
        <v>1029</v>
      </c>
      <c r="F316">
        <v>351</v>
      </c>
      <c r="G316" t="s">
        <v>24</v>
      </c>
      <c r="H316" t="s">
        <v>26</v>
      </c>
      <c r="I316" t="s">
        <v>3167</v>
      </c>
      <c r="J316" t="s">
        <v>1033</v>
      </c>
      <c r="K316" t="s">
        <v>3189</v>
      </c>
      <c r="L316" t="s">
        <v>1033</v>
      </c>
      <c r="M316" t="s">
        <v>980</v>
      </c>
      <c r="N316" t="s">
        <v>1031</v>
      </c>
      <c r="O316" t="s">
        <v>1031</v>
      </c>
      <c r="P316" t="s">
        <v>1110</v>
      </c>
      <c r="Q316" t="s">
        <v>3169</v>
      </c>
      <c r="R316" t="s">
        <v>2124</v>
      </c>
      <c r="S316" t="s">
        <v>3369</v>
      </c>
      <c r="T316" t="s">
        <v>3239</v>
      </c>
      <c r="U316" t="b">
        <v>0</v>
      </c>
      <c r="V316" t="s">
        <v>2123</v>
      </c>
    </row>
    <row r="317" spans="1:22" x14ac:dyDescent="0.25">
      <c r="A317" t="s">
        <v>42</v>
      </c>
      <c r="B317">
        <v>48</v>
      </c>
      <c r="C317" t="s">
        <v>1036</v>
      </c>
      <c r="D317" t="s">
        <v>1324</v>
      </c>
      <c r="E317" t="s">
        <v>1035</v>
      </c>
      <c r="F317">
        <v>561</v>
      </c>
      <c r="G317" t="s">
        <v>24</v>
      </c>
      <c r="H317" t="s">
        <v>26</v>
      </c>
      <c r="I317" t="s">
        <v>3167</v>
      </c>
      <c r="J317" t="s">
        <v>1038</v>
      </c>
      <c r="K317" t="s">
        <v>3191</v>
      </c>
      <c r="L317" t="s">
        <v>1038</v>
      </c>
      <c r="M317" t="s">
        <v>980</v>
      </c>
      <c r="N317" t="s">
        <v>1037</v>
      </c>
      <c r="O317" t="s">
        <v>1037</v>
      </c>
      <c r="P317" t="s">
        <v>1110</v>
      </c>
      <c r="Q317" t="s">
        <v>3169</v>
      </c>
      <c r="R317" t="s">
        <v>2124</v>
      </c>
      <c r="S317" t="s">
        <v>3369</v>
      </c>
      <c r="T317" t="s">
        <v>3239</v>
      </c>
      <c r="U317" t="b">
        <v>0</v>
      </c>
      <c r="V317" t="s">
        <v>2123</v>
      </c>
    </row>
    <row r="318" spans="1:22" x14ac:dyDescent="0.25">
      <c r="A318" t="s">
        <v>42</v>
      </c>
      <c r="B318">
        <v>48</v>
      </c>
      <c r="C318" t="s">
        <v>1041</v>
      </c>
      <c r="D318" t="s">
        <v>1326</v>
      </c>
      <c r="E318" t="s">
        <v>1040</v>
      </c>
      <c r="F318">
        <v>644</v>
      </c>
      <c r="G318" t="s">
        <v>24</v>
      </c>
      <c r="H318" t="s">
        <v>26</v>
      </c>
      <c r="I318" t="s">
        <v>3167</v>
      </c>
      <c r="J318" t="s">
        <v>1043</v>
      </c>
      <c r="K318" t="s">
        <v>3193</v>
      </c>
      <c r="L318" t="s">
        <v>1043</v>
      </c>
      <c r="M318" t="s">
        <v>980</v>
      </c>
      <c r="N318" t="s">
        <v>1042</v>
      </c>
      <c r="O318" t="s">
        <v>1042</v>
      </c>
      <c r="P318" t="s">
        <v>1110</v>
      </c>
      <c r="Q318" t="s">
        <v>3169</v>
      </c>
      <c r="R318" t="s">
        <v>2124</v>
      </c>
      <c r="S318" t="s">
        <v>3369</v>
      </c>
      <c r="T318" t="s">
        <v>3239</v>
      </c>
      <c r="U318" t="b">
        <v>0</v>
      </c>
      <c r="V318" t="s">
        <v>2123</v>
      </c>
    </row>
    <row r="319" spans="1:22" x14ac:dyDescent="0.25">
      <c r="A319" t="s">
        <v>42</v>
      </c>
      <c r="B319">
        <v>48</v>
      </c>
      <c r="C319" t="s">
        <v>1046</v>
      </c>
      <c r="D319" t="s">
        <v>1328</v>
      </c>
      <c r="E319" t="s">
        <v>1045</v>
      </c>
      <c r="F319">
        <v>475</v>
      </c>
      <c r="G319" t="s">
        <v>24</v>
      </c>
      <c r="H319" t="s">
        <v>26</v>
      </c>
      <c r="I319" t="s">
        <v>3167</v>
      </c>
      <c r="J319" t="s">
        <v>1048</v>
      </c>
      <c r="K319" t="s">
        <v>3195</v>
      </c>
      <c r="L319" t="s">
        <v>1048</v>
      </c>
      <c r="M319" t="s">
        <v>1000</v>
      </c>
      <c r="N319" t="s">
        <v>1047</v>
      </c>
      <c r="O319" t="s">
        <v>1047</v>
      </c>
      <c r="P319" t="s">
        <v>1110</v>
      </c>
      <c r="Q319" t="s">
        <v>3169</v>
      </c>
      <c r="R319" t="s">
        <v>2128</v>
      </c>
      <c r="S319" t="s">
        <v>3369</v>
      </c>
      <c r="T319" t="s">
        <v>3239</v>
      </c>
      <c r="U319" t="b">
        <v>0</v>
      </c>
      <c r="V319" t="s">
        <v>1950</v>
      </c>
    </row>
    <row r="320" spans="1:22" x14ac:dyDescent="0.25">
      <c r="A320" t="s">
        <v>42</v>
      </c>
      <c r="B320">
        <v>48</v>
      </c>
      <c r="C320" t="s">
        <v>1050</v>
      </c>
      <c r="D320" t="s">
        <v>3374</v>
      </c>
      <c r="E320" t="s">
        <v>1032</v>
      </c>
      <c r="F320" t="s">
        <v>3375</v>
      </c>
      <c r="G320" t="s">
        <v>24</v>
      </c>
      <c r="H320" t="s">
        <v>26</v>
      </c>
      <c r="I320" t="s">
        <v>3167</v>
      </c>
      <c r="J320" t="s">
        <v>1048</v>
      </c>
      <c r="K320" t="s">
        <v>3195</v>
      </c>
      <c r="L320" t="s">
        <v>1048</v>
      </c>
      <c r="M320" t="s">
        <v>1000</v>
      </c>
      <c r="N320" t="s">
        <v>1047</v>
      </c>
      <c r="O320" t="s">
        <v>1047</v>
      </c>
      <c r="P320" t="s">
        <v>1110</v>
      </c>
      <c r="Q320" t="s">
        <v>3169</v>
      </c>
      <c r="R320" t="s">
        <v>446</v>
      </c>
      <c r="S320" t="s">
        <v>446</v>
      </c>
      <c r="T320" t="s">
        <v>1965</v>
      </c>
      <c r="U320" t="b">
        <v>0</v>
      </c>
      <c r="V320" t="s">
        <v>446</v>
      </c>
    </row>
    <row r="321" spans="1:22" x14ac:dyDescent="0.25">
      <c r="A321" t="s">
        <v>42</v>
      </c>
      <c r="B321">
        <v>48</v>
      </c>
      <c r="C321" t="s">
        <v>1052</v>
      </c>
      <c r="D321" t="s">
        <v>1329</v>
      </c>
      <c r="E321" t="s">
        <v>1051</v>
      </c>
      <c r="F321">
        <v>384</v>
      </c>
      <c r="G321" t="s">
        <v>24</v>
      </c>
      <c r="H321" t="s">
        <v>26</v>
      </c>
      <c r="I321" t="s">
        <v>3167</v>
      </c>
      <c r="J321" t="s">
        <v>1055</v>
      </c>
      <c r="K321" t="s">
        <v>3199</v>
      </c>
      <c r="L321" t="s">
        <v>1055</v>
      </c>
      <c r="M321" t="s">
        <v>980</v>
      </c>
      <c r="N321" t="s">
        <v>1053</v>
      </c>
      <c r="O321" t="s">
        <v>1053</v>
      </c>
      <c r="P321" t="s">
        <v>1110</v>
      </c>
      <c r="Q321" t="s">
        <v>3169</v>
      </c>
      <c r="R321" t="s">
        <v>2124</v>
      </c>
      <c r="S321" t="s">
        <v>3369</v>
      </c>
      <c r="T321" t="s">
        <v>3239</v>
      </c>
      <c r="U321" t="b">
        <v>0</v>
      </c>
      <c r="V321" t="s">
        <v>2123</v>
      </c>
    </row>
    <row r="322" spans="1:22" x14ac:dyDescent="0.25">
      <c r="A322" t="s">
        <v>42</v>
      </c>
      <c r="B322">
        <v>49</v>
      </c>
      <c r="C322" t="s">
        <v>979</v>
      </c>
      <c r="D322" t="s">
        <v>1330</v>
      </c>
      <c r="E322" t="s">
        <v>978</v>
      </c>
      <c r="F322">
        <v>0</v>
      </c>
      <c r="G322" t="s">
        <v>24</v>
      </c>
      <c r="H322" t="s">
        <v>26</v>
      </c>
      <c r="I322" t="s">
        <v>3167</v>
      </c>
      <c r="J322" t="s">
        <v>984</v>
      </c>
      <c r="K322" t="s">
        <v>3168</v>
      </c>
      <c r="L322" t="s">
        <v>984</v>
      </c>
      <c r="M322" t="s">
        <v>980</v>
      </c>
      <c r="N322" t="s">
        <v>981</v>
      </c>
      <c r="O322" t="s">
        <v>981</v>
      </c>
      <c r="P322" t="s">
        <v>1110</v>
      </c>
      <c r="Q322" t="s">
        <v>3169</v>
      </c>
      <c r="R322" t="s">
        <v>2139</v>
      </c>
      <c r="S322" t="s">
        <v>2139</v>
      </c>
      <c r="T322" t="s">
        <v>3271</v>
      </c>
      <c r="U322" t="b">
        <v>0</v>
      </c>
      <c r="V322" t="s">
        <v>1950</v>
      </c>
    </row>
    <row r="323" spans="1:22" x14ac:dyDescent="0.25">
      <c r="A323" t="s">
        <v>42</v>
      </c>
      <c r="B323">
        <v>49</v>
      </c>
      <c r="C323" t="s">
        <v>987</v>
      </c>
      <c r="D323" t="s">
        <v>1331</v>
      </c>
      <c r="E323" t="s">
        <v>986</v>
      </c>
      <c r="F323">
        <v>0</v>
      </c>
      <c r="G323" t="s">
        <v>24</v>
      </c>
      <c r="H323" t="s">
        <v>26</v>
      </c>
      <c r="I323" t="s">
        <v>3167</v>
      </c>
      <c r="J323" t="s">
        <v>990</v>
      </c>
      <c r="K323" t="s">
        <v>3171</v>
      </c>
      <c r="L323" t="s">
        <v>990</v>
      </c>
      <c r="M323" t="s">
        <v>980</v>
      </c>
      <c r="N323" t="s">
        <v>988</v>
      </c>
      <c r="O323" t="s">
        <v>988</v>
      </c>
      <c r="P323" t="s">
        <v>1110</v>
      </c>
      <c r="Q323" t="s">
        <v>3169</v>
      </c>
      <c r="R323" t="s">
        <v>2139</v>
      </c>
      <c r="S323" t="s">
        <v>2139</v>
      </c>
      <c r="T323" t="s">
        <v>3271</v>
      </c>
      <c r="U323" t="b">
        <v>0</v>
      </c>
      <c r="V323" t="s">
        <v>1950</v>
      </c>
    </row>
    <row r="324" spans="1:22" x14ac:dyDescent="0.25">
      <c r="A324" t="s">
        <v>42</v>
      </c>
      <c r="B324">
        <v>49</v>
      </c>
      <c r="C324" t="s">
        <v>993</v>
      </c>
      <c r="D324" t="s">
        <v>1332</v>
      </c>
      <c r="E324" t="s">
        <v>992</v>
      </c>
      <c r="F324">
        <v>0</v>
      </c>
      <c r="G324" t="s">
        <v>24</v>
      </c>
      <c r="H324" t="s">
        <v>26</v>
      </c>
      <c r="I324" t="s">
        <v>3167</v>
      </c>
      <c r="J324" t="s">
        <v>996</v>
      </c>
      <c r="K324" t="s">
        <v>3173</v>
      </c>
      <c r="L324" t="s">
        <v>996</v>
      </c>
      <c r="M324" t="s">
        <v>980</v>
      </c>
      <c r="N324" t="s">
        <v>994</v>
      </c>
      <c r="O324" t="s">
        <v>994</v>
      </c>
      <c r="P324" t="s">
        <v>1110</v>
      </c>
      <c r="Q324" t="s">
        <v>3169</v>
      </c>
      <c r="R324" t="s">
        <v>2139</v>
      </c>
      <c r="S324" t="s">
        <v>2139</v>
      </c>
      <c r="T324" t="s">
        <v>3271</v>
      </c>
      <c r="U324" t="b">
        <v>0</v>
      </c>
      <c r="V324" t="s">
        <v>1950</v>
      </c>
    </row>
    <row r="325" spans="1:22" x14ac:dyDescent="0.25">
      <c r="A325" t="s">
        <v>42</v>
      </c>
      <c r="B325">
        <v>49</v>
      </c>
      <c r="C325" t="s">
        <v>999</v>
      </c>
      <c r="D325" t="s">
        <v>1333</v>
      </c>
      <c r="E325" t="s">
        <v>998</v>
      </c>
      <c r="F325">
        <v>0</v>
      </c>
      <c r="G325" t="s">
        <v>24</v>
      </c>
      <c r="H325" t="s">
        <v>26</v>
      </c>
      <c r="I325" t="s">
        <v>3167</v>
      </c>
      <c r="J325" t="s">
        <v>1003</v>
      </c>
      <c r="K325" t="s">
        <v>3175</v>
      </c>
      <c r="L325" t="s">
        <v>1003</v>
      </c>
      <c r="M325" t="s">
        <v>1000</v>
      </c>
      <c r="N325" t="s">
        <v>1001</v>
      </c>
      <c r="O325" t="s">
        <v>1001</v>
      </c>
      <c r="P325" t="s">
        <v>1110</v>
      </c>
      <c r="Q325" t="s">
        <v>3169</v>
      </c>
      <c r="R325" t="s">
        <v>2139</v>
      </c>
      <c r="S325" t="s">
        <v>2139</v>
      </c>
      <c r="T325" t="s">
        <v>3271</v>
      </c>
      <c r="U325" t="b">
        <v>0</v>
      </c>
      <c r="V325" t="s">
        <v>1950</v>
      </c>
    </row>
    <row r="326" spans="1:22" x14ac:dyDescent="0.25">
      <c r="A326" t="s">
        <v>42</v>
      </c>
      <c r="B326">
        <v>49</v>
      </c>
      <c r="C326" t="s">
        <v>1005</v>
      </c>
      <c r="D326" t="s">
        <v>3376</v>
      </c>
      <c r="E326" t="s">
        <v>982</v>
      </c>
      <c r="F326" t="s">
        <v>3218</v>
      </c>
      <c r="G326" t="s">
        <v>24</v>
      </c>
      <c r="H326" t="s">
        <v>26</v>
      </c>
      <c r="I326" t="s">
        <v>3167</v>
      </c>
      <c r="J326" t="s">
        <v>1003</v>
      </c>
      <c r="K326" t="s">
        <v>3175</v>
      </c>
      <c r="L326" t="s">
        <v>1003</v>
      </c>
      <c r="M326" t="s">
        <v>1000</v>
      </c>
      <c r="N326" t="s">
        <v>1001</v>
      </c>
      <c r="O326" t="s">
        <v>1001</v>
      </c>
      <c r="P326" t="s">
        <v>1110</v>
      </c>
      <c r="Q326" t="s">
        <v>3169</v>
      </c>
      <c r="R326" t="s">
        <v>446</v>
      </c>
      <c r="S326" t="s">
        <v>446</v>
      </c>
      <c r="T326" t="s">
        <v>1965</v>
      </c>
      <c r="U326" t="b">
        <v>0</v>
      </c>
      <c r="V326" t="s">
        <v>446</v>
      </c>
    </row>
    <row r="327" spans="1:22" x14ac:dyDescent="0.25">
      <c r="A327" t="s">
        <v>42</v>
      </c>
      <c r="B327">
        <v>49</v>
      </c>
      <c r="C327" t="s">
        <v>1007</v>
      </c>
      <c r="D327" t="s">
        <v>1334</v>
      </c>
      <c r="E327" t="s">
        <v>1006</v>
      </c>
      <c r="F327">
        <v>0</v>
      </c>
      <c r="G327" t="s">
        <v>24</v>
      </c>
      <c r="H327" t="s">
        <v>26</v>
      </c>
      <c r="I327" t="s">
        <v>3167</v>
      </c>
      <c r="J327" t="s">
        <v>1011</v>
      </c>
      <c r="K327" t="s">
        <v>3179</v>
      </c>
      <c r="L327" t="s">
        <v>1011</v>
      </c>
      <c r="M327" t="s">
        <v>1008</v>
      </c>
      <c r="N327" t="s">
        <v>1009</v>
      </c>
      <c r="O327" t="s">
        <v>1009</v>
      </c>
      <c r="P327" t="s">
        <v>1110</v>
      </c>
      <c r="Q327" t="s">
        <v>3169</v>
      </c>
      <c r="R327" t="s">
        <v>2139</v>
      </c>
      <c r="S327" t="s">
        <v>2139</v>
      </c>
      <c r="T327" t="s">
        <v>3271</v>
      </c>
      <c r="U327" t="b">
        <v>0</v>
      </c>
      <c r="V327" t="s">
        <v>1950</v>
      </c>
    </row>
    <row r="328" spans="1:22" x14ac:dyDescent="0.25">
      <c r="A328" t="s">
        <v>42</v>
      </c>
      <c r="B328">
        <v>49</v>
      </c>
      <c r="C328" t="s">
        <v>1014</v>
      </c>
      <c r="D328" t="s">
        <v>1335</v>
      </c>
      <c r="E328" t="s">
        <v>1013</v>
      </c>
      <c r="F328">
        <v>0</v>
      </c>
      <c r="G328" t="s">
        <v>24</v>
      </c>
      <c r="H328" t="s">
        <v>26</v>
      </c>
      <c r="I328" t="s">
        <v>3167</v>
      </c>
      <c r="J328" t="s">
        <v>1016</v>
      </c>
      <c r="K328" t="s">
        <v>3181</v>
      </c>
      <c r="L328" t="s">
        <v>1016</v>
      </c>
      <c r="M328" t="s">
        <v>980</v>
      </c>
      <c r="N328" t="s">
        <v>1015</v>
      </c>
      <c r="O328" t="s">
        <v>1015</v>
      </c>
      <c r="P328" t="s">
        <v>1110</v>
      </c>
      <c r="Q328" t="s">
        <v>3169</v>
      </c>
      <c r="R328" t="s">
        <v>2139</v>
      </c>
      <c r="S328" t="s">
        <v>2139</v>
      </c>
      <c r="T328" t="s">
        <v>3271</v>
      </c>
      <c r="U328" t="b">
        <v>0</v>
      </c>
      <c r="V328" t="s">
        <v>1950</v>
      </c>
    </row>
    <row r="329" spans="1:22" x14ac:dyDescent="0.25">
      <c r="A329" t="s">
        <v>42</v>
      </c>
      <c r="B329">
        <v>49</v>
      </c>
      <c r="C329" t="s">
        <v>1019</v>
      </c>
      <c r="D329" t="s">
        <v>1336</v>
      </c>
      <c r="E329" t="s">
        <v>1018</v>
      </c>
      <c r="F329">
        <v>0</v>
      </c>
      <c r="G329" t="s">
        <v>24</v>
      </c>
      <c r="H329" t="s">
        <v>26</v>
      </c>
      <c r="I329" t="s">
        <v>3167</v>
      </c>
      <c r="J329" t="s">
        <v>1021</v>
      </c>
      <c r="K329" t="s">
        <v>3183</v>
      </c>
      <c r="L329" t="s">
        <v>1021</v>
      </c>
      <c r="M329" t="s">
        <v>980</v>
      </c>
      <c r="N329" t="s">
        <v>1020</v>
      </c>
      <c r="O329" t="s">
        <v>1020</v>
      </c>
      <c r="P329" t="s">
        <v>1110</v>
      </c>
      <c r="Q329" t="s">
        <v>3169</v>
      </c>
      <c r="R329" t="s">
        <v>2139</v>
      </c>
      <c r="S329" t="s">
        <v>2139</v>
      </c>
      <c r="T329" t="s">
        <v>3271</v>
      </c>
      <c r="U329" t="b">
        <v>0</v>
      </c>
      <c r="V329" t="s">
        <v>1950</v>
      </c>
    </row>
    <row r="330" spans="1:22" x14ac:dyDescent="0.25">
      <c r="A330" t="s">
        <v>42</v>
      </c>
      <c r="B330">
        <v>49</v>
      </c>
      <c r="C330" t="s">
        <v>1024</v>
      </c>
      <c r="D330" t="s">
        <v>1337</v>
      </c>
      <c r="E330" t="s">
        <v>1023</v>
      </c>
      <c r="F330">
        <v>0</v>
      </c>
      <c r="G330" t="s">
        <v>24</v>
      </c>
      <c r="H330" t="s">
        <v>26</v>
      </c>
      <c r="I330" t="s">
        <v>3167</v>
      </c>
      <c r="J330" t="s">
        <v>1026</v>
      </c>
      <c r="K330" t="s">
        <v>3185</v>
      </c>
      <c r="L330" t="s">
        <v>1026</v>
      </c>
      <c r="M330" t="s">
        <v>1000</v>
      </c>
      <c r="N330" t="s">
        <v>1025</v>
      </c>
      <c r="O330" t="s">
        <v>1025</v>
      </c>
      <c r="P330" t="s">
        <v>1110</v>
      </c>
      <c r="Q330" t="s">
        <v>3169</v>
      </c>
      <c r="R330" t="s">
        <v>2139</v>
      </c>
      <c r="S330" t="s">
        <v>2139</v>
      </c>
      <c r="T330" t="s">
        <v>3271</v>
      </c>
      <c r="U330" t="b">
        <v>0</v>
      </c>
      <c r="V330" t="s">
        <v>1950</v>
      </c>
    </row>
    <row r="331" spans="1:22" x14ac:dyDescent="0.25">
      <c r="A331" t="s">
        <v>42</v>
      </c>
      <c r="B331">
        <v>49</v>
      </c>
      <c r="C331" t="s">
        <v>1028</v>
      </c>
      <c r="D331" t="s">
        <v>3377</v>
      </c>
      <c r="E331" t="s">
        <v>1010</v>
      </c>
      <c r="F331" t="s">
        <v>3218</v>
      </c>
      <c r="G331" t="s">
        <v>24</v>
      </c>
      <c r="H331" t="s">
        <v>26</v>
      </c>
      <c r="I331" t="s">
        <v>3167</v>
      </c>
      <c r="J331" t="s">
        <v>1026</v>
      </c>
      <c r="K331" t="s">
        <v>3185</v>
      </c>
      <c r="L331" t="s">
        <v>1026</v>
      </c>
      <c r="M331" t="s">
        <v>1000</v>
      </c>
      <c r="N331" t="s">
        <v>1025</v>
      </c>
      <c r="O331" t="s">
        <v>1025</v>
      </c>
      <c r="P331" t="s">
        <v>1110</v>
      </c>
      <c r="Q331" t="s">
        <v>3169</v>
      </c>
      <c r="R331" t="s">
        <v>446</v>
      </c>
      <c r="S331" t="s">
        <v>446</v>
      </c>
      <c r="T331" t="s">
        <v>1965</v>
      </c>
      <c r="U331" t="b">
        <v>0</v>
      </c>
      <c r="V331" t="s">
        <v>446</v>
      </c>
    </row>
    <row r="332" spans="1:22" x14ac:dyDescent="0.25">
      <c r="A332" t="s">
        <v>42</v>
      </c>
      <c r="B332">
        <v>49</v>
      </c>
      <c r="C332" t="s">
        <v>1030</v>
      </c>
      <c r="D332" t="s">
        <v>1338</v>
      </c>
      <c r="E332" t="s">
        <v>1029</v>
      </c>
      <c r="F332">
        <v>0</v>
      </c>
      <c r="G332" t="s">
        <v>24</v>
      </c>
      <c r="H332" t="s">
        <v>26</v>
      </c>
      <c r="I332" t="s">
        <v>3167</v>
      </c>
      <c r="J332" t="s">
        <v>1033</v>
      </c>
      <c r="K332" t="s">
        <v>3189</v>
      </c>
      <c r="L332" t="s">
        <v>1033</v>
      </c>
      <c r="M332" t="s">
        <v>980</v>
      </c>
      <c r="N332" t="s">
        <v>1031</v>
      </c>
      <c r="O332" t="s">
        <v>1031</v>
      </c>
      <c r="P332" t="s">
        <v>1110</v>
      </c>
      <c r="Q332" t="s">
        <v>3169</v>
      </c>
      <c r="R332" t="s">
        <v>2139</v>
      </c>
      <c r="S332" t="s">
        <v>2139</v>
      </c>
      <c r="T332" t="s">
        <v>3271</v>
      </c>
      <c r="U332" t="b">
        <v>0</v>
      </c>
      <c r="V332" t="s">
        <v>1950</v>
      </c>
    </row>
    <row r="333" spans="1:22" x14ac:dyDescent="0.25">
      <c r="A333" t="s">
        <v>42</v>
      </c>
      <c r="B333">
        <v>49</v>
      </c>
      <c r="C333" t="s">
        <v>1036</v>
      </c>
      <c r="D333" t="s">
        <v>1339</v>
      </c>
      <c r="E333" t="s">
        <v>1035</v>
      </c>
      <c r="F333">
        <v>0</v>
      </c>
      <c r="G333" t="s">
        <v>24</v>
      </c>
      <c r="H333" t="s">
        <v>26</v>
      </c>
      <c r="I333" t="s">
        <v>3167</v>
      </c>
      <c r="J333" t="s">
        <v>1038</v>
      </c>
      <c r="K333" t="s">
        <v>3191</v>
      </c>
      <c r="L333" t="s">
        <v>1038</v>
      </c>
      <c r="M333" t="s">
        <v>980</v>
      </c>
      <c r="N333" t="s">
        <v>1037</v>
      </c>
      <c r="O333" t="s">
        <v>1037</v>
      </c>
      <c r="P333" t="s">
        <v>1110</v>
      </c>
      <c r="Q333" t="s">
        <v>3169</v>
      </c>
      <c r="R333" t="s">
        <v>2139</v>
      </c>
      <c r="S333" t="s">
        <v>2139</v>
      </c>
      <c r="T333" t="s">
        <v>3271</v>
      </c>
      <c r="U333" t="b">
        <v>0</v>
      </c>
      <c r="V333" t="s">
        <v>1950</v>
      </c>
    </row>
    <row r="334" spans="1:22" x14ac:dyDescent="0.25">
      <c r="A334" t="s">
        <v>42</v>
      </c>
      <c r="B334">
        <v>49</v>
      </c>
      <c r="C334" t="s">
        <v>1041</v>
      </c>
      <c r="D334" t="s">
        <v>1340</v>
      </c>
      <c r="E334" t="s">
        <v>1040</v>
      </c>
      <c r="F334">
        <v>0</v>
      </c>
      <c r="G334" t="s">
        <v>24</v>
      </c>
      <c r="H334" t="s">
        <v>26</v>
      </c>
      <c r="I334" t="s">
        <v>3167</v>
      </c>
      <c r="J334" t="s">
        <v>1043</v>
      </c>
      <c r="K334" t="s">
        <v>3193</v>
      </c>
      <c r="L334" t="s">
        <v>1043</v>
      </c>
      <c r="M334" t="s">
        <v>980</v>
      </c>
      <c r="N334" t="s">
        <v>1042</v>
      </c>
      <c r="O334" t="s">
        <v>1042</v>
      </c>
      <c r="P334" t="s">
        <v>1110</v>
      </c>
      <c r="Q334" t="s">
        <v>3169</v>
      </c>
      <c r="R334" t="s">
        <v>2139</v>
      </c>
      <c r="S334" t="s">
        <v>2139</v>
      </c>
      <c r="T334" t="s">
        <v>3271</v>
      </c>
      <c r="U334" t="b">
        <v>0</v>
      </c>
      <c r="V334" t="s">
        <v>1950</v>
      </c>
    </row>
    <row r="335" spans="1:22" x14ac:dyDescent="0.25">
      <c r="A335" t="s">
        <v>42</v>
      </c>
      <c r="B335">
        <v>49</v>
      </c>
      <c r="C335" t="s">
        <v>1046</v>
      </c>
      <c r="D335" t="s">
        <v>1341</v>
      </c>
      <c r="E335" t="s">
        <v>1045</v>
      </c>
      <c r="F335">
        <v>0</v>
      </c>
      <c r="G335" t="s">
        <v>24</v>
      </c>
      <c r="H335" t="s">
        <v>26</v>
      </c>
      <c r="I335" t="s">
        <v>3167</v>
      </c>
      <c r="J335" t="s">
        <v>1048</v>
      </c>
      <c r="K335" t="s">
        <v>3195</v>
      </c>
      <c r="L335" t="s">
        <v>1048</v>
      </c>
      <c r="M335" t="s">
        <v>1000</v>
      </c>
      <c r="N335" t="s">
        <v>1047</v>
      </c>
      <c r="O335" t="s">
        <v>1047</v>
      </c>
      <c r="P335" t="s">
        <v>1110</v>
      </c>
      <c r="Q335" t="s">
        <v>3169</v>
      </c>
      <c r="R335" t="s">
        <v>2139</v>
      </c>
      <c r="S335" t="s">
        <v>2139</v>
      </c>
      <c r="T335" t="s">
        <v>3271</v>
      </c>
      <c r="U335" t="b">
        <v>0</v>
      </c>
      <c r="V335" t="s">
        <v>1950</v>
      </c>
    </row>
    <row r="336" spans="1:22" x14ac:dyDescent="0.25">
      <c r="A336" t="s">
        <v>42</v>
      </c>
      <c r="B336">
        <v>49</v>
      </c>
      <c r="C336" t="s">
        <v>1050</v>
      </c>
      <c r="D336" t="s">
        <v>3378</v>
      </c>
      <c r="E336" t="s">
        <v>1032</v>
      </c>
      <c r="F336" t="s">
        <v>3218</v>
      </c>
      <c r="G336" t="s">
        <v>24</v>
      </c>
      <c r="H336" t="s">
        <v>26</v>
      </c>
      <c r="I336" t="s">
        <v>3167</v>
      </c>
      <c r="J336" t="s">
        <v>1048</v>
      </c>
      <c r="K336" t="s">
        <v>3195</v>
      </c>
      <c r="L336" t="s">
        <v>1048</v>
      </c>
      <c r="M336" t="s">
        <v>1000</v>
      </c>
      <c r="N336" t="s">
        <v>1047</v>
      </c>
      <c r="O336" t="s">
        <v>1047</v>
      </c>
      <c r="P336" t="s">
        <v>1110</v>
      </c>
      <c r="Q336" t="s">
        <v>3169</v>
      </c>
      <c r="R336" t="s">
        <v>446</v>
      </c>
      <c r="S336" t="s">
        <v>446</v>
      </c>
      <c r="T336" t="s">
        <v>1965</v>
      </c>
      <c r="U336" t="b">
        <v>0</v>
      </c>
      <c r="V336" t="s">
        <v>446</v>
      </c>
    </row>
    <row r="337" spans="1:22" x14ac:dyDescent="0.25">
      <c r="A337" t="s">
        <v>42</v>
      </c>
      <c r="B337">
        <v>49</v>
      </c>
      <c r="C337" t="s">
        <v>1052</v>
      </c>
      <c r="D337" t="s">
        <v>1342</v>
      </c>
      <c r="E337" t="s">
        <v>1051</v>
      </c>
      <c r="G337" t="s">
        <v>24</v>
      </c>
      <c r="H337" t="s">
        <v>26</v>
      </c>
      <c r="I337" t="s">
        <v>3167</v>
      </c>
      <c r="J337" t="s">
        <v>1055</v>
      </c>
      <c r="K337" t="s">
        <v>3199</v>
      </c>
      <c r="L337" t="s">
        <v>1055</v>
      </c>
      <c r="M337" t="s">
        <v>980</v>
      </c>
      <c r="N337" t="s">
        <v>1053</v>
      </c>
      <c r="O337" t="s">
        <v>1053</v>
      </c>
      <c r="P337" t="s">
        <v>1110</v>
      </c>
      <c r="Q337" t="s">
        <v>3169</v>
      </c>
      <c r="R337" t="s">
        <v>446</v>
      </c>
      <c r="S337" t="s">
        <v>446</v>
      </c>
      <c r="T337" t="s">
        <v>3216</v>
      </c>
      <c r="U337" t="b">
        <v>0</v>
      </c>
      <c r="V337" t="s">
        <v>1094</v>
      </c>
    </row>
    <row r="338" spans="1:22" x14ac:dyDescent="0.25">
      <c r="A338" t="s">
        <v>42</v>
      </c>
      <c r="B338">
        <v>50</v>
      </c>
      <c r="C338" t="s">
        <v>979</v>
      </c>
      <c r="D338" t="s">
        <v>1343</v>
      </c>
      <c r="E338" t="s">
        <v>978</v>
      </c>
      <c r="F338">
        <v>-6</v>
      </c>
      <c r="G338" t="s">
        <v>24</v>
      </c>
      <c r="H338" t="s">
        <v>26</v>
      </c>
      <c r="I338" t="s">
        <v>3167</v>
      </c>
      <c r="J338" t="s">
        <v>984</v>
      </c>
      <c r="K338" t="s">
        <v>3168</v>
      </c>
      <c r="L338" t="s">
        <v>984</v>
      </c>
      <c r="M338" t="s">
        <v>980</v>
      </c>
      <c r="N338" t="s">
        <v>981</v>
      </c>
      <c r="O338" t="s">
        <v>981</v>
      </c>
      <c r="P338" t="s">
        <v>1110</v>
      </c>
      <c r="Q338" t="s">
        <v>3169</v>
      </c>
      <c r="R338" t="s">
        <v>2143</v>
      </c>
      <c r="S338" t="s">
        <v>3379</v>
      </c>
      <c r="T338" t="s">
        <v>3239</v>
      </c>
      <c r="U338" t="b">
        <v>0</v>
      </c>
      <c r="V338" t="s">
        <v>2142</v>
      </c>
    </row>
    <row r="339" spans="1:22" x14ac:dyDescent="0.25">
      <c r="A339" t="s">
        <v>42</v>
      </c>
      <c r="B339">
        <v>50</v>
      </c>
      <c r="C339" t="s">
        <v>987</v>
      </c>
      <c r="D339" t="s">
        <v>1344</v>
      </c>
      <c r="E339" t="s">
        <v>986</v>
      </c>
      <c r="F339">
        <v>26</v>
      </c>
      <c r="G339" t="s">
        <v>24</v>
      </c>
      <c r="H339" t="s">
        <v>26</v>
      </c>
      <c r="I339" t="s">
        <v>3167</v>
      </c>
      <c r="J339" t="s">
        <v>990</v>
      </c>
      <c r="K339" t="s">
        <v>3171</v>
      </c>
      <c r="L339" t="s">
        <v>990</v>
      </c>
      <c r="M339" t="s">
        <v>980</v>
      </c>
      <c r="N339" t="s">
        <v>988</v>
      </c>
      <c r="O339" t="s">
        <v>988</v>
      </c>
      <c r="P339" t="s">
        <v>1110</v>
      </c>
      <c r="Q339" t="s">
        <v>3169</v>
      </c>
      <c r="R339" t="s">
        <v>2143</v>
      </c>
      <c r="S339" t="s">
        <v>3379</v>
      </c>
      <c r="T339" t="s">
        <v>3239</v>
      </c>
      <c r="U339" t="b">
        <v>0</v>
      </c>
      <c r="V339" t="s">
        <v>2142</v>
      </c>
    </row>
    <row r="340" spans="1:22" x14ac:dyDescent="0.25">
      <c r="A340" t="s">
        <v>42</v>
      </c>
      <c r="B340">
        <v>50</v>
      </c>
      <c r="C340" t="s">
        <v>993</v>
      </c>
      <c r="D340" t="s">
        <v>1345</v>
      </c>
      <c r="E340" t="s">
        <v>992</v>
      </c>
      <c r="F340">
        <v>4</v>
      </c>
      <c r="G340" t="s">
        <v>24</v>
      </c>
      <c r="H340" t="s">
        <v>26</v>
      </c>
      <c r="I340" t="s">
        <v>3167</v>
      </c>
      <c r="J340" t="s">
        <v>996</v>
      </c>
      <c r="K340" t="s">
        <v>3173</v>
      </c>
      <c r="L340" t="s">
        <v>996</v>
      </c>
      <c r="M340" t="s">
        <v>980</v>
      </c>
      <c r="N340" t="s">
        <v>994</v>
      </c>
      <c r="O340" t="s">
        <v>994</v>
      </c>
      <c r="P340" t="s">
        <v>1110</v>
      </c>
      <c r="Q340" t="s">
        <v>3169</v>
      </c>
      <c r="R340" t="s">
        <v>2143</v>
      </c>
      <c r="S340" t="s">
        <v>3379</v>
      </c>
      <c r="T340" t="s">
        <v>3239</v>
      </c>
      <c r="U340" t="b">
        <v>0</v>
      </c>
      <c r="V340" t="s">
        <v>2142</v>
      </c>
    </row>
    <row r="341" spans="1:22" x14ac:dyDescent="0.25">
      <c r="A341" t="s">
        <v>42</v>
      </c>
      <c r="B341">
        <v>50</v>
      </c>
      <c r="C341" t="s">
        <v>999</v>
      </c>
      <c r="D341" t="s">
        <v>1346</v>
      </c>
      <c r="E341" t="s">
        <v>998</v>
      </c>
      <c r="F341">
        <v>-13</v>
      </c>
      <c r="G341" t="s">
        <v>24</v>
      </c>
      <c r="H341" t="s">
        <v>26</v>
      </c>
      <c r="I341" t="s">
        <v>3167</v>
      </c>
      <c r="J341" t="s">
        <v>1003</v>
      </c>
      <c r="K341" t="s">
        <v>3175</v>
      </c>
      <c r="L341" t="s">
        <v>1003</v>
      </c>
      <c r="M341" t="s">
        <v>1000</v>
      </c>
      <c r="N341" t="s">
        <v>1001</v>
      </c>
      <c r="O341" t="s">
        <v>1001</v>
      </c>
      <c r="P341" t="s">
        <v>1110</v>
      </c>
      <c r="Q341" t="s">
        <v>3169</v>
      </c>
      <c r="R341" t="s">
        <v>2147</v>
      </c>
      <c r="S341" t="s">
        <v>3379</v>
      </c>
      <c r="T341" t="s">
        <v>3239</v>
      </c>
      <c r="U341" t="b">
        <v>0</v>
      </c>
      <c r="V341" t="s">
        <v>1950</v>
      </c>
    </row>
    <row r="342" spans="1:22" x14ac:dyDescent="0.25">
      <c r="A342" t="s">
        <v>42</v>
      </c>
      <c r="B342">
        <v>50</v>
      </c>
      <c r="C342" t="s">
        <v>1005</v>
      </c>
      <c r="D342" t="s">
        <v>3380</v>
      </c>
      <c r="E342" t="s">
        <v>982</v>
      </c>
      <c r="F342" t="s">
        <v>3381</v>
      </c>
      <c r="G342" t="s">
        <v>24</v>
      </c>
      <c r="H342" t="s">
        <v>26</v>
      </c>
      <c r="I342" t="s">
        <v>3167</v>
      </c>
      <c r="J342" t="s">
        <v>1003</v>
      </c>
      <c r="K342" t="s">
        <v>3175</v>
      </c>
      <c r="L342" t="s">
        <v>1003</v>
      </c>
      <c r="M342" t="s">
        <v>1000</v>
      </c>
      <c r="N342" t="s">
        <v>1001</v>
      </c>
      <c r="O342" t="s">
        <v>1001</v>
      </c>
      <c r="P342" t="s">
        <v>1110</v>
      </c>
      <c r="Q342" t="s">
        <v>3169</v>
      </c>
      <c r="R342" t="s">
        <v>446</v>
      </c>
      <c r="S342" t="s">
        <v>446</v>
      </c>
      <c r="T342" t="s">
        <v>1965</v>
      </c>
      <c r="U342" t="b">
        <v>0</v>
      </c>
      <c r="V342" t="s">
        <v>446</v>
      </c>
    </row>
    <row r="343" spans="1:22" x14ac:dyDescent="0.25">
      <c r="A343" t="s">
        <v>42</v>
      </c>
      <c r="B343">
        <v>50</v>
      </c>
      <c r="C343" t="s">
        <v>1007</v>
      </c>
      <c r="D343" t="s">
        <v>1347</v>
      </c>
      <c r="E343" t="s">
        <v>1006</v>
      </c>
      <c r="F343">
        <v>-8</v>
      </c>
      <c r="G343" t="s">
        <v>24</v>
      </c>
      <c r="H343" t="s">
        <v>26</v>
      </c>
      <c r="I343" t="s">
        <v>3167</v>
      </c>
      <c r="J343" t="s">
        <v>1967</v>
      </c>
      <c r="K343" t="s">
        <v>3227</v>
      </c>
      <c r="L343" t="s">
        <v>1967</v>
      </c>
      <c r="M343" t="s">
        <v>980</v>
      </c>
      <c r="N343" t="s">
        <v>1009</v>
      </c>
      <c r="O343" t="s">
        <v>1009</v>
      </c>
      <c r="P343" t="s">
        <v>1110</v>
      </c>
      <c r="Q343" t="s">
        <v>3169</v>
      </c>
      <c r="R343" t="s">
        <v>2143</v>
      </c>
      <c r="S343" t="s">
        <v>3379</v>
      </c>
      <c r="T343" t="s">
        <v>3239</v>
      </c>
      <c r="U343" t="b">
        <v>0</v>
      </c>
      <c r="V343" t="s">
        <v>2142</v>
      </c>
    </row>
    <row r="344" spans="1:22" x14ac:dyDescent="0.25">
      <c r="A344" t="s">
        <v>42</v>
      </c>
      <c r="B344">
        <v>50</v>
      </c>
      <c r="C344" t="s">
        <v>1014</v>
      </c>
      <c r="D344" t="s">
        <v>1348</v>
      </c>
      <c r="E344" t="s">
        <v>1013</v>
      </c>
      <c r="F344">
        <v>10</v>
      </c>
      <c r="G344" t="s">
        <v>24</v>
      </c>
      <c r="H344" t="s">
        <v>26</v>
      </c>
      <c r="I344" t="s">
        <v>3167</v>
      </c>
      <c r="J344" t="s">
        <v>1016</v>
      </c>
      <c r="K344" t="s">
        <v>3181</v>
      </c>
      <c r="L344" t="s">
        <v>1016</v>
      </c>
      <c r="M344" t="s">
        <v>980</v>
      </c>
      <c r="N344" t="s">
        <v>1015</v>
      </c>
      <c r="O344" t="s">
        <v>1015</v>
      </c>
      <c r="P344" t="s">
        <v>1110</v>
      </c>
      <c r="Q344" t="s">
        <v>3169</v>
      </c>
      <c r="R344" t="s">
        <v>2143</v>
      </c>
      <c r="S344" t="s">
        <v>3379</v>
      </c>
      <c r="T344" t="s">
        <v>3239</v>
      </c>
      <c r="U344" t="b">
        <v>0</v>
      </c>
      <c r="V344" t="s">
        <v>2142</v>
      </c>
    </row>
    <row r="345" spans="1:22" x14ac:dyDescent="0.25">
      <c r="A345" t="s">
        <v>42</v>
      </c>
      <c r="B345">
        <v>50</v>
      </c>
      <c r="C345" t="s">
        <v>1019</v>
      </c>
      <c r="D345" t="s">
        <v>1349</v>
      </c>
      <c r="E345" t="s">
        <v>1018</v>
      </c>
      <c r="F345">
        <v>-2</v>
      </c>
      <c r="G345" t="s">
        <v>24</v>
      </c>
      <c r="H345" t="s">
        <v>26</v>
      </c>
      <c r="I345" t="s">
        <v>3167</v>
      </c>
      <c r="J345" t="s">
        <v>1021</v>
      </c>
      <c r="K345" t="s">
        <v>3183</v>
      </c>
      <c r="L345" t="s">
        <v>1021</v>
      </c>
      <c r="M345" t="s">
        <v>980</v>
      </c>
      <c r="N345" t="s">
        <v>1020</v>
      </c>
      <c r="O345" t="s">
        <v>1020</v>
      </c>
      <c r="P345" t="s">
        <v>1110</v>
      </c>
      <c r="Q345" t="s">
        <v>3169</v>
      </c>
      <c r="R345" t="s">
        <v>2143</v>
      </c>
      <c r="S345" t="s">
        <v>3379</v>
      </c>
      <c r="T345" t="s">
        <v>3239</v>
      </c>
      <c r="U345" t="b">
        <v>0</v>
      </c>
      <c r="V345" t="s">
        <v>2142</v>
      </c>
    </row>
    <row r="346" spans="1:22" x14ac:dyDescent="0.25">
      <c r="A346" t="s">
        <v>42</v>
      </c>
      <c r="B346">
        <v>50</v>
      </c>
      <c r="C346" t="s">
        <v>1024</v>
      </c>
      <c r="D346" t="s">
        <v>1350</v>
      </c>
      <c r="E346" t="s">
        <v>1023</v>
      </c>
      <c r="F346">
        <v>-18</v>
      </c>
      <c r="G346" t="s">
        <v>24</v>
      </c>
      <c r="H346" t="s">
        <v>26</v>
      </c>
      <c r="I346" t="s">
        <v>3167</v>
      </c>
      <c r="J346" t="s">
        <v>1026</v>
      </c>
      <c r="K346" t="s">
        <v>3185</v>
      </c>
      <c r="L346" t="s">
        <v>1026</v>
      </c>
      <c r="M346" t="s">
        <v>1000</v>
      </c>
      <c r="N346" t="s">
        <v>1025</v>
      </c>
      <c r="O346" t="s">
        <v>1025</v>
      </c>
      <c r="P346" t="s">
        <v>1110</v>
      </c>
      <c r="Q346" t="s">
        <v>3169</v>
      </c>
      <c r="R346" t="s">
        <v>2147</v>
      </c>
      <c r="S346" t="s">
        <v>3379</v>
      </c>
      <c r="T346" t="s">
        <v>3239</v>
      </c>
      <c r="U346" t="b">
        <v>0</v>
      </c>
      <c r="V346" t="s">
        <v>1950</v>
      </c>
    </row>
    <row r="347" spans="1:22" x14ac:dyDescent="0.25">
      <c r="A347" t="s">
        <v>42</v>
      </c>
      <c r="B347">
        <v>50</v>
      </c>
      <c r="C347" t="s">
        <v>1028</v>
      </c>
      <c r="D347" t="s">
        <v>3382</v>
      </c>
      <c r="E347" t="s">
        <v>1010</v>
      </c>
      <c r="F347" t="s">
        <v>3383</v>
      </c>
      <c r="G347" t="s">
        <v>24</v>
      </c>
      <c r="H347" t="s">
        <v>26</v>
      </c>
      <c r="I347" t="s">
        <v>3167</v>
      </c>
      <c r="J347" t="s">
        <v>1026</v>
      </c>
      <c r="K347" t="s">
        <v>3185</v>
      </c>
      <c r="L347" t="s">
        <v>1026</v>
      </c>
      <c r="M347" t="s">
        <v>1000</v>
      </c>
      <c r="N347" t="s">
        <v>1025</v>
      </c>
      <c r="O347" t="s">
        <v>1025</v>
      </c>
      <c r="P347" t="s">
        <v>1110</v>
      </c>
      <c r="Q347" t="s">
        <v>3169</v>
      </c>
      <c r="R347" t="s">
        <v>446</v>
      </c>
      <c r="S347" t="s">
        <v>446</v>
      </c>
      <c r="T347" t="s">
        <v>1965</v>
      </c>
      <c r="U347" t="b">
        <v>0</v>
      </c>
      <c r="V347" t="s">
        <v>446</v>
      </c>
    </row>
    <row r="348" spans="1:22" x14ac:dyDescent="0.25">
      <c r="A348" t="s">
        <v>42</v>
      </c>
      <c r="B348">
        <v>50</v>
      </c>
      <c r="C348" t="s">
        <v>1030</v>
      </c>
      <c r="D348" t="s">
        <v>1351</v>
      </c>
      <c r="E348" t="s">
        <v>1029</v>
      </c>
      <c r="F348">
        <v>-5</v>
      </c>
      <c r="G348" t="s">
        <v>24</v>
      </c>
      <c r="H348" t="s">
        <v>26</v>
      </c>
      <c r="I348" t="s">
        <v>3167</v>
      </c>
      <c r="J348" t="s">
        <v>1033</v>
      </c>
      <c r="K348" t="s">
        <v>3189</v>
      </c>
      <c r="L348" t="s">
        <v>1033</v>
      </c>
      <c r="M348" t="s">
        <v>980</v>
      </c>
      <c r="N348" t="s">
        <v>1031</v>
      </c>
      <c r="O348" t="s">
        <v>1031</v>
      </c>
      <c r="P348" t="s">
        <v>1110</v>
      </c>
      <c r="Q348" t="s">
        <v>3169</v>
      </c>
      <c r="R348" t="s">
        <v>2143</v>
      </c>
      <c r="S348" t="s">
        <v>3379</v>
      </c>
      <c r="T348" t="s">
        <v>3239</v>
      </c>
      <c r="U348" t="b">
        <v>0</v>
      </c>
      <c r="V348" t="s">
        <v>2142</v>
      </c>
    </row>
    <row r="349" spans="1:22" x14ac:dyDescent="0.25">
      <c r="A349" t="s">
        <v>42</v>
      </c>
      <c r="B349">
        <v>50</v>
      </c>
      <c r="C349" t="s">
        <v>1036</v>
      </c>
      <c r="D349" t="s">
        <v>1352</v>
      </c>
      <c r="E349" t="s">
        <v>1035</v>
      </c>
      <c r="F349">
        <v>7</v>
      </c>
      <c r="G349" t="s">
        <v>24</v>
      </c>
      <c r="H349" t="s">
        <v>26</v>
      </c>
      <c r="I349" t="s">
        <v>3167</v>
      </c>
      <c r="J349" t="s">
        <v>1038</v>
      </c>
      <c r="K349" t="s">
        <v>3191</v>
      </c>
      <c r="L349" t="s">
        <v>1038</v>
      </c>
      <c r="M349" t="s">
        <v>980</v>
      </c>
      <c r="N349" t="s">
        <v>1037</v>
      </c>
      <c r="O349" t="s">
        <v>1037</v>
      </c>
      <c r="P349" t="s">
        <v>1110</v>
      </c>
      <c r="Q349" t="s">
        <v>3169</v>
      </c>
      <c r="R349" t="s">
        <v>2143</v>
      </c>
      <c r="S349" t="s">
        <v>3379</v>
      </c>
      <c r="T349" t="s">
        <v>3239</v>
      </c>
      <c r="U349" t="b">
        <v>0</v>
      </c>
      <c r="V349" t="s">
        <v>2142</v>
      </c>
    </row>
    <row r="350" spans="1:22" x14ac:dyDescent="0.25">
      <c r="A350" t="s">
        <v>42</v>
      </c>
      <c r="B350">
        <v>50</v>
      </c>
      <c r="C350" t="s">
        <v>1041</v>
      </c>
      <c r="D350" t="s">
        <v>1353</v>
      </c>
      <c r="E350" t="s">
        <v>1040</v>
      </c>
      <c r="F350">
        <v>13</v>
      </c>
      <c r="G350" t="s">
        <v>24</v>
      </c>
      <c r="H350" t="s">
        <v>26</v>
      </c>
      <c r="I350" t="s">
        <v>3167</v>
      </c>
      <c r="J350" t="s">
        <v>1043</v>
      </c>
      <c r="K350" t="s">
        <v>3193</v>
      </c>
      <c r="L350" t="s">
        <v>1043</v>
      </c>
      <c r="M350" t="s">
        <v>980</v>
      </c>
      <c r="N350" t="s">
        <v>1042</v>
      </c>
      <c r="O350" t="s">
        <v>1042</v>
      </c>
      <c r="P350" t="s">
        <v>1110</v>
      </c>
      <c r="Q350" t="s">
        <v>3169</v>
      </c>
      <c r="R350" t="s">
        <v>2143</v>
      </c>
      <c r="S350" t="s">
        <v>3379</v>
      </c>
      <c r="T350" t="s">
        <v>3239</v>
      </c>
      <c r="U350" t="b">
        <v>0</v>
      </c>
      <c r="V350" t="s">
        <v>2142</v>
      </c>
    </row>
    <row r="351" spans="1:22" x14ac:dyDescent="0.25">
      <c r="A351" t="s">
        <v>42</v>
      </c>
      <c r="B351">
        <v>50</v>
      </c>
      <c r="C351" t="s">
        <v>1046</v>
      </c>
      <c r="D351" t="s">
        <v>1354</v>
      </c>
      <c r="E351" t="s">
        <v>1045</v>
      </c>
      <c r="F351">
        <v>-45</v>
      </c>
      <c r="G351" t="s">
        <v>24</v>
      </c>
      <c r="H351" t="s">
        <v>26</v>
      </c>
      <c r="I351" t="s">
        <v>3167</v>
      </c>
      <c r="J351" t="s">
        <v>1048</v>
      </c>
      <c r="K351" t="s">
        <v>3195</v>
      </c>
      <c r="L351" t="s">
        <v>1048</v>
      </c>
      <c r="M351" t="s">
        <v>1000</v>
      </c>
      <c r="N351" t="s">
        <v>1047</v>
      </c>
      <c r="O351" t="s">
        <v>1047</v>
      </c>
      <c r="P351" t="s">
        <v>1110</v>
      </c>
      <c r="Q351" t="s">
        <v>3169</v>
      </c>
      <c r="R351" t="s">
        <v>2147</v>
      </c>
      <c r="S351" t="s">
        <v>3379</v>
      </c>
      <c r="T351" t="s">
        <v>3239</v>
      </c>
      <c r="U351" t="b">
        <v>0</v>
      </c>
      <c r="V351" t="s">
        <v>1950</v>
      </c>
    </row>
    <row r="352" spans="1:22" x14ac:dyDescent="0.25">
      <c r="A352" t="s">
        <v>42</v>
      </c>
      <c r="B352">
        <v>50</v>
      </c>
      <c r="C352" t="s">
        <v>1050</v>
      </c>
      <c r="D352" t="s">
        <v>3384</v>
      </c>
      <c r="E352" t="s">
        <v>1032</v>
      </c>
      <c r="F352" t="s">
        <v>3385</v>
      </c>
      <c r="G352" t="s">
        <v>24</v>
      </c>
      <c r="H352" t="s">
        <v>26</v>
      </c>
      <c r="I352" t="s">
        <v>3167</v>
      </c>
      <c r="J352" t="s">
        <v>1048</v>
      </c>
      <c r="K352" t="s">
        <v>3195</v>
      </c>
      <c r="L352" t="s">
        <v>1048</v>
      </c>
      <c r="M352" t="s">
        <v>1000</v>
      </c>
      <c r="N352" t="s">
        <v>1047</v>
      </c>
      <c r="O352" t="s">
        <v>1047</v>
      </c>
      <c r="P352" t="s">
        <v>1110</v>
      </c>
      <c r="Q352" t="s">
        <v>3169</v>
      </c>
      <c r="R352" t="s">
        <v>446</v>
      </c>
      <c r="S352" t="s">
        <v>446</v>
      </c>
      <c r="T352" t="s">
        <v>1965</v>
      </c>
      <c r="U352" t="b">
        <v>0</v>
      </c>
      <c r="V352" t="s">
        <v>446</v>
      </c>
    </row>
    <row r="353" spans="1:22" x14ac:dyDescent="0.25">
      <c r="A353" t="s">
        <v>42</v>
      </c>
      <c r="B353">
        <v>50</v>
      </c>
      <c r="C353" t="s">
        <v>1052</v>
      </c>
      <c r="D353" t="s">
        <v>1355</v>
      </c>
      <c r="E353" t="s">
        <v>1051</v>
      </c>
      <c r="F353">
        <v>-42</v>
      </c>
      <c r="G353" t="s">
        <v>24</v>
      </c>
      <c r="H353" t="s">
        <v>26</v>
      </c>
      <c r="I353" t="s">
        <v>3167</v>
      </c>
      <c r="J353" t="s">
        <v>1055</v>
      </c>
      <c r="K353" t="s">
        <v>3199</v>
      </c>
      <c r="L353" t="s">
        <v>1055</v>
      </c>
      <c r="M353" t="s">
        <v>980</v>
      </c>
      <c r="N353" t="s">
        <v>1053</v>
      </c>
      <c r="O353" t="s">
        <v>1053</v>
      </c>
      <c r="P353" t="s">
        <v>1110</v>
      </c>
      <c r="Q353" t="s">
        <v>3169</v>
      </c>
      <c r="R353" t="s">
        <v>2143</v>
      </c>
      <c r="S353" t="s">
        <v>3379</v>
      </c>
      <c r="T353" t="s">
        <v>3239</v>
      </c>
      <c r="U353" t="b">
        <v>0</v>
      </c>
      <c r="V353" t="s">
        <v>2142</v>
      </c>
    </row>
    <row r="354" spans="1:22" x14ac:dyDescent="0.25">
      <c r="A354" t="s">
        <v>42</v>
      </c>
      <c r="B354">
        <v>51</v>
      </c>
      <c r="C354" t="s">
        <v>979</v>
      </c>
      <c r="D354" t="s">
        <v>3127</v>
      </c>
      <c r="E354" t="s">
        <v>978</v>
      </c>
      <c r="F354" t="s">
        <v>3386</v>
      </c>
      <c r="G354" t="s">
        <v>24</v>
      </c>
      <c r="H354" t="s">
        <v>26</v>
      </c>
      <c r="I354" t="s">
        <v>3167</v>
      </c>
      <c r="J354" t="s">
        <v>984</v>
      </c>
      <c r="K354" t="s">
        <v>3168</v>
      </c>
      <c r="L354" t="s">
        <v>984</v>
      </c>
      <c r="M354" t="s">
        <v>980</v>
      </c>
      <c r="N354" t="s">
        <v>981</v>
      </c>
      <c r="O354" t="s">
        <v>981</v>
      </c>
      <c r="P354" t="s">
        <v>1110</v>
      </c>
      <c r="Q354" t="s">
        <v>3169</v>
      </c>
      <c r="R354" t="s">
        <v>446</v>
      </c>
      <c r="S354" t="s">
        <v>3128</v>
      </c>
      <c r="T354" t="s">
        <v>1965</v>
      </c>
      <c r="U354" t="b">
        <v>0</v>
      </c>
      <c r="V354" t="s">
        <v>3129</v>
      </c>
    </row>
    <row r="355" spans="1:22" x14ac:dyDescent="0.25">
      <c r="A355" t="s">
        <v>42</v>
      </c>
      <c r="B355">
        <v>51</v>
      </c>
      <c r="C355" t="s">
        <v>987</v>
      </c>
      <c r="D355" t="s">
        <v>3130</v>
      </c>
      <c r="E355" t="s">
        <v>986</v>
      </c>
      <c r="F355" t="s">
        <v>3387</v>
      </c>
      <c r="G355" t="s">
        <v>24</v>
      </c>
      <c r="H355" t="s">
        <v>26</v>
      </c>
      <c r="I355" t="s">
        <v>3167</v>
      </c>
      <c r="J355" t="s">
        <v>990</v>
      </c>
      <c r="K355" t="s">
        <v>3171</v>
      </c>
      <c r="L355" t="s">
        <v>990</v>
      </c>
      <c r="M355" t="s">
        <v>980</v>
      </c>
      <c r="N355" t="s">
        <v>988</v>
      </c>
      <c r="O355" t="s">
        <v>988</v>
      </c>
      <c r="P355" t="s">
        <v>1110</v>
      </c>
      <c r="Q355" t="s">
        <v>3169</v>
      </c>
      <c r="R355" t="s">
        <v>446</v>
      </c>
      <c r="S355" t="s">
        <v>3128</v>
      </c>
      <c r="T355" t="s">
        <v>1965</v>
      </c>
      <c r="U355" t="b">
        <v>0</v>
      </c>
      <c r="V355" t="s">
        <v>3129</v>
      </c>
    </row>
    <row r="356" spans="1:22" x14ac:dyDescent="0.25">
      <c r="A356" t="s">
        <v>42</v>
      </c>
      <c r="B356">
        <v>51</v>
      </c>
      <c r="C356" t="s">
        <v>993</v>
      </c>
      <c r="D356" t="s">
        <v>3131</v>
      </c>
      <c r="E356" t="s">
        <v>992</v>
      </c>
      <c r="F356" t="s">
        <v>3388</v>
      </c>
      <c r="G356" t="s">
        <v>24</v>
      </c>
      <c r="H356" t="s">
        <v>26</v>
      </c>
      <c r="I356" t="s">
        <v>3167</v>
      </c>
      <c r="J356" t="s">
        <v>996</v>
      </c>
      <c r="K356" t="s">
        <v>3173</v>
      </c>
      <c r="L356" t="s">
        <v>996</v>
      </c>
      <c r="M356" t="s">
        <v>980</v>
      </c>
      <c r="N356" t="s">
        <v>994</v>
      </c>
      <c r="O356" t="s">
        <v>994</v>
      </c>
      <c r="P356" t="s">
        <v>1110</v>
      </c>
      <c r="Q356" t="s">
        <v>3169</v>
      </c>
      <c r="R356" t="s">
        <v>446</v>
      </c>
      <c r="S356" t="s">
        <v>3128</v>
      </c>
      <c r="T356" t="s">
        <v>1965</v>
      </c>
      <c r="U356" t="b">
        <v>0</v>
      </c>
      <c r="V356" t="s">
        <v>3129</v>
      </c>
    </row>
    <row r="357" spans="1:22" x14ac:dyDescent="0.25">
      <c r="A357" t="s">
        <v>42</v>
      </c>
      <c r="B357">
        <v>51</v>
      </c>
      <c r="C357" t="s">
        <v>999</v>
      </c>
      <c r="D357" t="s">
        <v>3132</v>
      </c>
      <c r="E357" t="s">
        <v>998</v>
      </c>
      <c r="F357" t="s">
        <v>3389</v>
      </c>
      <c r="G357" t="s">
        <v>24</v>
      </c>
      <c r="H357" t="s">
        <v>26</v>
      </c>
      <c r="I357" t="s">
        <v>3167</v>
      </c>
      <c r="J357" t="s">
        <v>1003</v>
      </c>
      <c r="K357" t="s">
        <v>3175</v>
      </c>
      <c r="L357" t="s">
        <v>1003</v>
      </c>
      <c r="M357" t="s">
        <v>1000</v>
      </c>
      <c r="N357" t="s">
        <v>1001</v>
      </c>
      <c r="O357" t="s">
        <v>1001</v>
      </c>
      <c r="P357" t="s">
        <v>1110</v>
      </c>
      <c r="Q357" t="s">
        <v>3169</v>
      </c>
      <c r="R357" t="s">
        <v>446</v>
      </c>
      <c r="S357" t="s">
        <v>3128</v>
      </c>
      <c r="T357" t="s">
        <v>1965</v>
      </c>
      <c r="U357" t="b">
        <v>0</v>
      </c>
      <c r="V357" t="s">
        <v>3129</v>
      </c>
    </row>
    <row r="358" spans="1:22" x14ac:dyDescent="0.25">
      <c r="A358" t="s">
        <v>42</v>
      </c>
      <c r="B358">
        <v>51</v>
      </c>
      <c r="C358" t="s">
        <v>1005</v>
      </c>
      <c r="D358" t="s">
        <v>3133</v>
      </c>
      <c r="E358" t="s">
        <v>982</v>
      </c>
      <c r="F358" t="s">
        <v>3390</v>
      </c>
      <c r="G358" t="s">
        <v>24</v>
      </c>
      <c r="H358" t="s">
        <v>26</v>
      </c>
      <c r="I358" t="s">
        <v>3167</v>
      </c>
      <c r="J358" t="s">
        <v>1003</v>
      </c>
      <c r="K358" t="s">
        <v>3175</v>
      </c>
      <c r="L358" t="s">
        <v>1003</v>
      </c>
      <c r="M358" t="s">
        <v>1000</v>
      </c>
      <c r="N358" t="s">
        <v>1001</v>
      </c>
      <c r="O358" t="s">
        <v>1001</v>
      </c>
      <c r="P358" t="s">
        <v>1110</v>
      </c>
      <c r="Q358" t="s">
        <v>3169</v>
      </c>
      <c r="R358" t="s">
        <v>446</v>
      </c>
      <c r="S358" t="s">
        <v>3128</v>
      </c>
      <c r="T358" t="s">
        <v>1965</v>
      </c>
      <c r="U358" t="b">
        <v>0</v>
      </c>
      <c r="V358" t="s">
        <v>3129</v>
      </c>
    </row>
    <row r="359" spans="1:22" x14ac:dyDescent="0.25">
      <c r="A359" t="s">
        <v>42</v>
      </c>
      <c r="B359">
        <v>51</v>
      </c>
      <c r="C359" t="s">
        <v>1007</v>
      </c>
      <c r="D359" t="s">
        <v>3134</v>
      </c>
      <c r="E359" t="s">
        <v>1006</v>
      </c>
      <c r="F359" t="s">
        <v>3391</v>
      </c>
      <c r="G359" t="s">
        <v>24</v>
      </c>
      <c r="H359" t="s">
        <v>26</v>
      </c>
      <c r="I359" t="s">
        <v>3167</v>
      </c>
      <c r="J359" t="s">
        <v>1011</v>
      </c>
      <c r="K359" t="s">
        <v>3179</v>
      </c>
      <c r="L359" t="s">
        <v>1011</v>
      </c>
      <c r="M359" t="s">
        <v>1008</v>
      </c>
      <c r="N359" t="s">
        <v>1009</v>
      </c>
      <c r="O359" t="s">
        <v>1009</v>
      </c>
      <c r="P359" t="s">
        <v>1110</v>
      </c>
      <c r="Q359" t="s">
        <v>3169</v>
      </c>
      <c r="R359" t="s">
        <v>446</v>
      </c>
      <c r="S359" t="s">
        <v>3128</v>
      </c>
      <c r="T359" t="s">
        <v>1965</v>
      </c>
      <c r="U359" t="b">
        <v>0</v>
      </c>
      <c r="V359" t="s">
        <v>3129</v>
      </c>
    </row>
    <row r="360" spans="1:22" x14ac:dyDescent="0.25">
      <c r="A360" t="s">
        <v>42</v>
      </c>
      <c r="B360">
        <v>51</v>
      </c>
      <c r="C360" t="s">
        <v>1014</v>
      </c>
      <c r="D360" t="s">
        <v>3135</v>
      </c>
      <c r="E360" t="s">
        <v>1013</v>
      </c>
      <c r="F360" t="s">
        <v>3392</v>
      </c>
      <c r="G360" t="s">
        <v>24</v>
      </c>
      <c r="H360" t="s">
        <v>26</v>
      </c>
      <c r="I360" t="s">
        <v>3167</v>
      </c>
      <c r="J360" t="s">
        <v>1016</v>
      </c>
      <c r="K360" t="s">
        <v>3181</v>
      </c>
      <c r="L360" t="s">
        <v>1016</v>
      </c>
      <c r="M360" t="s">
        <v>980</v>
      </c>
      <c r="N360" t="s">
        <v>1015</v>
      </c>
      <c r="O360" t="s">
        <v>1015</v>
      </c>
      <c r="P360" t="s">
        <v>1110</v>
      </c>
      <c r="Q360" t="s">
        <v>3169</v>
      </c>
      <c r="R360" t="s">
        <v>446</v>
      </c>
      <c r="S360" t="s">
        <v>3128</v>
      </c>
      <c r="T360" t="s">
        <v>1965</v>
      </c>
      <c r="U360" t="b">
        <v>0</v>
      </c>
      <c r="V360" t="s">
        <v>3129</v>
      </c>
    </row>
    <row r="361" spans="1:22" x14ac:dyDescent="0.25">
      <c r="A361" t="s">
        <v>42</v>
      </c>
      <c r="B361">
        <v>51</v>
      </c>
      <c r="C361" t="s">
        <v>1019</v>
      </c>
      <c r="D361" t="s">
        <v>3136</v>
      </c>
      <c r="E361" t="s">
        <v>1018</v>
      </c>
      <c r="F361" t="s">
        <v>3393</v>
      </c>
      <c r="G361" t="s">
        <v>24</v>
      </c>
      <c r="H361" t="s">
        <v>26</v>
      </c>
      <c r="I361" t="s">
        <v>3167</v>
      </c>
      <c r="J361" t="s">
        <v>1021</v>
      </c>
      <c r="K361" t="s">
        <v>3183</v>
      </c>
      <c r="L361" t="s">
        <v>1021</v>
      </c>
      <c r="M361" t="s">
        <v>980</v>
      </c>
      <c r="N361" t="s">
        <v>1020</v>
      </c>
      <c r="O361" t="s">
        <v>1020</v>
      </c>
      <c r="P361" t="s">
        <v>1110</v>
      </c>
      <c r="Q361" t="s">
        <v>3169</v>
      </c>
      <c r="R361" t="s">
        <v>446</v>
      </c>
      <c r="S361" t="s">
        <v>3128</v>
      </c>
      <c r="T361" t="s">
        <v>1965</v>
      </c>
      <c r="U361" t="b">
        <v>0</v>
      </c>
      <c r="V361" t="s">
        <v>3129</v>
      </c>
    </row>
    <row r="362" spans="1:22" x14ac:dyDescent="0.25">
      <c r="A362" t="s">
        <v>42</v>
      </c>
      <c r="B362">
        <v>51</v>
      </c>
      <c r="C362" t="s">
        <v>1024</v>
      </c>
      <c r="D362" t="s">
        <v>3137</v>
      </c>
      <c r="E362" t="s">
        <v>1023</v>
      </c>
      <c r="F362" t="s">
        <v>3394</v>
      </c>
      <c r="G362" t="s">
        <v>24</v>
      </c>
      <c r="H362" t="s">
        <v>26</v>
      </c>
      <c r="I362" t="s">
        <v>3167</v>
      </c>
      <c r="J362" t="s">
        <v>1026</v>
      </c>
      <c r="K362" t="s">
        <v>3185</v>
      </c>
      <c r="L362" t="s">
        <v>1026</v>
      </c>
      <c r="M362" t="s">
        <v>1000</v>
      </c>
      <c r="N362" t="s">
        <v>1025</v>
      </c>
      <c r="O362" t="s">
        <v>1025</v>
      </c>
      <c r="P362" t="s">
        <v>1110</v>
      </c>
      <c r="Q362" t="s">
        <v>3169</v>
      </c>
      <c r="R362" t="s">
        <v>446</v>
      </c>
      <c r="S362" t="s">
        <v>3128</v>
      </c>
      <c r="T362" t="s">
        <v>1965</v>
      </c>
      <c r="U362" t="b">
        <v>0</v>
      </c>
      <c r="V362" t="s">
        <v>3129</v>
      </c>
    </row>
    <row r="363" spans="1:22" x14ac:dyDescent="0.25">
      <c r="A363" t="s">
        <v>42</v>
      </c>
      <c r="B363">
        <v>51</v>
      </c>
      <c r="C363" t="s">
        <v>1028</v>
      </c>
      <c r="D363" t="s">
        <v>3138</v>
      </c>
      <c r="E363" t="s">
        <v>1010</v>
      </c>
      <c r="F363" t="s">
        <v>3395</v>
      </c>
      <c r="G363" t="s">
        <v>24</v>
      </c>
      <c r="H363" t="s">
        <v>26</v>
      </c>
      <c r="I363" t="s">
        <v>3167</v>
      </c>
      <c r="J363" t="s">
        <v>1026</v>
      </c>
      <c r="K363" t="s">
        <v>3185</v>
      </c>
      <c r="L363" t="s">
        <v>1026</v>
      </c>
      <c r="M363" t="s">
        <v>1000</v>
      </c>
      <c r="N363" t="s">
        <v>1025</v>
      </c>
      <c r="O363" t="s">
        <v>1025</v>
      </c>
      <c r="P363" t="s">
        <v>1110</v>
      </c>
      <c r="Q363" t="s">
        <v>3169</v>
      </c>
      <c r="R363" t="s">
        <v>446</v>
      </c>
      <c r="S363" t="s">
        <v>3128</v>
      </c>
      <c r="T363" t="s">
        <v>1965</v>
      </c>
      <c r="U363" t="b">
        <v>0</v>
      </c>
      <c r="V363" t="s">
        <v>3129</v>
      </c>
    </row>
    <row r="364" spans="1:22" x14ac:dyDescent="0.25">
      <c r="A364" t="s">
        <v>42</v>
      </c>
      <c r="B364">
        <v>51</v>
      </c>
      <c r="C364" t="s">
        <v>1030</v>
      </c>
      <c r="D364" t="s">
        <v>3139</v>
      </c>
      <c r="E364" t="s">
        <v>1029</v>
      </c>
      <c r="F364" t="s">
        <v>3396</v>
      </c>
      <c r="G364" t="s">
        <v>24</v>
      </c>
      <c r="H364" t="s">
        <v>26</v>
      </c>
      <c r="I364" t="s">
        <v>3167</v>
      </c>
      <c r="J364" t="s">
        <v>1033</v>
      </c>
      <c r="K364" t="s">
        <v>3189</v>
      </c>
      <c r="L364" t="s">
        <v>1033</v>
      </c>
      <c r="M364" t="s">
        <v>980</v>
      </c>
      <c r="N364" t="s">
        <v>1031</v>
      </c>
      <c r="O364" t="s">
        <v>1031</v>
      </c>
      <c r="P364" t="s">
        <v>1110</v>
      </c>
      <c r="Q364" t="s">
        <v>3169</v>
      </c>
      <c r="R364" t="s">
        <v>446</v>
      </c>
      <c r="S364" t="s">
        <v>3128</v>
      </c>
      <c r="T364" t="s">
        <v>1965</v>
      </c>
      <c r="U364" t="b">
        <v>0</v>
      </c>
      <c r="V364" t="s">
        <v>3129</v>
      </c>
    </row>
    <row r="365" spans="1:22" x14ac:dyDescent="0.25">
      <c r="A365" t="s">
        <v>42</v>
      </c>
      <c r="B365">
        <v>51</v>
      </c>
      <c r="C365" t="s">
        <v>1036</v>
      </c>
      <c r="D365" t="s">
        <v>3140</v>
      </c>
      <c r="E365" t="s">
        <v>1035</v>
      </c>
      <c r="F365" t="s">
        <v>3397</v>
      </c>
      <c r="G365" t="s">
        <v>24</v>
      </c>
      <c r="H365" t="s">
        <v>26</v>
      </c>
      <c r="I365" t="s">
        <v>3167</v>
      </c>
      <c r="J365" t="s">
        <v>1038</v>
      </c>
      <c r="K365" t="s">
        <v>3191</v>
      </c>
      <c r="L365" t="s">
        <v>1038</v>
      </c>
      <c r="M365" t="s">
        <v>980</v>
      </c>
      <c r="N365" t="s">
        <v>1037</v>
      </c>
      <c r="O365" t="s">
        <v>1037</v>
      </c>
      <c r="P365" t="s">
        <v>1110</v>
      </c>
      <c r="Q365" t="s">
        <v>3169</v>
      </c>
      <c r="R365" t="s">
        <v>446</v>
      </c>
      <c r="S365" t="s">
        <v>3128</v>
      </c>
      <c r="T365" t="s">
        <v>1965</v>
      </c>
      <c r="U365" t="b">
        <v>0</v>
      </c>
      <c r="V365" t="s">
        <v>3129</v>
      </c>
    </row>
    <row r="366" spans="1:22" x14ac:dyDescent="0.25">
      <c r="A366" t="s">
        <v>42</v>
      </c>
      <c r="B366">
        <v>51</v>
      </c>
      <c r="C366" t="s">
        <v>1041</v>
      </c>
      <c r="D366" t="s">
        <v>3141</v>
      </c>
      <c r="E366" t="s">
        <v>1040</v>
      </c>
      <c r="F366" t="s">
        <v>3398</v>
      </c>
      <c r="G366" t="s">
        <v>24</v>
      </c>
      <c r="H366" t="s">
        <v>26</v>
      </c>
      <c r="I366" t="s">
        <v>3167</v>
      </c>
      <c r="J366" t="s">
        <v>1043</v>
      </c>
      <c r="K366" t="s">
        <v>3193</v>
      </c>
      <c r="L366" t="s">
        <v>1043</v>
      </c>
      <c r="M366" t="s">
        <v>980</v>
      </c>
      <c r="N366" t="s">
        <v>1042</v>
      </c>
      <c r="O366" t="s">
        <v>1042</v>
      </c>
      <c r="P366" t="s">
        <v>1110</v>
      </c>
      <c r="Q366" t="s">
        <v>3169</v>
      </c>
      <c r="R366" t="s">
        <v>446</v>
      </c>
      <c r="S366" t="s">
        <v>3128</v>
      </c>
      <c r="T366" t="s">
        <v>1965</v>
      </c>
      <c r="U366" t="b">
        <v>0</v>
      </c>
      <c r="V366" t="s">
        <v>3129</v>
      </c>
    </row>
    <row r="367" spans="1:22" x14ac:dyDescent="0.25">
      <c r="A367" t="s">
        <v>42</v>
      </c>
      <c r="B367">
        <v>51</v>
      </c>
      <c r="C367" t="s">
        <v>1046</v>
      </c>
      <c r="D367" t="s">
        <v>3142</v>
      </c>
      <c r="E367" t="s">
        <v>1045</v>
      </c>
      <c r="F367" t="s">
        <v>3399</v>
      </c>
      <c r="G367" t="s">
        <v>24</v>
      </c>
      <c r="H367" t="s">
        <v>26</v>
      </c>
      <c r="I367" t="s">
        <v>3167</v>
      </c>
      <c r="J367" t="s">
        <v>1048</v>
      </c>
      <c r="K367" t="s">
        <v>3195</v>
      </c>
      <c r="L367" t="s">
        <v>1048</v>
      </c>
      <c r="M367" t="s">
        <v>1000</v>
      </c>
      <c r="N367" t="s">
        <v>1047</v>
      </c>
      <c r="O367" t="s">
        <v>1047</v>
      </c>
      <c r="P367" t="s">
        <v>1110</v>
      </c>
      <c r="Q367" t="s">
        <v>3169</v>
      </c>
      <c r="R367" t="s">
        <v>446</v>
      </c>
      <c r="S367" t="s">
        <v>3128</v>
      </c>
      <c r="T367" t="s">
        <v>1965</v>
      </c>
      <c r="U367" t="b">
        <v>0</v>
      </c>
      <c r="V367" t="s">
        <v>3129</v>
      </c>
    </row>
    <row r="368" spans="1:22" x14ac:dyDescent="0.25">
      <c r="A368" t="s">
        <v>42</v>
      </c>
      <c r="B368">
        <v>51</v>
      </c>
      <c r="C368" t="s">
        <v>1050</v>
      </c>
      <c r="D368" t="s">
        <v>3143</v>
      </c>
      <c r="E368" t="s">
        <v>1032</v>
      </c>
      <c r="F368" t="s">
        <v>3400</v>
      </c>
      <c r="G368" t="s">
        <v>24</v>
      </c>
      <c r="H368" t="s">
        <v>26</v>
      </c>
      <c r="I368" t="s">
        <v>3167</v>
      </c>
      <c r="J368" t="s">
        <v>1048</v>
      </c>
      <c r="K368" t="s">
        <v>3195</v>
      </c>
      <c r="L368" t="s">
        <v>1048</v>
      </c>
      <c r="M368" t="s">
        <v>1000</v>
      </c>
      <c r="N368" t="s">
        <v>1047</v>
      </c>
      <c r="O368" t="s">
        <v>1047</v>
      </c>
      <c r="P368" t="s">
        <v>1110</v>
      </c>
      <c r="Q368" t="s">
        <v>3169</v>
      </c>
      <c r="R368" t="s">
        <v>446</v>
      </c>
      <c r="S368" t="s">
        <v>3128</v>
      </c>
      <c r="T368" t="s">
        <v>1965</v>
      </c>
      <c r="U368" t="b">
        <v>0</v>
      </c>
      <c r="V368" t="s">
        <v>3129</v>
      </c>
    </row>
    <row r="369" spans="1:22" x14ac:dyDescent="0.25">
      <c r="A369" t="s">
        <v>42</v>
      </c>
      <c r="B369">
        <v>51</v>
      </c>
      <c r="C369" t="s">
        <v>1052</v>
      </c>
      <c r="D369" t="s">
        <v>3144</v>
      </c>
      <c r="E369" t="s">
        <v>1051</v>
      </c>
      <c r="F369" t="s">
        <v>3401</v>
      </c>
      <c r="G369" t="s">
        <v>24</v>
      </c>
      <c r="H369" t="s">
        <v>26</v>
      </c>
      <c r="I369" t="s">
        <v>3167</v>
      </c>
      <c r="J369" t="s">
        <v>1055</v>
      </c>
      <c r="K369" t="s">
        <v>3199</v>
      </c>
      <c r="L369" t="s">
        <v>1055</v>
      </c>
      <c r="M369" t="s">
        <v>980</v>
      </c>
      <c r="N369" t="s">
        <v>1053</v>
      </c>
      <c r="O369" t="s">
        <v>1053</v>
      </c>
      <c r="P369" t="s">
        <v>1110</v>
      </c>
      <c r="Q369" t="s">
        <v>3169</v>
      </c>
      <c r="R369" t="s">
        <v>446</v>
      </c>
      <c r="S369" t="s">
        <v>3128</v>
      </c>
      <c r="T369" t="s">
        <v>1965</v>
      </c>
      <c r="U369" t="b">
        <v>0</v>
      </c>
      <c r="V369" t="s">
        <v>3129</v>
      </c>
    </row>
    <row r="370" spans="1:22" x14ac:dyDescent="0.25">
      <c r="A370" t="s">
        <v>42</v>
      </c>
      <c r="B370">
        <v>53</v>
      </c>
      <c r="C370" t="s">
        <v>979</v>
      </c>
      <c r="D370" t="s">
        <v>3402</v>
      </c>
      <c r="E370" t="s">
        <v>978</v>
      </c>
      <c r="F370" t="s">
        <v>3403</v>
      </c>
      <c r="G370" t="s">
        <v>24</v>
      </c>
      <c r="H370" t="s">
        <v>26</v>
      </c>
      <c r="I370" t="s">
        <v>3167</v>
      </c>
      <c r="J370" t="s">
        <v>984</v>
      </c>
      <c r="K370" t="s">
        <v>3168</v>
      </c>
      <c r="L370" t="s">
        <v>984</v>
      </c>
      <c r="M370" t="s">
        <v>980</v>
      </c>
      <c r="N370" t="s">
        <v>981</v>
      </c>
      <c r="O370" t="s">
        <v>981</v>
      </c>
      <c r="P370" t="s">
        <v>1110</v>
      </c>
      <c r="Q370" t="s">
        <v>3169</v>
      </c>
      <c r="R370" t="s">
        <v>446</v>
      </c>
      <c r="S370" t="s">
        <v>446</v>
      </c>
      <c r="T370" t="s">
        <v>1965</v>
      </c>
      <c r="U370" t="b">
        <v>0</v>
      </c>
      <c r="V370" t="s">
        <v>446</v>
      </c>
    </row>
    <row r="371" spans="1:22" x14ac:dyDescent="0.25">
      <c r="A371" t="s">
        <v>42</v>
      </c>
      <c r="B371">
        <v>53</v>
      </c>
      <c r="C371" t="s">
        <v>987</v>
      </c>
      <c r="D371" t="s">
        <v>3404</v>
      </c>
      <c r="E371" t="s">
        <v>986</v>
      </c>
      <c r="F371" t="s">
        <v>3405</v>
      </c>
      <c r="G371" t="s">
        <v>24</v>
      </c>
      <c r="H371" t="s">
        <v>26</v>
      </c>
      <c r="I371" t="s">
        <v>3167</v>
      </c>
      <c r="J371" t="s">
        <v>990</v>
      </c>
      <c r="K371" t="s">
        <v>3171</v>
      </c>
      <c r="L371" t="s">
        <v>990</v>
      </c>
      <c r="M371" t="s">
        <v>980</v>
      </c>
      <c r="N371" t="s">
        <v>988</v>
      </c>
      <c r="O371" t="s">
        <v>988</v>
      </c>
      <c r="P371" t="s">
        <v>1110</v>
      </c>
      <c r="Q371" t="s">
        <v>3169</v>
      </c>
      <c r="R371" t="s">
        <v>446</v>
      </c>
      <c r="S371" t="s">
        <v>446</v>
      </c>
      <c r="T371" t="s">
        <v>1965</v>
      </c>
      <c r="U371" t="b">
        <v>0</v>
      </c>
      <c r="V371" t="s">
        <v>446</v>
      </c>
    </row>
    <row r="372" spans="1:22" x14ac:dyDescent="0.25">
      <c r="A372" t="s">
        <v>42</v>
      </c>
      <c r="B372">
        <v>53</v>
      </c>
      <c r="C372" t="s">
        <v>993</v>
      </c>
      <c r="D372" t="s">
        <v>3406</v>
      </c>
      <c r="E372" t="s">
        <v>992</v>
      </c>
      <c r="F372" t="s">
        <v>3407</v>
      </c>
      <c r="G372" t="s">
        <v>24</v>
      </c>
      <c r="H372" t="s">
        <v>26</v>
      </c>
      <c r="I372" t="s">
        <v>3167</v>
      </c>
      <c r="J372" t="s">
        <v>996</v>
      </c>
      <c r="K372" t="s">
        <v>3173</v>
      </c>
      <c r="L372" t="s">
        <v>996</v>
      </c>
      <c r="M372" t="s">
        <v>980</v>
      </c>
      <c r="N372" t="s">
        <v>994</v>
      </c>
      <c r="O372" t="s">
        <v>994</v>
      </c>
      <c r="P372" t="s">
        <v>1110</v>
      </c>
      <c r="Q372" t="s">
        <v>3169</v>
      </c>
      <c r="R372" t="s">
        <v>446</v>
      </c>
      <c r="S372" t="s">
        <v>446</v>
      </c>
      <c r="T372" t="s">
        <v>1965</v>
      </c>
      <c r="U372" t="b">
        <v>0</v>
      </c>
      <c r="V372" t="s">
        <v>446</v>
      </c>
    </row>
    <row r="373" spans="1:22" x14ac:dyDescent="0.25">
      <c r="A373" t="s">
        <v>42</v>
      </c>
      <c r="B373">
        <v>53</v>
      </c>
      <c r="C373" t="s">
        <v>999</v>
      </c>
      <c r="D373" t="s">
        <v>3408</v>
      </c>
      <c r="E373" t="s">
        <v>998</v>
      </c>
      <c r="F373" t="s">
        <v>3409</v>
      </c>
      <c r="G373" t="s">
        <v>24</v>
      </c>
      <c r="H373" t="s">
        <v>26</v>
      </c>
      <c r="I373" t="s">
        <v>3167</v>
      </c>
      <c r="J373" t="s">
        <v>1003</v>
      </c>
      <c r="K373" t="s">
        <v>3175</v>
      </c>
      <c r="L373" t="s">
        <v>1003</v>
      </c>
      <c r="M373" t="s">
        <v>1000</v>
      </c>
      <c r="N373" t="s">
        <v>1001</v>
      </c>
      <c r="O373" t="s">
        <v>1001</v>
      </c>
      <c r="P373" t="s">
        <v>1110</v>
      </c>
      <c r="Q373" t="s">
        <v>3169</v>
      </c>
      <c r="R373" t="s">
        <v>446</v>
      </c>
      <c r="S373" t="s">
        <v>446</v>
      </c>
      <c r="T373" t="s">
        <v>1965</v>
      </c>
      <c r="U373" t="b">
        <v>0</v>
      </c>
      <c r="V373" t="s">
        <v>446</v>
      </c>
    </row>
    <row r="374" spans="1:22" x14ac:dyDescent="0.25">
      <c r="A374" t="s">
        <v>42</v>
      </c>
      <c r="B374">
        <v>53</v>
      </c>
      <c r="C374" t="s">
        <v>1005</v>
      </c>
      <c r="D374" t="s">
        <v>3410</v>
      </c>
      <c r="E374" t="s">
        <v>982</v>
      </c>
      <c r="F374" t="s">
        <v>3411</v>
      </c>
      <c r="G374" t="s">
        <v>24</v>
      </c>
      <c r="H374" t="s">
        <v>26</v>
      </c>
      <c r="I374" t="s">
        <v>3167</v>
      </c>
      <c r="J374" t="s">
        <v>1003</v>
      </c>
      <c r="K374" t="s">
        <v>3175</v>
      </c>
      <c r="L374" t="s">
        <v>1003</v>
      </c>
      <c r="M374" t="s">
        <v>1000</v>
      </c>
      <c r="N374" t="s">
        <v>1001</v>
      </c>
      <c r="O374" t="s">
        <v>1001</v>
      </c>
      <c r="P374" t="s">
        <v>1110</v>
      </c>
      <c r="Q374" t="s">
        <v>3169</v>
      </c>
      <c r="R374" t="s">
        <v>446</v>
      </c>
      <c r="S374" t="s">
        <v>446</v>
      </c>
      <c r="T374" t="s">
        <v>1965</v>
      </c>
      <c r="U374" t="b">
        <v>0</v>
      </c>
      <c r="V374" t="s">
        <v>446</v>
      </c>
    </row>
    <row r="375" spans="1:22" x14ac:dyDescent="0.25">
      <c r="A375" t="s">
        <v>42</v>
      </c>
      <c r="B375">
        <v>53</v>
      </c>
      <c r="C375" t="s">
        <v>1007</v>
      </c>
      <c r="D375" t="s">
        <v>3412</v>
      </c>
      <c r="E375" t="s">
        <v>1006</v>
      </c>
      <c r="F375" t="s">
        <v>3413</v>
      </c>
      <c r="G375" t="s">
        <v>24</v>
      </c>
      <c r="H375" t="s">
        <v>26</v>
      </c>
      <c r="I375" t="s">
        <v>3167</v>
      </c>
      <c r="J375" t="s">
        <v>1011</v>
      </c>
      <c r="K375" t="s">
        <v>3179</v>
      </c>
      <c r="L375" t="s">
        <v>1011</v>
      </c>
      <c r="M375" t="s">
        <v>1008</v>
      </c>
      <c r="N375" t="s">
        <v>1009</v>
      </c>
      <c r="O375" t="s">
        <v>1009</v>
      </c>
      <c r="P375" t="s">
        <v>1110</v>
      </c>
      <c r="Q375" t="s">
        <v>3169</v>
      </c>
      <c r="R375" t="s">
        <v>446</v>
      </c>
      <c r="S375" t="s">
        <v>446</v>
      </c>
      <c r="T375" t="s">
        <v>1965</v>
      </c>
      <c r="U375" t="b">
        <v>0</v>
      </c>
      <c r="V375" t="s">
        <v>446</v>
      </c>
    </row>
    <row r="376" spans="1:22" x14ac:dyDescent="0.25">
      <c r="A376" t="s">
        <v>42</v>
      </c>
      <c r="B376">
        <v>53</v>
      </c>
      <c r="C376" t="s">
        <v>1014</v>
      </c>
      <c r="D376" t="s">
        <v>3414</v>
      </c>
      <c r="E376" t="s">
        <v>1013</v>
      </c>
      <c r="F376" t="s">
        <v>3415</v>
      </c>
      <c r="G376" t="s">
        <v>24</v>
      </c>
      <c r="H376" t="s">
        <v>26</v>
      </c>
      <c r="I376" t="s">
        <v>3167</v>
      </c>
      <c r="J376" t="s">
        <v>1016</v>
      </c>
      <c r="K376" t="s">
        <v>3181</v>
      </c>
      <c r="L376" t="s">
        <v>1016</v>
      </c>
      <c r="M376" t="s">
        <v>980</v>
      </c>
      <c r="N376" t="s">
        <v>1015</v>
      </c>
      <c r="O376" t="s">
        <v>1015</v>
      </c>
      <c r="P376" t="s">
        <v>1110</v>
      </c>
      <c r="Q376" t="s">
        <v>3169</v>
      </c>
      <c r="R376" t="s">
        <v>446</v>
      </c>
      <c r="S376" t="s">
        <v>446</v>
      </c>
      <c r="T376" t="s">
        <v>1965</v>
      </c>
      <c r="U376" t="b">
        <v>0</v>
      </c>
      <c r="V376" t="s">
        <v>446</v>
      </c>
    </row>
    <row r="377" spans="1:22" x14ac:dyDescent="0.25">
      <c r="A377" t="s">
        <v>42</v>
      </c>
      <c r="B377">
        <v>53</v>
      </c>
      <c r="C377" t="s">
        <v>1019</v>
      </c>
      <c r="D377" t="s">
        <v>3416</v>
      </c>
      <c r="E377" t="s">
        <v>1018</v>
      </c>
      <c r="F377" t="s">
        <v>3417</v>
      </c>
      <c r="G377" t="s">
        <v>24</v>
      </c>
      <c r="H377" t="s">
        <v>26</v>
      </c>
      <c r="I377" t="s">
        <v>3167</v>
      </c>
      <c r="J377" t="s">
        <v>1021</v>
      </c>
      <c r="K377" t="s">
        <v>3183</v>
      </c>
      <c r="L377" t="s">
        <v>1021</v>
      </c>
      <c r="M377" t="s">
        <v>980</v>
      </c>
      <c r="N377" t="s">
        <v>1020</v>
      </c>
      <c r="O377" t="s">
        <v>1020</v>
      </c>
      <c r="P377" t="s">
        <v>1110</v>
      </c>
      <c r="Q377" t="s">
        <v>3169</v>
      </c>
      <c r="R377" t="s">
        <v>446</v>
      </c>
      <c r="S377" t="s">
        <v>446</v>
      </c>
      <c r="T377" t="s">
        <v>1965</v>
      </c>
      <c r="U377" t="b">
        <v>0</v>
      </c>
      <c r="V377" t="s">
        <v>446</v>
      </c>
    </row>
    <row r="378" spans="1:22" x14ac:dyDescent="0.25">
      <c r="A378" t="s">
        <v>42</v>
      </c>
      <c r="B378">
        <v>53</v>
      </c>
      <c r="C378" t="s">
        <v>1024</v>
      </c>
      <c r="D378" t="s">
        <v>3418</v>
      </c>
      <c r="E378" t="s">
        <v>1023</v>
      </c>
      <c r="F378" t="s">
        <v>3419</v>
      </c>
      <c r="G378" t="s">
        <v>24</v>
      </c>
      <c r="H378" t="s">
        <v>26</v>
      </c>
      <c r="I378" t="s">
        <v>3167</v>
      </c>
      <c r="J378" t="s">
        <v>1026</v>
      </c>
      <c r="K378" t="s">
        <v>3185</v>
      </c>
      <c r="L378" t="s">
        <v>1026</v>
      </c>
      <c r="M378" t="s">
        <v>1000</v>
      </c>
      <c r="N378" t="s">
        <v>1025</v>
      </c>
      <c r="O378" t="s">
        <v>1025</v>
      </c>
      <c r="P378" t="s">
        <v>1110</v>
      </c>
      <c r="Q378" t="s">
        <v>3169</v>
      </c>
      <c r="R378" t="s">
        <v>446</v>
      </c>
      <c r="S378" t="s">
        <v>446</v>
      </c>
      <c r="T378" t="s">
        <v>1965</v>
      </c>
      <c r="U378" t="b">
        <v>0</v>
      </c>
      <c r="V378" t="s">
        <v>446</v>
      </c>
    </row>
    <row r="379" spans="1:22" x14ac:dyDescent="0.25">
      <c r="A379" t="s">
        <v>42</v>
      </c>
      <c r="B379">
        <v>53</v>
      </c>
      <c r="C379" t="s">
        <v>1028</v>
      </c>
      <c r="D379" t="s">
        <v>3420</v>
      </c>
      <c r="E379" t="s">
        <v>1010</v>
      </c>
      <c r="F379" t="s">
        <v>3421</v>
      </c>
      <c r="G379" t="s">
        <v>24</v>
      </c>
      <c r="H379" t="s">
        <v>26</v>
      </c>
      <c r="I379" t="s">
        <v>3167</v>
      </c>
      <c r="J379" t="s">
        <v>1026</v>
      </c>
      <c r="K379" t="s">
        <v>3185</v>
      </c>
      <c r="L379" t="s">
        <v>1026</v>
      </c>
      <c r="M379" t="s">
        <v>1000</v>
      </c>
      <c r="N379" t="s">
        <v>1025</v>
      </c>
      <c r="O379" t="s">
        <v>1025</v>
      </c>
      <c r="P379" t="s">
        <v>1110</v>
      </c>
      <c r="Q379" t="s">
        <v>3169</v>
      </c>
      <c r="R379" t="s">
        <v>446</v>
      </c>
      <c r="S379" t="s">
        <v>446</v>
      </c>
      <c r="T379" t="s">
        <v>1965</v>
      </c>
      <c r="U379" t="b">
        <v>0</v>
      </c>
      <c r="V379" t="s">
        <v>446</v>
      </c>
    </row>
    <row r="380" spans="1:22" x14ac:dyDescent="0.25">
      <c r="A380" t="s">
        <v>42</v>
      </c>
      <c r="B380">
        <v>53</v>
      </c>
      <c r="C380" t="s">
        <v>1030</v>
      </c>
      <c r="D380" t="s">
        <v>3422</v>
      </c>
      <c r="E380" t="s">
        <v>1029</v>
      </c>
      <c r="F380" t="s">
        <v>3423</v>
      </c>
      <c r="G380" t="s">
        <v>24</v>
      </c>
      <c r="H380" t="s">
        <v>26</v>
      </c>
      <c r="I380" t="s">
        <v>3167</v>
      </c>
      <c r="J380" t="s">
        <v>1033</v>
      </c>
      <c r="K380" t="s">
        <v>3189</v>
      </c>
      <c r="L380" t="s">
        <v>1033</v>
      </c>
      <c r="M380" t="s">
        <v>980</v>
      </c>
      <c r="N380" t="s">
        <v>1031</v>
      </c>
      <c r="O380" t="s">
        <v>1031</v>
      </c>
      <c r="P380" t="s">
        <v>1110</v>
      </c>
      <c r="Q380" t="s">
        <v>3169</v>
      </c>
      <c r="R380" t="s">
        <v>446</v>
      </c>
      <c r="S380" t="s">
        <v>446</v>
      </c>
      <c r="T380" t="s">
        <v>1965</v>
      </c>
      <c r="U380" t="b">
        <v>0</v>
      </c>
      <c r="V380" t="s">
        <v>446</v>
      </c>
    </row>
    <row r="381" spans="1:22" x14ac:dyDescent="0.25">
      <c r="A381" t="s">
        <v>42</v>
      </c>
      <c r="B381">
        <v>53</v>
      </c>
      <c r="C381" t="s">
        <v>1036</v>
      </c>
      <c r="D381" t="s">
        <v>3424</v>
      </c>
      <c r="E381" t="s">
        <v>1035</v>
      </c>
      <c r="F381" t="s">
        <v>3425</v>
      </c>
      <c r="G381" t="s">
        <v>24</v>
      </c>
      <c r="H381" t="s">
        <v>26</v>
      </c>
      <c r="I381" t="s">
        <v>3167</v>
      </c>
      <c r="J381" t="s">
        <v>1038</v>
      </c>
      <c r="K381" t="s">
        <v>3191</v>
      </c>
      <c r="L381" t="s">
        <v>1038</v>
      </c>
      <c r="M381" t="s">
        <v>980</v>
      </c>
      <c r="N381" t="s">
        <v>1037</v>
      </c>
      <c r="O381" t="s">
        <v>1037</v>
      </c>
      <c r="P381" t="s">
        <v>1110</v>
      </c>
      <c r="Q381" t="s">
        <v>3169</v>
      </c>
      <c r="R381" t="s">
        <v>446</v>
      </c>
      <c r="S381" t="s">
        <v>446</v>
      </c>
      <c r="T381" t="s">
        <v>1965</v>
      </c>
      <c r="U381" t="b">
        <v>0</v>
      </c>
      <c r="V381" t="s">
        <v>446</v>
      </c>
    </row>
    <row r="382" spans="1:22" x14ac:dyDescent="0.25">
      <c r="A382" t="s">
        <v>42</v>
      </c>
      <c r="B382">
        <v>53</v>
      </c>
      <c r="C382" t="s">
        <v>1041</v>
      </c>
      <c r="D382" t="s">
        <v>3426</v>
      </c>
      <c r="E382" t="s">
        <v>1040</v>
      </c>
      <c r="F382" t="s">
        <v>3427</v>
      </c>
      <c r="G382" t="s">
        <v>24</v>
      </c>
      <c r="H382" t="s">
        <v>26</v>
      </c>
      <c r="I382" t="s">
        <v>3167</v>
      </c>
      <c r="J382" t="s">
        <v>1043</v>
      </c>
      <c r="K382" t="s">
        <v>3193</v>
      </c>
      <c r="L382" t="s">
        <v>1043</v>
      </c>
      <c r="M382" t="s">
        <v>980</v>
      </c>
      <c r="N382" t="s">
        <v>1042</v>
      </c>
      <c r="O382" t="s">
        <v>1042</v>
      </c>
      <c r="P382" t="s">
        <v>1110</v>
      </c>
      <c r="Q382" t="s">
        <v>3169</v>
      </c>
      <c r="R382" t="s">
        <v>446</v>
      </c>
      <c r="S382" t="s">
        <v>446</v>
      </c>
      <c r="T382" t="s">
        <v>1965</v>
      </c>
      <c r="U382" t="b">
        <v>0</v>
      </c>
      <c r="V382" t="s">
        <v>446</v>
      </c>
    </row>
    <row r="383" spans="1:22" x14ac:dyDescent="0.25">
      <c r="A383" t="s">
        <v>42</v>
      </c>
      <c r="B383">
        <v>53</v>
      </c>
      <c r="C383" t="s">
        <v>1046</v>
      </c>
      <c r="D383" t="s">
        <v>3428</v>
      </c>
      <c r="E383" t="s">
        <v>1045</v>
      </c>
      <c r="F383" t="s">
        <v>3429</v>
      </c>
      <c r="G383" t="s">
        <v>24</v>
      </c>
      <c r="H383" t="s">
        <v>26</v>
      </c>
      <c r="I383" t="s">
        <v>3167</v>
      </c>
      <c r="J383" t="s">
        <v>1048</v>
      </c>
      <c r="K383" t="s">
        <v>3195</v>
      </c>
      <c r="L383" t="s">
        <v>1048</v>
      </c>
      <c r="M383" t="s">
        <v>1000</v>
      </c>
      <c r="N383" t="s">
        <v>1047</v>
      </c>
      <c r="O383" t="s">
        <v>1047</v>
      </c>
      <c r="P383" t="s">
        <v>1110</v>
      </c>
      <c r="Q383" t="s">
        <v>3169</v>
      </c>
      <c r="R383" t="s">
        <v>446</v>
      </c>
      <c r="S383" t="s">
        <v>446</v>
      </c>
      <c r="T383" t="s">
        <v>1965</v>
      </c>
      <c r="U383" t="b">
        <v>0</v>
      </c>
      <c r="V383" t="s">
        <v>446</v>
      </c>
    </row>
    <row r="384" spans="1:22" x14ac:dyDescent="0.25">
      <c r="A384" t="s">
        <v>42</v>
      </c>
      <c r="B384">
        <v>53</v>
      </c>
      <c r="C384" t="s">
        <v>1050</v>
      </c>
      <c r="D384" t="s">
        <v>3430</v>
      </c>
      <c r="E384" t="s">
        <v>1032</v>
      </c>
      <c r="F384" t="s">
        <v>3431</v>
      </c>
      <c r="G384" t="s">
        <v>24</v>
      </c>
      <c r="H384" t="s">
        <v>26</v>
      </c>
      <c r="I384" t="s">
        <v>3167</v>
      </c>
      <c r="J384" t="s">
        <v>1048</v>
      </c>
      <c r="K384" t="s">
        <v>3195</v>
      </c>
      <c r="L384" t="s">
        <v>1048</v>
      </c>
      <c r="M384" t="s">
        <v>1000</v>
      </c>
      <c r="N384" t="s">
        <v>1047</v>
      </c>
      <c r="O384" t="s">
        <v>1047</v>
      </c>
      <c r="P384" t="s">
        <v>1110</v>
      </c>
      <c r="Q384" t="s">
        <v>3169</v>
      </c>
      <c r="R384" t="s">
        <v>446</v>
      </c>
      <c r="S384" t="s">
        <v>446</v>
      </c>
      <c r="T384" t="s">
        <v>1965</v>
      </c>
      <c r="U384" t="b">
        <v>0</v>
      </c>
      <c r="V384" t="s">
        <v>446</v>
      </c>
    </row>
    <row r="385" spans="1:22" x14ac:dyDescent="0.25">
      <c r="A385" t="s">
        <v>42</v>
      </c>
      <c r="B385">
        <v>53</v>
      </c>
      <c r="C385" t="s">
        <v>1052</v>
      </c>
      <c r="D385" t="s">
        <v>3432</v>
      </c>
      <c r="E385" t="s">
        <v>1051</v>
      </c>
      <c r="F385" t="s">
        <v>3433</v>
      </c>
      <c r="G385" t="s">
        <v>24</v>
      </c>
      <c r="H385" t="s">
        <v>26</v>
      </c>
      <c r="I385" t="s">
        <v>3167</v>
      </c>
      <c r="J385" t="s">
        <v>1055</v>
      </c>
      <c r="K385" t="s">
        <v>3199</v>
      </c>
      <c r="L385" t="s">
        <v>1055</v>
      </c>
      <c r="M385" t="s">
        <v>980</v>
      </c>
      <c r="N385" t="s">
        <v>1053</v>
      </c>
      <c r="O385" t="s">
        <v>1053</v>
      </c>
      <c r="P385" t="s">
        <v>1110</v>
      </c>
      <c r="Q385" t="s">
        <v>3169</v>
      </c>
      <c r="R385" t="s">
        <v>446</v>
      </c>
      <c r="S385" t="s">
        <v>446</v>
      </c>
      <c r="T385" t="s">
        <v>1965</v>
      </c>
      <c r="U385" t="b">
        <v>0</v>
      </c>
      <c r="V385" t="s">
        <v>446</v>
      </c>
    </row>
    <row r="386" spans="1:22" x14ac:dyDescent="0.25">
      <c r="A386" t="s">
        <v>42</v>
      </c>
      <c r="B386">
        <v>54</v>
      </c>
      <c r="C386" t="s">
        <v>979</v>
      </c>
      <c r="D386" t="s">
        <v>3434</v>
      </c>
      <c r="E386" t="s">
        <v>978</v>
      </c>
      <c r="F386" t="s">
        <v>3435</v>
      </c>
      <c r="G386" t="s">
        <v>24</v>
      </c>
      <c r="H386" t="s">
        <v>26</v>
      </c>
      <c r="I386" t="s">
        <v>3167</v>
      </c>
      <c r="J386" t="s">
        <v>984</v>
      </c>
      <c r="K386" t="s">
        <v>3168</v>
      </c>
      <c r="L386" t="s">
        <v>984</v>
      </c>
      <c r="M386" t="s">
        <v>980</v>
      </c>
      <c r="N386" t="s">
        <v>981</v>
      </c>
      <c r="O386" t="s">
        <v>981</v>
      </c>
      <c r="P386" t="s">
        <v>1110</v>
      </c>
      <c r="Q386" t="s">
        <v>3169</v>
      </c>
      <c r="R386" t="s">
        <v>446</v>
      </c>
      <c r="S386" t="s">
        <v>446</v>
      </c>
      <c r="T386" t="s">
        <v>1965</v>
      </c>
      <c r="U386" t="b">
        <v>0</v>
      </c>
      <c r="V386" t="s">
        <v>446</v>
      </c>
    </row>
    <row r="387" spans="1:22" x14ac:dyDescent="0.25">
      <c r="A387" t="s">
        <v>42</v>
      </c>
      <c r="B387">
        <v>54</v>
      </c>
      <c r="C387" t="s">
        <v>987</v>
      </c>
      <c r="D387" t="s">
        <v>3436</v>
      </c>
      <c r="E387" t="s">
        <v>986</v>
      </c>
      <c r="F387" t="s">
        <v>3437</v>
      </c>
      <c r="G387" t="s">
        <v>24</v>
      </c>
      <c r="H387" t="s">
        <v>26</v>
      </c>
      <c r="I387" t="s">
        <v>3167</v>
      </c>
      <c r="J387" t="s">
        <v>990</v>
      </c>
      <c r="K387" t="s">
        <v>3171</v>
      </c>
      <c r="L387" t="s">
        <v>990</v>
      </c>
      <c r="M387" t="s">
        <v>980</v>
      </c>
      <c r="N387" t="s">
        <v>988</v>
      </c>
      <c r="O387" t="s">
        <v>988</v>
      </c>
      <c r="P387" t="s">
        <v>1110</v>
      </c>
      <c r="Q387" t="s">
        <v>3169</v>
      </c>
      <c r="R387" t="s">
        <v>446</v>
      </c>
      <c r="S387" t="s">
        <v>446</v>
      </c>
      <c r="T387" t="s">
        <v>1965</v>
      </c>
      <c r="U387" t="b">
        <v>0</v>
      </c>
      <c r="V387" t="s">
        <v>446</v>
      </c>
    </row>
    <row r="388" spans="1:22" x14ac:dyDescent="0.25">
      <c r="A388" t="s">
        <v>42</v>
      </c>
      <c r="B388">
        <v>54</v>
      </c>
      <c r="C388" t="s">
        <v>993</v>
      </c>
      <c r="D388" t="s">
        <v>3438</v>
      </c>
      <c r="E388" t="s">
        <v>992</v>
      </c>
      <c r="F388" t="s">
        <v>3439</v>
      </c>
      <c r="G388" t="s">
        <v>24</v>
      </c>
      <c r="H388" t="s">
        <v>26</v>
      </c>
      <c r="I388" t="s">
        <v>3167</v>
      </c>
      <c r="J388" t="s">
        <v>996</v>
      </c>
      <c r="K388" t="s">
        <v>3173</v>
      </c>
      <c r="L388" t="s">
        <v>996</v>
      </c>
      <c r="M388" t="s">
        <v>980</v>
      </c>
      <c r="N388" t="s">
        <v>994</v>
      </c>
      <c r="O388" t="s">
        <v>994</v>
      </c>
      <c r="P388" t="s">
        <v>1110</v>
      </c>
      <c r="Q388" t="s">
        <v>3169</v>
      </c>
      <c r="R388" t="s">
        <v>446</v>
      </c>
      <c r="S388" t="s">
        <v>446</v>
      </c>
      <c r="T388" t="s">
        <v>1965</v>
      </c>
      <c r="U388" t="b">
        <v>0</v>
      </c>
      <c r="V388" t="s">
        <v>446</v>
      </c>
    </row>
    <row r="389" spans="1:22" x14ac:dyDescent="0.25">
      <c r="A389" t="s">
        <v>42</v>
      </c>
      <c r="B389">
        <v>54</v>
      </c>
      <c r="C389" t="s">
        <v>999</v>
      </c>
      <c r="D389" t="s">
        <v>3440</v>
      </c>
      <c r="E389" t="s">
        <v>998</v>
      </c>
      <c r="F389" t="s">
        <v>3409</v>
      </c>
      <c r="G389" t="s">
        <v>24</v>
      </c>
      <c r="H389" t="s">
        <v>26</v>
      </c>
      <c r="I389" t="s">
        <v>3167</v>
      </c>
      <c r="J389" t="s">
        <v>1003</v>
      </c>
      <c r="K389" t="s">
        <v>3175</v>
      </c>
      <c r="L389" t="s">
        <v>1003</v>
      </c>
      <c r="M389" t="s">
        <v>1000</v>
      </c>
      <c r="N389" t="s">
        <v>1001</v>
      </c>
      <c r="O389" t="s">
        <v>1001</v>
      </c>
      <c r="P389" t="s">
        <v>1110</v>
      </c>
      <c r="Q389" t="s">
        <v>3169</v>
      </c>
      <c r="R389" t="s">
        <v>446</v>
      </c>
      <c r="S389" t="s">
        <v>446</v>
      </c>
      <c r="T389" t="s">
        <v>1965</v>
      </c>
      <c r="U389" t="b">
        <v>0</v>
      </c>
      <c r="V389" t="s">
        <v>446</v>
      </c>
    </row>
    <row r="390" spans="1:22" x14ac:dyDescent="0.25">
      <c r="A390" t="s">
        <v>42</v>
      </c>
      <c r="B390">
        <v>54</v>
      </c>
      <c r="C390" t="s">
        <v>1005</v>
      </c>
      <c r="D390" t="s">
        <v>3441</v>
      </c>
      <c r="E390" t="s">
        <v>982</v>
      </c>
      <c r="F390" t="s">
        <v>3411</v>
      </c>
      <c r="G390" t="s">
        <v>24</v>
      </c>
      <c r="H390" t="s">
        <v>26</v>
      </c>
      <c r="I390" t="s">
        <v>3167</v>
      </c>
      <c r="J390" t="s">
        <v>1003</v>
      </c>
      <c r="K390" t="s">
        <v>3175</v>
      </c>
      <c r="L390" t="s">
        <v>1003</v>
      </c>
      <c r="M390" t="s">
        <v>1000</v>
      </c>
      <c r="N390" t="s">
        <v>1001</v>
      </c>
      <c r="O390" t="s">
        <v>1001</v>
      </c>
      <c r="P390" t="s">
        <v>1110</v>
      </c>
      <c r="Q390" t="s">
        <v>3169</v>
      </c>
      <c r="R390" t="s">
        <v>446</v>
      </c>
      <c r="S390" t="s">
        <v>446</v>
      </c>
      <c r="T390" t="s">
        <v>1965</v>
      </c>
      <c r="U390" t="b">
        <v>0</v>
      </c>
      <c r="V390" t="s">
        <v>446</v>
      </c>
    </row>
    <row r="391" spans="1:22" x14ac:dyDescent="0.25">
      <c r="A391" t="s">
        <v>42</v>
      </c>
      <c r="B391">
        <v>54</v>
      </c>
      <c r="C391" t="s">
        <v>1007</v>
      </c>
      <c r="D391" t="s">
        <v>3442</v>
      </c>
      <c r="E391" t="s">
        <v>1006</v>
      </c>
      <c r="F391" t="s">
        <v>3443</v>
      </c>
      <c r="G391" t="s">
        <v>24</v>
      </c>
      <c r="H391" t="s">
        <v>26</v>
      </c>
      <c r="I391" t="s">
        <v>3167</v>
      </c>
      <c r="J391" t="s">
        <v>1011</v>
      </c>
      <c r="K391" t="s">
        <v>3179</v>
      </c>
      <c r="L391" t="s">
        <v>1011</v>
      </c>
      <c r="M391" t="s">
        <v>1008</v>
      </c>
      <c r="N391" t="s">
        <v>1009</v>
      </c>
      <c r="O391" t="s">
        <v>1009</v>
      </c>
      <c r="P391" t="s">
        <v>1110</v>
      </c>
      <c r="Q391" t="s">
        <v>3169</v>
      </c>
      <c r="R391" t="s">
        <v>446</v>
      </c>
      <c r="S391" t="s">
        <v>446</v>
      </c>
      <c r="T391" t="s">
        <v>1965</v>
      </c>
      <c r="U391" t="b">
        <v>0</v>
      </c>
      <c r="V391" t="s">
        <v>446</v>
      </c>
    </row>
    <row r="392" spans="1:22" x14ac:dyDescent="0.25">
      <c r="A392" t="s">
        <v>42</v>
      </c>
      <c r="B392">
        <v>54</v>
      </c>
      <c r="C392" t="s">
        <v>1014</v>
      </c>
      <c r="D392" t="s">
        <v>3444</v>
      </c>
      <c r="E392" t="s">
        <v>1013</v>
      </c>
      <c r="F392" t="s">
        <v>3445</v>
      </c>
      <c r="G392" t="s">
        <v>24</v>
      </c>
      <c r="H392" t="s">
        <v>26</v>
      </c>
      <c r="I392" t="s">
        <v>3167</v>
      </c>
      <c r="J392" t="s">
        <v>1016</v>
      </c>
      <c r="K392" t="s">
        <v>3181</v>
      </c>
      <c r="L392" t="s">
        <v>1016</v>
      </c>
      <c r="M392" t="s">
        <v>980</v>
      </c>
      <c r="N392" t="s">
        <v>1015</v>
      </c>
      <c r="O392" t="s">
        <v>1015</v>
      </c>
      <c r="P392" t="s">
        <v>1110</v>
      </c>
      <c r="Q392" t="s">
        <v>3169</v>
      </c>
      <c r="R392" t="s">
        <v>446</v>
      </c>
      <c r="S392" t="s">
        <v>446</v>
      </c>
      <c r="T392" t="s">
        <v>1965</v>
      </c>
      <c r="U392" t="b">
        <v>0</v>
      </c>
      <c r="V392" t="s">
        <v>446</v>
      </c>
    </row>
    <row r="393" spans="1:22" x14ac:dyDescent="0.25">
      <c r="A393" t="s">
        <v>42</v>
      </c>
      <c r="B393">
        <v>54</v>
      </c>
      <c r="C393" t="s">
        <v>1019</v>
      </c>
      <c r="D393" t="s">
        <v>3446</v>
      </c>
      <c r="E393" t="s">
        <v>1018</v>
      </c>
      <c r="F393" t="s">
        <v>3447</v>
      </c>
      <c r="G393" t="s">
        <v>24</v>
      </c>
      <c r="H393" t="s">
        <v>26</v>
      </c>
      <c r="I393" t="s">
        <v>3167</v>
      </c>
      <c r="J393" t="s">
        <v>1021</v>
      </c>
      <c r="K393" t="s">
        <v>3183</v>
      </c>
      <c r="L393" t="s">
        <v>1021</v>
      </c>
      <c r="M393" t="s">
        <v>980</v>
      </c>
      <c r="N393" t="s">
        <v>1020</v>
      </c>
      <c r="O393" t="s">
        <v>1020</v>
      </c>
      <c r="P393" t="s">
        <v>1110</v>
      </c>
      <c r="Q393" t="s">
        <v>3169</v>
      </c>
      <c r="R393" t="s">
        <v>446</v>
      </c>
      <c r="S393" t="s">
        <v>446</v>
      </c>
      <c r="T393" t="s">
        <v>1965</v>
      </c>
      <c r="U393" t="b">
        <v>0</v>
      </c>
      <c r="V393" t="s">
        <v>446</v>
      </c>
    </row>
    <row r="394" spans="1:22" x14ac:dyDescent="0.25">
      <c r="A394" t="s">
        <v>42</v>
      </c>
      <c r="B394">
        <v>54</v>
      </c>
      <c r="C394" t="s">
        <v>1024</v>
      </c>
      <c r="D394" t="s">
        <v>3448</v>
      </c>
      <c r="E394" t="s">
        <v>1023</v>
      </c>
      <c r="F394" t="s">
        <v>3419</v>
      </c>
      <c r="G394" t="s">
        <v>24</v>
      </c>
      <c r="H394" t="s">
        <v>26</v>
      </c>
      <c r="I394" t="s">
        <v>3167</v>
      </c>
      <c r="J394" t="s">
        <v>1026</v>
      </c>
      <c r="K394" t="s">
        <v>3185</v>
      </c>
      <c r="L394" t="s">
        <v>1026</v>
      </c>
      <c r="M394" t="s">
        <v>1000</v>
      </c>
      <c r="N394" t="s">
        <v>1025</v>
      </c>
      <c r="O394" t="s">
        <v>1025</v>
      </c>
      <c r="P394" t="s">
        <v>1110</v>
      </c>
      <c r="Q394" t="s">
        <v>3169</v>
      </c>
      <c r="R394" t="s">
        <v>446</v>
      </c>
      <c r="S394" t="s">
        <v>446</v>
      </c>
      <c r="T394" t="s">
        <v>1965</v>
      </c>
      <c r="U394" t="b">
        <v>0</v>
      </c>
      <c r="V394" t="s">
        <v>446</v>
      </c>
    </row>
    <row r="395" spans="1:22" x14ac:dyDescent="0.25">
      <c r="A395" t="s">
        <v>42</v>
      </c>
      <c r="B395">
        <v>54</v>
      </c>
      <c r="C395" t="s">
        <v>1028</v>
      </c>
      <c r="D395" t="s">
        <v>3449</v>
      </c>
      <c r="E395" t="s">
        <v>1010</v>
      </c>
      <c r="F395" t="s">
        <v>3421</v>
      </c>
      <c r="G395" t="s">
        <v>24</v>
      </c>
      <c r="H395" t="s">
        <v>26</v>
      </c>
      <c r="I395" t="s">
        <v>3167</v>
      </c>
      <c r="J395" t="s">
        <v>1026</v>
      </c>
      <c r="K395" t="s">
        <v>3185</v>
      </c>
      <c r="L395" t="s">
        <v>1026</v>
      </c>
      <c r="M395" t="s">
        <v>1000</v>
      </c>
      <c r="N395" t="s">
        <v>1025</v>
      </c>
      <c r="O395" t="s">
        <v>1025</v>
      </c>
      <c r="P395" t="s">
        <v>1110</v>
      </c>
      <c r="Q395" t="s">
        <v>3169</v>
      </c>
      <c r="R395" t="s">
        <v>446</v>
      </c>
      <c r="S395" t="s">
        <v>446</v>
      </c>
      <c r="T395" t="s">
        <v>1965</v>
      </c>
      <c r="U395" t="b">
        <v>0</v>
      </c>
      <c r="V395" t="s">
        <v>446</v>
      </c>
    </row>
    <row r="396" spans="1:22" x14ac:dyDescent="0.25">
      <c r="A396" t="s">
        <v>42</v>
      </c>
      <c r="B396">
        <v>54</v>
      </c>
      <c r="C396" t="s">
        <v>1030</v>
      </c>
      <c r="D396" t="s">
        <v>3450</v>
      </c>
      <c r="E396" t="s">
        <v>1029</v>
      </c>
      <c r="F396" t="s">
        <v>3451</v>
      </c>
      <c r="G396" t="s">
        <v>24</v>
      </c>
      <c r="H396" t="s">
        <v>26</v>
      </c>
      <c r="I396" t="s">
        <v>3167</v>
      </c>
      <c r="J396" t="s">
        <v>1033</v>
      </c>
      <c r="K396" t="s">
        <v>3189</v>
      </c>
      <c r="L396" t="s">
        <v>1033</v>
      </c>
      <c r="M396" t="s">
        <v>980</v>
      </c>
      <c r="N396" t="s">
        <v>1031</v>
      </c>
      <c r="O396" t="s">
        <v>1031</v>
      </c>
      <c r="P396" t="s">
        <v>1110</v>
      </c>
      <c r="Q396" t="s">
        <v>3169</v>
      </c>
      <c r="R396" t="s">
        <v>446</v>
      </c>
      <c r="S396" t="s">
        <v>446</v>
      </c>
      <c r="T396" t="s">
        <v>1965</v>
      </c>
      <c r="U396" t="b">
        <v>0</v>
      </c>
      <c r="V396" t="s">
        <v>446</v>
      </c>
    </row>
    <row r="397" spans="1:22" x14ac:dyDescent="0.25">
      <c r="A397" t="s">
        <v>42</v>
      </c>
      <c r="B397">
        <v>54</v>
      </c>
      <c r="C397" t="s">
        <v>1036</v>
      </c>
      <c r="D397" t="s">
        <v>3452</v>
      </c>
      <c r="E397" t="s">
        <v>1035</v>
      </c>
      <c r="F397" t="s">
        <v>3453</v>
      </c>
      <c r="G397" t="s">
        <v>24</v>
      </c>
      <c r="H397" t="s">
        <v>26</v>
      </c>
      <c r="I397" t="s">
        <v>3167</v>
      </c>
      <c r="J397" t="s">
        <v>1038</v>
      </c>
      <c r="K397" t="s">
        <v>3191</v>
      </c>
      <c r="L397" t="s">
        <v>1038</v>
      </c>
      <c r="M397" t="s">
        <v>980</v>
      </c>
      <c r="N397" t="s">
        <v>1037</v>
      </c>
      <c r="O397" t="s">
        <v>1037</v>
      </c>
      <c r="P397" t="s">
        <v>1110</v>
      </c>
      <c r="Q397" t="s">
        <v>3169</v>
      </c>
      <c r="R397" t="s">
        <v>446</v>
      </c>
      <c r="S397" t="s">
        <v>446</v>
      </c>
      <c r="T397" t="s">
        <v>1965</v>
      </c>
      <c r="U397" t="b">
        <v>0</v>
      </c>
      <c r="V397" t="s">
        <v>446</v>
      </c>
    </row>
    <row r="398" spans="1:22" x14ac:dyDescent="0.25">
      <c r="A398" t="s">
        <v>42</v>
      </c>
      <c r="B398">
        <v>54</v>
      </c>
      <c r="C398" t="s">
        <v>1041</v>
      </c>
      <c r="D398" t="s">
        <v>3454</v>
      </c>
      <c r="E398" t="s">
        <v>1040</v>
      </c>
      <c r="F398" t="s">
        <v>3455</v>
      </c>
      <c r="G398" t="s">
        <v>24</v>
      </c>
      <c r="H398" t="s">
        <v>26</v>
      </c>
      <c r="I398" t="s">
        <v>3167</v>
      </c>
      <c r="J398" t="s">
        <v>1043</v>
      </c>
      <c r="K398" t="s">
        <v>3193</v>
      </c>
      <c r="L398" t="s">
        <v>1043</v>
      </c>
      <c r="M398" t="s">
        <v>980</v>
      </c>
      <c r="N398" t="s">
        <v>1042</v>
      </c>
      <c r="O398" t="s">
        <v>1042</v>
      </c>
      <c r="P398" t="s">
        <v>1110</v>
      </c>
      <c r="Q398" t="s">
        <v>3169</v>
      </c>
      <c r="R398" t="s">
        <v>446</v>
      </c>
      <c r="S398" t="s">
        <v>446</v>
      </c>
      <c r="T398" t="s">
        <v>1965</v>
      </c>
      <c r="U398" t="b">
        <v>0</v>
      </c>
      <c r="V398" t="s">
        <v>446</v>
      </c>
    </row>
    <row r="399" spans="1:22" x14ac:dyDescent="0.25">
      <c r="A399" t="s">
        <v>42</v>
      </c>
      <c r="B399">
        <v>54</v>
      </c>
      <c r="C399" t="s">
        <v>1046</v>
      </c>
      <c r="D399" t="s">
        <v>3456</v>
      </c>
      <c r="E399" t="s">
        <v>1045</v>
      </c>
      <c r="F399" t="s">
        <v>3457</v>
      </c>
      <c r="G399" t="s">
        <v>24</v>
      </c>
      <c r="H399" t="s">
        <v>26</v>
      </c>
      <c r="I399" t="s">
        <v>3167</v>
      </c>
      <c r="J399" t="s">
        <v>1048</v>
      </c>
      <c r="K399" t="s">
        <v>3195</v>
      </c>
      <c r="L399" t="s">
        <v>1048</v>
      </c>
      <c r="M399" t="s">
        <v>1000</v>
      </c>
      <c r="N399" t="s">
        <v>1047</v>
      </c>
      <c r="O399" t="s">
        <v>1047</v>
      </c>
      <c r="P399" t="s">
        <v>1110</v>
      </c>
      <c r="Q399" t="s">
        <v>3169</v>
      </c>
      <c r="R399" t="s">
        <v>446</v>
      </c>
      <c r="S399" t="s">
        <v>446</v>
      </c>
      <c r="T399" t="s">
        <v>1965</v>
      </c>
      <c r="U399" t="b">
        <v>0</v>
      </c>
      <c r="V399" t="s">
        <v>446</v>
      </c>
    </row>
    <row r="400" spans="1:22" x14ac:dyDescent="0.25">
      <c r="A400" t="s">
        <v>42</v>
      </c>
      <c r="B400">
        <v>54</v>
      </c>
      <c r="C400" t="s">
        <v>1050</v>
      </c>
      <c r="D400" t="s">
        <v>3458</v>
      </c>
      <c r="E400" t="s">
        <v>1032</v>
      </c>
      <c r="F400" t="s">
        <v>3459</v>
      </c>
      <c r="G400" t="s">
        <v>24</v>
      </c>
      <c r="H400" t="s">
        <v>26</v>
      </c>
      <c r="I400" t="s">
        <v>3167</v>
      </c>
      <c r="J400" t="s">
        <v>1048</v>
      </c>
      <c r="K400" t="s">
        <v>3195</v>
      </c>
      <c r="L400" t="s">
        <v>1048</v>
      </c>
      <c r="M400" t="s">
        <v>1000</v>
      </c>
      <c r="N400" t="s">
        <v>1047</v>
      </c>
      <c r="O400" t="s">
        <v>1047</v>
      </c>
      <c r="P400" t="s">
        <v>1110</v>
      </c>
      <c r="Q400" t="s">
        <v>3169</v>
      </c>
      <c r="R400" t="s">
        <v>446</v>
      </c>
      <c r="S400" t="s">
        <v>446</v>
      </c>
      <c r="T400" t="s">
        <v>1965</v>
      </c>
      <c r="U400" t="b">
        <v>0</v>
      </c>
      <c r="V400" t="s">
        <v>446</v>
      </c>
    </row>
    <row r="401" spans="1:22" x14ac:dyDescent="0.25">
      <c r="A401" t="s">
        <v>42</v>
      </c>
      <c r="B401">
        <v>54</v>
      </c>
      <c r="C401" t="s">
        <v>1052</v>
      </c>
      <c r="D401" t="s">
        <v>3460</v>
      </c>
      <c r="E401" t="s">
        <v>1051</v>
      </c>
      <c r="F401" t="s">
        <v>3461</v>
      </c>
      <c r="G401" t="s">
        <v>24</v>
      </c>
      <c r="H401" t="s">
        <v>26</v>
      </c>
      <c r="I401" t="s">
        <v>3167</v>
      </c>
      <c r="J401" t="s">
        <v>1055</v>
      </c>
      <c r="K401" t="s">
        <v>3199</v>
      </c>
      <c r="L401" t="s">
        <v>1055</v>
      </c>
      <c r="M401" t="s">
        <v>980</v>
      </c>
      <c r="N401" t="s">
        <v>1053</v>
      </c>
      <c r="O401" t="s">
        <v>1053</v>
      </c>
      <c r="P401" t="s">
        <v>1110</v>
      </c>
      <c r="Q401" t="s">
        <v>3169</v>
      </c>
      <c r="R401" t="s">
        <v>446</v>
      </c>
      <c r="S401" t="s">
        <v>446</v>
      </c>
      <c r="T401" t="s">
        <v>1965</v>
      </c>
      <c r="U401" t="b">
        <v>0</v>
      </c>
      <c r="V401" t="s">
        <v>446</v>
      </c>
    </row>
    <row r="402" spans="1:22" x14ac:dyDescent="0.25">
      <c r="A402" t="s">
        <v>42</v>
      </c>
      <c r="B402">
        <v>56</v>
      </c>
      <c r="C402" t="s">
        <v>979</v>
      </c>
      <c r="D402" t="s">
        <v>3462</v>
      </c>
      <c r="E402" t="s">
        <v>978</v>
      </c>
      <c r="F402" t="s">
        <v>3403</v>
      </c>
      <c r="G402" t="s">
        <v>24</v>
      </c>
      <c r="H402" t="s">
        <v>26</v>
      </c>
      <c r="I402" t="s">
        <v>3167</v>
      </c>
      <c r="J402" t="s">
        <v>984</v>
      </c>
      <c r="K402" t="s">
        <v>3168</v>
      </c>
      <c r="L402" t="s">
        <v>984</v>
      </c>
      <c r="M402" t="s">
        <v>980</v>
      </c>
      <c r="N402" t="s">
        <v>981</v>
      </c>
      <c r="O402" t="s">
        <v>981</v>
      </c>
      <c r="P402" t="s">
        <v>1110</v>
      </c>
      <c r="Q402" t="s">
        <v>3169</v>
      </c>
      <c r="R402" t="s">
        <v>446</v>
      </c>
      <c r="S402" t="s">
        <v>446</v>
      </c>
      <c r="T402" t="s">
        <v>1965</v>
      </c>
      <c r="U402" t="b">
        <v>0</v>
      </c>
      <c r="V402" t="s">
        <v>446</v>
      </c>
    </row>
    <row r="403" spans="1:22" x14ac:dyDescent="0.25">
      <c r="A403" t="s">
        <v>42</v>
      </c>
      <c r="B403">
        <v>56</v>
      </c>
      <c r="C403" t="s">
        <v>987</v>
      </c>
      <c r="D403" t="s">
        <v>3463</v>
      </c>
      <c r="E403" t="s">
        <v>986</v>
      </c>
      <c r="F403" t="s">
        <v>3464</v>
      </c>
      <c r="G403" t="s">
        <v>24</v>
      </c>
      <c r="H403" t="s">
        <v>26</v>
      </c>
      <c r="I403" t="s">
        <v>3167</v>
      </c>
      <c r="J403" t="s">
        <v>990</v>
      </c>
      <c r="K403" t="s">
        <v>3171</v>
      </c>
      <c r="L403" t="s">
        <v>990</v>
      </c>
      <c r="M403" t="s">
        <v>980</v>
      </c>
      <c r="N403" t="s">
        <v>988</v>
      </c>
      <c r="O403" t="s">
        <v>988</v>
      </c>
      <c r="P403" t="s">
        <v>1110</v>
      </c>
      <c r="Q403" t="s">
        <v>3169</v>
      </c>
      <c r="R403" t="s">
        <v>446</v>
      </c>
      <c r="S403" t="s">
        <v>446</v>
      </c>
      <c r="T403" t="s">
        <v>1965</v>
      </c>
      <c r="U403" t="b">
        <v>0</v>
      </c>
      <c r="V403" t="s">
        <v>446</v>
      </c>
    </row>
    <row r="404" spans="1:22" x14ac:dyDescent="0.25">
      <c r="A404" t="s">
        <v>42</v>
      </c>
      <c r="B404">
        <v>56</v>
      </c>
      <c r="C404" t="s">
        <v>993</v>
      </c>
      <c r="D404" t="s">
        <v>3465</v>
      </c>
      <c r="E404" t="s">
        <v>992</v>
      </c>
      <c r="F404" t="s">
        <v>3466</v>
      </c>
      <c r="G404" t="s">
        <v>24</v>
      </c>
      <c r="H404" t="s">
        <v>26</v>
      </c>
      <c r="I404" t="s">
        <v>3167</v>
      </c>
      <c r="J404" t="s">
        <v>996</v>
      </c>
      <c r="K404" t="s">
        <v>3173</v>
      </c>
      <c r="L404" t="s">
        <v>996</v>
      </c>
      <c r="M404" t="s">
        <v>980</v>
      </c>
      <c r="N404" t="s">
        <v>994</v>
      </c>
      <c r="O404" t="s">
        <v>994</v>
      </c>
      <c r="P404" t="s">
        <v>1110</v>
      </c>
      <c r="Q404" t="s">
        <v>3169</v>
      </c>
      <c r="R404" t="s">
        <v>446</v>
      </c>
      <c r="S404" t="s">
        <v>446</v>
      </c>
      <c r="T404" t="s">
        <v>1965</v>
      </c>
      <c r="U404" t="b">
        <v>0</v>
      </c>
      <c r="V404" t="s">
        <v>446</v>
      </c>
    </row>
    <row r="405" spans="1:22" x14ac:dyDescent="0.25">
      <c r="A405" t="s">
        <v>42</v>
      </c>
      <c r="B405">
        <v>56</v>
      </c>
      <c r="C405" t="s">
        <v>999</v>
      </c>
      <c r="D405" t="s">
        <v>3467</v>
      </c>
      <c r="E405" t="s">
        <v>998</v>
      </c>
      <c r="F405" t="s">
        <v>3468</v>
      </c>
      <c r="G405" t="s">
        <v>24</v>
      </c>
      <c r="H405" t="s">
        <v>26</v>
      </c>
      <c r="I405" t="s">
        <v>3167</v>
      </c>
      <c r="J405" t="s">
        <v>1003</v>
      </c>
      <c r="K405" t="s">
        <v>3175</v>
      </c>
      <c r="L405" t="s">
        <v>1003</v>
      </c>
      <c r="M405" t="s">
        <v>1000</v>
      </c>
      <c r="N405" t="s">
        <v>1001</v>
      </c>
      <c r="O405" t="s">
        <v>1001</v>
      </c>
      <c r="P405" t="s">
        <v>1110</v>
      </c>
      <c r="Q405" t="s">
        <v>3169</v>
      </c>
      <c r="R405" t="s">
        <v>446</v>
      </c>
      <c r="S405" t="s">
        <v>446</v>
      </c>
      <c r="T405" t="s">
        <v>1965</v>
      </c>
      <c r="U405" t="b">
        <v>0</v>
      </c>
      <c r="V405" t="s">
        <v>446</v>
      </c>
    </row>
    <row r="406" spans="1:22" x14ac:dyDescent="0.25">
      <c r="A406" t="s">
        <v>42</v>
      </c>
      <c r="B406">
        <v>56</v>
      </c>
      <c r="C406" t="s">
        <v>1005</v>
      </c>
      <c r="D406" t="s">
        <v>3469</v>
      </c>
      <c r="E406" t="s">
        <v>982</v>
      </c>
      <c r="F406" t="s">
        <v>3470</v>
      </c>
      <c r="G406" t="s">
        <v>24</v>
      </c>
      <c r="H406" t="s">
        <v>26</v>
      </c>
      <c r="I406" t="s">
        <v>3167</v>
      </c>
      <c r="J406" t="s">
        <v>1003</v>
      </c>
      <c r="K406" t="s">
        <v>3175</v>
      </c>
      <c r="L406" t="s">
        <v>1003</v>
      </c>
      <c r="M406" t="s">
        <v>1000</v>
      </c>
      <c r="N406" t="s">
        <v>1001</v>
      </c>
      <c r="O406" t="s">
        <v>1001</v>
      </c>
      <c r="P406" t="s">
        <v>1110</v>
      </c>
      <c r="Q406" t="s">
        <v>3169</v>
      </c>
      <c r="R406" t="s">
        <v>446</v>
      </c>
      <c r="S406" t="s">
        <v>446</v>
      </c>
      <c r="T406" t="s">
        <v>1965</v>
      </c>
      <c r="U406" t="b">
        <v>0</v>
      </c>
      <c r="V406" t="s">
        <v>446</v>
      </c>
    </row>
    <row r="407" spans="1:22" x14ac:dyDescent="0.25">
      <c r="A407" t="s">
        <v>42</v>
      </c>
      <c r="B407">
        <v>56</v>
      </c>
      <c r="C407" t="s">
        <v>1007</v>
      </c>
      <c r="D407" t="s">
        <v>3471</v>
      </c>
      <c r="E407" t="s">
        <v>1006</v>
      </c>
      <c r="F407" t="s">
        <v>3472</v>
      </c>
      <c r="G407" t="s">
        <v>24</v>
      </c>
      <c r="H407" t="s">
        <v>26</v>
      </c>
      <c r="I407" t="s">
        <v>3167</v>
      </c>
      <c r="J407" t="s">
        <v>1011</v>
      </c>
      <c r="K407" t="s">
        <v>3179</v>
      </c>
      <c r="L407" t="s">
        <v>1011</v>
      </c>
      <c r="M407" t="s">
        <v>1008</v>
      </c>
      <c r="N407" t="s">
        <v>1009</v>
      </c>
      <c r="O407" t="s">
        <v>1009</v>
      </c>
      <c r="P407" t="s">
        <v>1110</v>
      </c>
      <c r="Q407" t="s">
        <v>3169</v>
      </c>
      <c r="R407" t="s">
        <v>446</v>
      </c>
      <c r="S407" t="s">
        <v>446</v>
      </c>
      <c r="T407" t="s">
        <v>1965</v>
      </c>
      <c r="U407" t="b">
        <v>0</v>
      </c>
      <c r="V407" t="s">
        <v>446</v>
      </c>
    </row>
    <row r="408" spans="1:22" x14ac:dyDescent="0.25">
      <c r="A408" t="s">
        <v>42</v>
      </c>
      <c r="B408">
        <v>56</v>
      </c>
      <c r="C408" t="s">
        <v>1014</v>
      </c>
      <c r="D408" t="s">
        <v>3473</v>
      </c>
      <c r="E408" t="s">
        <v>1013</v>
      </c>
      <c r="F408" t="s">
        <v>3474</v>
      </c>
      <c r="G408" t="s">
        <v>24</v>
      </c>
      <c r="H408" t="s">
        <v>26</v>
      </c>
      <c r="I408" t="s">
        <v>3167</v>
      </c>
      <c r="J408" t="s">
        <v>1016</v>
      </c>
      <c r="K408" t="s">
        <v>3181</v>
      </c>
      <c r="L408" t="s">
        <v>1016</v>
      </c>
      <c r="M408" t="s">
        <v>980</v>
      </c>
      <c r="N408" t="s">
        <v>1015</v>
      </c>
      <c r="O408" t="s">
        <v>1015</v>
      </c>
      <c r="P408" t="s">
        <v>1110</v>
      </c>
      <c r="Q408" t="s">
        <v>3169</v>
      </c>
      <c r="R408" t="s">
        <v>446</v>
      </c>
      <c r="S408" t="s">
        <v>446</v>
      </c>
      <c r="T408" t="s">
        <v>1965</v>
      </c>
      <c r="U408" t="b">
        <v>0</v>
      </c>
      <c r="V408" t="s">
        <v>446</v>
      </c>
    </row>
    <row r="409" spans="1:22" x14ac:dyDescent="0.25">
      <c r="A409" t="s">
        <v>42</v>
      </c>
      <c r="B409">
        <v>56</v>
      </c>
      <c r="C409" t="s">
        <v>1019</v>
      </c>
      <c r="D409" t="s">
        <v>3475</v>
      </c>
      <c r="E409" t="s">
        <v>1018</v>
      </c>
      <c r="F409" t="s">
        <v>3476</v>
      </c>
      <c r="G409" t="s">
        <v>24</v>
      </c>
      <c r="H409" t="s">
        <v>26</v>
      </c>
      <c r="I409" t="s">
        <v>3167</v>
      </c>
      <c r="J409" t="s">
        <v>1021</v>
      </c>
      <c r="K409" t="s">
        <v>3183</v>
      </c>
      <c r="L409" t="s">
        <v>1021</v>
      </c>
      <c r="M409" t="s">
        <v>980</v>
      </c>
      <c r="N409" t="s">
        <v>1020</v>
      </c>
      <c r="O409" t="s">
        <v>1020</v>
      </c>
      <c r="P409" t="s">
        <v>1110</v>
      </c>
      <c r="Q409" t="s">
        <v>3169</v>
      </c>
      <c r="R409" t="s">
        <v>446</v>
      </c>
      <c r="S409" t="s">
        <v>446</v>
      </c>
      <c r="T409" t="s">
        <v>1965</v>
      </c>
      <c r="U409" t="b">
        <v>0</v>
      </c>
      <c r="V409" t="s">
        <v>446</v>
      </c>
    </row>
    <row r="410" spans="1:22" x14ac:dyDescent="0.25">
      <c r="A410" t="s">
        <v>42</v>
      </c>
      <c r="B410">
        <v>56</v>
      </c>
      <c r="C410" t="s">
        <v>1024</v>
      </c>
      <c r="D410" t="s">
        <v>3477</v>
      </c>
      <c r="E410" t="s">
        <v>1023</v>
      </c>
      <c r="F410" t="s">
        <v>3478</v>
      </c>
      <c r="G410" t="s">
        <v>24</v>
      </c>
      <c r="H410" t="s">
        <v>26</v>
      </c>
      <c r="I410" t="s">
        <v>3167</v>
      </c>
      <c r="J410" t="s">
        <v>1026</v>
      </c>
      <c r="K410" t="s">
        <v>3185</v>
      </c>
      <c r="L410" t="s">
        <v>1026</v>
      </c>
      <c r="M410" t="s">
        <v>1000</v>
      </c>
      <c r="N410" t="s">
        <v>1025</v>
      </c>
      <c r="O410" t="s">
        <v>1025</v>
      </c>
      <c r="P410" t="s">
        <v>1110</v>
      </c>
      <c r="Q410" t="s">
        <v>3169</v>
      </c>
      <c r="R410" t="s">
        <v>446</v>
      </c>
      <c r="S410" t="s">
        <v>446</v>
      </c>
      <c r="T410" t="s">
        <v>1965</v>
      </c>
      <c r="U410" t="b">
        <v>0</v>
      </c>
      <c r="V410" t="s">
        <v>446</v>
      </c>
    </row>
    <row r="411" spans="1:22" x14ac:dyDescent="0.25">
      <c r="A411" t="s">
        <v>42</v>
      </c>
      <c r="B411">
        <v>56</v>
      </c>
      <c r="C411" t="s">
        <v>1028</v>
      </c>
      <c r="D411" t="s">
        <v>3479</v>
      </c>
      <c r="E411" t="s">
        <v>1010</v>
      </c>
      <c r="F411" t="s">
        <v>3480</v>
      </c>
      <c r="G411" t="s">
        <v>24</v>
      </c>
      <c r="H411" t="s">
        <v>26</v>
      </c>
      <c r="I411" t="s">
        <v>3167</v>
      </c>
      <c r="J411" t="s">
        <v>1026</v>
      </c>
      <c r="K411" t="s">
        <v>3185</v>
      </c>
      <c r="L411" t="s">
        <v>1026</v>
      </c>
      <c r="M411" t="s">
        <v>1000</v>
      </c>
      <c r="N411" t="s">
        <v>1025</v>
      </c>
      <c r="O411" t="s">
        <v>1025</v>
      </c>
      <c r="P411" t="s">
        <v>1110</v>
      </c>
      <c r="Q411" t="s">
        <v>3169</v>
      </c>
      <c r="R411" t="s">
        <v>446</v>
      </c>
      <c r="S411" t="s">
        <v>446</v>
      </c>
      <c r="T411" t="s">
        <v>1965</v>
      </c>
      <c r="U411" t="b">
        <v>0</v>
      </c>
      <c r="V411" t="s">
        <v>446</v>
      </c>
    </row>
    <row r="412" spans="1:22" x14ac:dyDescent="0.25">
      <c r="A412" t="s">
        <v>42</v>
      </c>
      <c r="B412">
        <v>56</v>
      </c>
      <c r="C412" t="s">
        <v>1030</v>
      </c>
      <c r="D412" t="s">
        <v>3481</v>
      </c>
      <c r="E412" t="s">
        <v>1029</v>
      </c>
      <c r="F412" t="s">
        <v>3482</v>
      </c>
      <c r="G412" t="s">
        <v>24</v>
      </c>
      <c r="H412" t="s">
        <v>26</v>
      </c>
      <c r="I412" t="s">
        <v>3167</v>
      </c>
      <c r="J412" t="s">
        <v>1033</v>
      </c>
      <c r="K412" t="s">
        <v>3189</v>
      </c>
      <c r="L412" t="s">
        <v>1033</v>
      </c>
      <c r="M412" t="s">
        <v>980</v>
      </c>
      <c r="N412" t="s">
        <v>1031</v>
      </c>
      <c r="O412" t="s">
        <v>1031</v>
      </c>
      <c r="P412" t="s">
        <v>1110</v>
      </c>
      <c r="Q412" t="s">
        <v>3169</v>
      </c>
      <c r="R412" t="s">
        <v>446</v>
      </c>
      <c r="S412" t="s">
        <v>446</v>
      </c>
      <c r="T412" t="s">
        <v>1965</v>
      </c>
      <c r="U412" t="b">
        <v>0</v>
      </c>
      <c r="V412" t="s">
        <v>446</v>
      </c>
    </row>
    <row r="413" spans="1:22" x14ac:dyDescent="0.25">
      <c r="A413" t="s">
        <v>42</v>
      </c>
      <c r="B413">
        <v>56</v>
      </c>
      <c r="C413" t="s">
        <v>1036</v>
      </c>
      <c r="D413" t="s">
        <v>3483</v>
      </c>
      <c r="E413" t="s">
        <v>1035</v>
      </c>
      <c r="F413" t="s">
        <v>3484</v>
      </c>
      <c r="G413" t="s">
        <v>24</v>
      </c>
      <c r="H413" t="s">
        <v>26</v>
      </c>
      <c r="I413" t="s">
        <v>3167</v>
      </c>
      <c r="J413" t="s">
        <v>1038</v>
      </c>
      <c r="K413" t="s">
        <v>3191</v>
      </c>
      <c r="L413" t="s">
        <v>1038</v>
      </c>
      <c r="M413" t="s">
        <v>980</v>
      </c>
      <c r="N413" t="s">
        <v>1037</v>
      </c>
      <c r="O413" t="s">
        <v>1037</v>
      </c>
      <c r="P413" t="s">
        <v>1110</v>
      </c>
      <c r="Q413" t="s">
        <v>3169</v>
      </c>
      <c r="R413" t="s">
        <v>446</v>
      </c>
      <c r="S413" t="s">
        <v>446</v>
      </c>
      <c r="T413" t="s">
        <v>1965</v>
      </c>
      <c r="U413" t="b">
        <v>0</v>
      </c>
      <c r="V413" t="s">
        <v>446</v>
      </c>
    </row>
    <row r="414" spans="1:22" x14ac:dyDescent="0.25">
      <c r="A414" t="s">
        <v>42</v>
      </c>
      <c r="B414">
        <v>56</v>
      </c>
      <c r="C414" t="s">
        <v>1041</v>
      </c>
      <c r="D414" t="s">
        <v>3485</v>
      </c>
      <c r="E414" t="s">
        <v>1040</v>
      </c>
      <c r="F414" t="s">
        <v>3486</v>
      </c>
      <c r="G414" t="s">
        <v>24</v>
      </c>
      <c r="H414" t="s">
        <v>26</v>
      </c>
      <c r="I414" t="s">
        <v>3167</v>
      </c>
      <c r="J414" t="s">
        <v>1043</v>
      </c>
      <c r="K414" t="s">
        <v>3193</v>
      </c>
      <c r="L414" t="s">
        <v>1043</v>
      </c>
      <c r="M414" t="s">
        <v>980</v>
      </c>
      <c r="N414" t="s">
        <v>1042</v>
      </c>
      <c r="O414" t="s">
        <v>1042</v>
      </c>
      <c r="P414" t="s">
        <v>1110</v>
      </c>
      <c r="Q414" t="s">
        <v>3169</v>
      </c>
      <c r="R414" t="s">
        <v>446</v>
      </c>
      <c r="S414" t="s">
        <v>446</v>
      </c>
      <c r="T414" t="s">
        <v>1965</v>
      </c>
      <c r="U414" t="b">
        <v>0</v>
      </c>
      <c r="V414" t="s">
        <v>446</v>
      </c>
    </row>
    <row r="415" spans="1:22" x14ac:dyDescent="0.25">
      <c r="A415" t="s">
        <v>42</v>
      </c>
      <c r="B415">
        <v>56</v>
      </c>
      <c r="C415" t="s">
        <v>1046</v>
      </c>
      <c r="D415" t="s">
        <v>3487</v>
      </c>
      <c r="E415" t="s">
        <v>1045</v>
      </c>
      <c r="F415" t="s">
        <v>3429</v>
      </c>
      <c r="G415" t="s">
        <v>24</v>
      </c>
      <c r="H415" t="s">
        <v>26</v>
      </c>
      <c r="I415" t="s">
        <v>3167</v>
      </c>
      <c r="J415" t="s">
        <v>1048</v>
      </c>
      <c r="K415" t="s">
        <v>3195</v>
      </c>
      <c r="L415" t="s">
        <v>1048</v>
      </c>
      <c r="M415" t="s">
        <v>1000</v>
      </c>
      <c r="N415" t="s">
        <v>1047</v>
      </c>
      <c r="O415" t="s">
        <v>1047</v>
      </c>
      <c r="P415" t="s">
        <v>1110</v>
      </c>
      <c r="Q415" t="s">
        <v>3169</v>
      </c>
      <c r="R415" t="s">
        <v>446</v>
      </c>
      <c r="S415" t="s">
        <v>446</v>
      </c>
      <c r="T415" t="s">
        <v>1965</v>
      </c>
      <c r="U415" t="b">
        <v>0</v>
      </c>
      <c r="V415" t="s">
        <v>446</v>
      </c>
    </row>
    <row r="416" spans="1:22" x14ac:dyDescent="0.25">
      <c r="A416" t="s">
        <v>42</v>
      </c>
      <c r="B416">
        <v>56</v>
      </c>
      <c r="C416" t="s">
        <v>1050</v>
      </c>
      <c r="D416" t="s">
        <v>3488</v>
      </c>
      <c r="E416" t="s">
        <v>1032</v>
      </c>
      <c r="F416" t="s">
        <v>3489</v>
      </c>
      <c r="G416" t="s">
        <v>24</v>
      </c>
      <c r="H416" t="s">
        <v>26</v>
      </c>
      <c r="I416" t="s">
        <v>3167</v>
      </c>
      <c r="J416" t="s">
        <v>1048</v>
      </c>
      <c r="K416" t="s">
        <v>3195</v>
      </c>
      <c r="L416" t="s">
        <v>1048</v>
      </c>
      <c r="M416" t="s">
        <v>1000</v>
      </c>
      <c r="N416" t="s">
        <v>1047</v>
      </c>
      <c r="O416" t="s">
        <v>1047</v>
      </c>
      <c r="P416" t="s">
        <v>1110</v>
      </c>
      <c r="Q416" t="s">
        <v>3169</v>
      </c>
      <c r="R416" t="s">
        <v>446</v>
      </c>
      <c r="S416" t="s">
        <v>446</v>
      </c>
      <c r="T416" t="s">
        <v>1965</v>
      </c>
      <c r="U416" t="b">
        <v>0</v>
      </c>
      <c r="V416" t="s">
        <v>446</v>
      </c>
    </row>
    <row r="417" spans="1:22" x14ac:dyDescent="0.25">
      <c r="A417" t="s">
        <v>42</v>
      </c>
      <c r="B417">
        <v>56</v>
      </c>
      <c r="C417" t="s">
        <v>1052</v>
      </c>
      <c r="D417" t="s">
        <v>3490</v>
      </c>
      <c r="E417" t="s">
        <v>1051</v>
      </c>
      <c r="F417" t="s">
        <v>3433</v>
      </c>
      <c r="G417" t="s">
        <v>24</v>
      </c>
      <c r="H417" t="s">
        <v>26</v>
      </c>
      <c r="I417" t="s">
        <v>3167</v>
      </c>
      <c r="J417" t="s">
        <v>1055</v>
      </c>
      <c r="K417" t="s">
        <v>3199</v>
      </c>
      <c r="L417" t="s">
        <v>1055</v>
      </c>
      <c r="M417" t="s">
        <v>980</v>
      </c>
      <c r="N417" t="s">
        <v>1053</v>
      </c>
      <c r="O417" t="s">
        <v>1053</v>
      </c>
      <c r="P417" t="s">
        <v>1110</v>
      </c>
      <c r="Q417" t="s">
        <v>3169</v>
      </c>
      <c r="R417" t="s">
        <v>446</v>
      </c>
      <c r="S417" t="s">
        <v>446</v>
      </c>
      <c r="T417" t="s">
        <v>1965</v>
      </c>
      <c r="U417" t="b">
        <v>0</v>
      </c>
      <c r="V417" t="s">
        <v>446</v>
      </c>
    </row>
    <row r="418" spans="1:22" x14ac:dyDescent="0.25">
      <c r="A418" t="s">
        <v>42</v>
      </c>
      <c r="B418">
        <v>57</v>
      </c>
      <c r="C418" t="s">
        <v>979</v>
      </c>
      <c r="D418" t="s">
        <v>3491</v>
      </c>
      <c r="E418" t="s">
        <v>978</v>
      </c>
      <c r="F418" t="s">
        <v>3435</v>
      </c>
      <c r="G418" t="s">
        <v>24</v>
      </c>
      <c r="H418" t="s">
        <v>26</v>
      </c>
      <c r="I418" t="s">
        <v>3167</v>
      </c>
      <c r="J418" t="s">
        <v>984</v>
      </c>
      <c r="K418" t="s">
        <v>3168</v>
      </c>
      <c r="L418" t="s">
        <v>984</v>
      </c>
      <c r="M418" t="s">
        <v>980</v>
      </c>
      <c r="N418" t="s">
        <v>981</v>
      </c>
      <c r="O418" t="s">
        <v>981</v>
      </c>
      <c r="P418" t="s">
        <v>1110</v>
      </c>
      <c r="Q418" t="s">
        <v>3169</v>
      </c>
      <c r="R418" t="s">
        <v>446</v>
      </c>
      <c r="S418" t="s">
        <v>446</v>
      </c>
      <c r="T418" t="s">
        <v>1965</v>
      </c>
      <c r="U418" t="b">
        <v>0</v>
      </c>
      <c r="V418" t="s">
        <v>446</v>
      </c>
    </row>
    <row r="419" spans="1:22" x14ac:dyDescent="0.25">
      <c r="A419" t="s">
        <v>42</v>
      </c>
      <c r="B419">
        <v>57</v>
      </c>
      <c r="C419" t="s">
        <v>987</v>
      </c>
      <c r="D419" t="s">
        <v>3492</v>
      </c>
      <c r="E419" t="s">
        <v>986</v>
      </c>
      <c r="F419" t="s">
        <v>3493</v>
      </c>
      <c r="G419" t="s">
        <v>24</v>
      </c>
      <c r="H419" t="s">
        <v>26</v>
      </c>
      <c r="I419" t="s">
        <v>3167</v>
      </c>
      <c r="J419" t="s">
        <v>990</v>
      </c>
      <c r="K419" t="s">
        <v>3171</v>
      </c>
      <c r="L419" t="s">
        <v>990</v>
      </c>
      <c r="M419" t="s">
        <v>980</v>
      </c>
      <c r="N419" t="s">
        <v>988</v>
      </c>
      <c r="O419" t="s">
        <v>988</v>
      </c>
      <c r="P419" t="s">
        <v>1110</v>
      </c>
      <c r="Q419" t="s">
        <v>3169</v>
      </c>
      <c r="R419" t="s">
        <v>446</v>
      </c>
      <c r="S419" t="s">
        <v>446</v>
      </c>
      <c r="T419" t="s">
        <v>1965</v>
      </c>
      <c r="U419" t="b">
        <v>0</v>
      </c>
      <c r="V419" t="s">
        <v>446</v>
      </c>
    </row>
    <row r="420" spans="1:22" x14ac:dyDescent="0.25">
      <c r="A420" t="s">
        <v>42</v>
      </c>
      <c r="B420">
        <v>57</v>
      </c>
      <c r="C420" t="s">
        <v>993</v>
      </c>
      <c r="D420" t="s">
        <v>3494</v>
      </c>
      <c r="E420" t="s">
        <v>992</v>
      </c>
      <c r="F420" t="s">
        <v>3495</v>
      </c>
      <c r="G420" t="s">
        <v>24</v>
      </c>
      <c r="H420" t="s">
        <v>26</v>
      </c>
      <c r="I420" t="s">
        <v>3167</v>
      </c>
      <c r="J420" t="s">
        <v>996</v>
      </c>
      <c r="K420" t="s">
        <v>3173</v>
      </c>
      <c r="L420" t="s">
        <v>996</v>
      </c>
      <c r="M420" t="s">
        <v>980</v>
      </c>
      <c r="N420" t="s">
        <v>994</v>
      </c>
      <c r="O420" t="s">
        <v>994</v>
      </c>
      <c r="P420" t="s">
        <v>1110</v>
      </c>
      <c r="Q420" t="s">
        <v>3169</v>
      </c>
      <c r="R420" t="s">
        <v>446</v>
      </c>
      <c r="S420" t="s">
        <v>446</v>
      </c>
      <c r="T420" t="s">
        <v>1965</v>
      </c>
      <c r="U420" t="b">
        <v>0</v>
      </c>
      <c r="V420" t="s">
        <v>446</v>
      </c>
    </row>
    <row r="421" spans="1:22" x14ac:dyDescent="0.25">
      <c r="A421" t="s">
        <v>42</v>
      </c>
      <c r="B421">
        <v>57</v>
      </c>
      <c r="C421" t="s">
        <v>999</v>
      </c>
      <c r="D421" t="s">
        <v>3496</v>
      </c>
      <c r="E421" t="s">
        <v>998</v>
      </c>
      <c r="F421" t="s">
        <v>3468</v>
      </c>
      <c r="G421" t="s">
        <v>24</v>
      </c>
      <c r="H421" t="s">
        <v>26</v>
      </c>
      <c r="I421" t="s">
        <v>3167</v>
      </c>
      <c r="J421" t="s">
        <v>1003</v>
      </c>
      <c r="K421" t="s">
        <v>3175</v>
      </c>
      <c r="L421" t="s">
        <v>1003</v>
      </c>
      <c r="M421" t="s">
        <v>1000</v>
      </c>
      <c r="N421" t="s">
        <v>1001</v>
      </c>
      <c r="O421" t="s">
        <v>1001</v>
      </c>
      <c r="P421" t="s">
        <v>1110</v>
      </c>
      <c r="Q421" t="s">
        <v>3169</v>
      </c>
      <c r="R421" t="s">
        <v>446</v>
      </c>
      <c r="S421" t="s">
        <v>446</v>
      </c>
      <c r="T421" t="s">
        <v>1965</v>
      </c>
      <c r="U421" t="b">
        <v>0</v>
      </c>
      <c r="V421" t="s">
        <v>446</v>
      </c>
    </row>
    <row r="422" spans="1:22" x14ac:dyDescent="0.25">
      <c r="A422" t="s">
        <v>42</v>
      </c>
      <c r="B422">
        <v>57</v>
      </c>
      <c r="C422" t="s">
        <v>1005</v>
      </c>
      <c r="D422" t="s">
        <v>3497</v>
      </c>
      <c r="E422" t="s">
        <v>982</v>
      </c>
      <c r="F422" t="s">
        <v>3470</v>
      </c>
      <c r="G422" t="s">
        <v>24</v>
      </c>
      <c r="H422" t="s">
        <v>26</v>
      </c>
      <c r="I422" t="s">
        <v>3167</v>
      </c>
      <c r="J422" t="s">
        <v>1003</v>
      </c>
      <c r="K422" t="s">
        <v>3175</v>
      </c>
      <c r="L422" t="s">
        <v>1003</v>
      </c>
      <c r="M422" t="s">
        <v>1000</v>
      </c>
      <c r="N422" t="s">
        <v>1001</v>
      </c>
      <c r="O422" t="s">
        <v>1001</v>
      </c>
      <c r="P422" t="s">
        <v>1110</v>
      </c>
      <c r="Q422" t="s">
        <v>3169</v>
      </c>
      <c r="R422" t="s">
        <v>446</v>
      </c>
      <c r="S422" t="s">
        <v>446</v>
      </c>
      <c r="T422" t="s">
        <v>1965</v>
      </c>
      <c r="U422" t="b">
        <v>0</v>
      </c>
      <c r="V422" t="s">
        <v>446</v>
      </c>
    </row>
    <row r="423" spans="1:22" x14ac:dyDescent="0.25">
      <c r="A423" t="s">
        <v>42</v>
      </c>
      <c r="B423">
        <v>57</v>
      </c>
      <c r="C423" t="s">
        <v>1007</v>
      </c>
      <c r="D423" t="s">
        <v>3498</v>
      </c>
      <c r="E423" t="s">
        <v>1006</v>
      </c>
      <c r="F423" t="s">
        <v>3499</v>
      </c>
      <c r="G423" t="s">
        <v>24</v>
      </c>
      <c r="H423" t="s">
        <v>26</v>
      </c>
      <c r="I423" t="s">
        <v>3167</v>
      </c>
      <c r="J423" t="s">
        <v>1011</v>
      </c>
      <c r="K423" t="s">
        <v>3179</v>
      </c>
      <c r="L423" t="s">
        <v>1011</v>
      </c>
      <c r="M423" t="s">
        <v>1008</v>
      </c>
      <c r="N423" t="s">
        <v>1009</v>
      </c>
      <c r="O423" t="s">
        <v>1009</v>
      </c>
      <c r="P423" t="s">
        <v>1110</v>
      </c>
      <c r="Q423" t="s">
        <v>3169</v>
      </c>
      <c r="R423" t="s">
        <v>446</v>
      </c>
      <c r="S423" t="s">
        <v>446</v>
      </c>
      <c r="T423" t="s">
        <v>1965</v>
      </c>
      <c r="U423" t="b">
        <v>0</v>
      </c>
      <c r="V423" t="s">
        <v>446</v>
      </c>
    </row>
    <row r="424" spans="1:22" x14ac:dyDescent="0.25">
      <c r="A424" t="s">
        <v>42</v>
      </c>
      <c r="B424">
        <v>57</v>
      </c>
      <c r="C424" t="s">
        <v>1014</v>
      </c>
      <c r="D424" t="s">
        <v>3500</v>
      </c>
      <c r="E424" t="s">
        <v>1013</v>
      </c>
      <c r="F424" t="s">
        <v>3501</v>
      </c>
      <c r="G424" t="s">
        <v>24</v>
      </c>
      <c r="H424" t="s">
        <v>26</v>
      </c>
      <c r="I424" t="s">
        <v>3167</v>
      </c>
      <c r="J424" t="s">
        <v>1016</v>
      </c>
      <c r="K424" t="s">
        <v>3181</v>
      </c>
      <c r="L424" t="s">
        <v>1016</v>
      </c>
      <c r="M424" t="s">
        <v>980</v>
      </c>
      <c r="N424" t="s">
        <v>1015</v>
      </c>
      <c r="O424" t="s">
        <v>1015</v>
      </c>
      <c r="P424" t="s">
        <v>1110</v>
      </c>
      <c r="Q424" t="s">
        <v>3169</v>
      </c>
      <c r="R424" t="s">
        <v>446</v>
      </c>
      <c r="S424" t="s">
        <v>446</v>
      </c>
      <c r="T424" t="s">
        <v>1965</v>
      </c>
      <c r="U424" t="b">
        <v>0</v>
      </c>
      <c r="V424" t="s">
        <v>446</v>
      </c>
    </row>
    <row r="425" spans="1:22" x14ac:dyDescent="0.25">
      <c r="A425" t="s">
        <v>42</v>
      </c>
      <c r="B425">
        <v>57</v>
      </c>
      <c r="C425" t="s">
        <v>1019</v>
      </c>
      <c r="D425" t="s">
        <v>3502</v>
      </c>
      <c r="E425" t="s">
        <v>1018</v>
      </c>
      <c r="F425" t="s">
        <v>3503</v>
      </c>
      <c r="G425" t="s">
        <v>24</v>
      </c>
      <c r="H425" t="s">
        <v>26</v>
      </c>
      <c r="I425" t="s">
        <v>3167</v>
      </c>
      <c r="J425" t="s">
        <v>1021</v>
      </c>
      <c r="K425" t="s">
        <v>3183</v>
      </c>
      <c r="L425" t="s">
        <v>1021</v>
      </c>
      <c r="M425" t="s">
        <v>980</v>
      </c>
      <c r="N425" t="s">
        <v>1020</v>
      </c>
      <c r="O425" t="s">
        <v>1020</v>
      </c>
      <c r="P425" t="s">
        <v>1110</v>
      </c>
      <c r="Q425" t="s">
        <v>3169</v>
      </c>
      <c r="R425" t="s">
        <v>446</v>
      </c>
      <c r="S425" t="s">
        <v>446</v>
      </c>
      <c r="T425" t="s">
        <v>1965</v>
      </c>
      <c r="U425" t="b">
        <v>0</v>
      </c>
      <c r="V425" t="s">
        <v>446</v>
      </c>
    </row>
    <row r="426" spans="1:22" x14ac:dyDescent="0.25">
      <c r="A426" t="s">
        <v>42</v>
      </c>
      <c r="B426">
        <v>57</v>
      </c>
      <c r="C426" t="s">
        <v>1024</v>
      </c>
      <c r="D426" t="s">
        <v>3504</v>
      </c>
      <c r="E426" t="s">
        <v>1023</v>
      </c>
      <c r="F426" t="s">
        <v>3478</v>
      </c>
      <c r="G426" t="s">
        <v>24</v>
      </c>
      <c r="H426" t="s">
        <v>26</v>
      </c>
      <c r="I426" t="s">
        <v>3167</v>
      </c>
      <c r="J426" t="s">
        <v>1026</v>
      </c>
      <c r="K426" t="s">
        <v>3185</v>
      </c>
      <c r="L426" t="s">
        <v>1026</v>
      </c>
      <c r="M426" t="s">
        <v>1000</v>
      </c>
      <c r="N426" t="s">
        <v>1025</v>
      </c>
      <c r="O426" t="s">
        <v>1025</v>
      </c>
      <c r="P426" t="s">
        <v>1110</v>
      </c>
      <c r="Q426" t="s">
        <v>3169</v>
      </c>
      <c r="R426" t="s">
        <v>446</v>
      </c>
      <c r="S426" t="s">
        <v>446</v>
      </c>
      <c r="T426" t="s">
        <v>1965</v>
      </c>
      <c r="U426" t="b">
        <v>0</v>
      </c>
      <c r="V426" t="s">
        <v>446</v>
      </c>
    </row>
    <row r="427" spans="1:22" x14ac:dyDescent="0.25">
      <c r="A427" t="s">
        <v>42</v>
      </c>
      <c r="B427">
        <v>57</v>
      </c>
      <c r="C427" t="s">
        <v>1028</v>
      </c>
      <c r="D427" t="s">
        <v>3505</v>
      </c>
      <c r="E427" t="s">
        <v>1010</v>
      </c>
      <c r="F427" t="s">
        <v>3480</v>
      </c>
      <c r="G427" t="s">
        <v>24</v>
      </c>
      <c r="H427" t="s">
        <v>26</v>
      </c>
      <c r="I427" t="s">
        <v>3167</v>
      </c>
      <c r="J427" t="s">
        <v>1026</v>
      </c>
      <c r="K427" t="s">
        <v>3185</v>
      </c>
      <c r="L427" t="s">
        <v>1026</v>
      </c>
      <c r="M427" t="s">
        <v>1000</v>
      </c>
      <c r="N427" t="s">
        <v>1025</v>
      </c>
      <c r="O427" t="s">
        <v>1025</v>
      </c>
      <c r="P427" t="s">
        <v>1110</v>
      </c>
      <c r="Q427" t="s">
        <v>3169</v>
      </c>
      <c r="R427" t="s">
        <v>446</v>
      </c>
      <c r="S427" t="s">
        <v>446</v>
      </c>
      <c r="T427" t="s">
        <v>1965</v>
      </c>
      <c r="U427" t="b">
        <v>0</v>
      </c>
      <c r="V427" t="s">
        <v>446</v>
      </c>
    </row>
    <row r="428" spans="1:22" x14ac:dyDescent="0.25">
      <c r="A428" t="s">
        <v>42</v>
      </c>
      <c r="B428">
        <v>57</v>
      </c>
      <c r="C428" t="s">
        <v>1030</v>
      </c>
      <c r="D428" t="s">
        <v>3506</v>
      </c>
      <c r="E428" t="s">
        <v>1029</v>
      </c>
      <c r="F428" t="s">
        <v>3507</v>
      </c>
      <c r="G428" t="s">
        <v>24</v>
      </c>
      <c r="H428" t="s">
        <v>26</v>
      </c>
      <c r="I428" t="s">
        <v>3167</v>
      </c>
      <c r="J428" t="s">
        <v>1033</v>
      </c>
      <c r="K428" t="s">
        <v>3189</v>
      </c>
      <c r="L428" t="s">
        <v>1033</v>
      </c>
      <c r="M428" t="s">
        <v>980</v>
      </c>
      <c r="N428" t="s">
        <v>1031</v>
      </c>
      <c r="O428" t="s">
        <v>1031</v>
      </c>
      <c r="P428" t="s">
        <v>1110</v>
      </c>
      <c r="Q428" t="s">
        <v>3169</v>
      </c>
      <c r="R428" t="s">
        <v>446</v>
      </c>
      <c r="S428" t="s">
        <v>446</v>
      </c>
      <c r="T428" t="s">
        <v>1965</v>
      </c>
      <c r="U428" t="b">
        <v>0</v>
      </c>
      <c r="V428" t="s">
        <v>446</v>
      </c>
    </row>
    <row r="429" spans="1:22" x14ac:dyDescent="0.25">
      <c r="A429" t="s">
        <v>42</v>
      </c>
      <c r="B429">
        <v>57</v>
      </c>
      <c r="C429" t="s">
        <v>1036</v>
      </c>
      <c r="D429" t="s">
        <v>3508</v>
      </c>
      <c r="E429" t="s">
        <v>1035</v>
      </c>
      <c r="F429" t="s">
        <v>3509</v>
      </c>
      <c r="G429" t="s">
        <v>24</v>
      </c>
      <c r="H429" t="s">
        <v>26</v>
      </c>
      <c r="I429" t="s">
        <v>3167</v>
      </c>
      <c r="J429" t="s">
        <v>1038</v>
      </c>
      <c r="K429" t="s">
        <v>3191</v>
      </c>
      <c r="L429" t="s">
        <v>1038</v>
      </c>
      <c r="M429" t="s">
        <v>980</v>
      </c>
      <c r="N429" t="s">
        <v>1037</v>
      </c>
      <c r="O429" t="s">
        <v>1037</v>
      </c>
      <c r="P429" t="s">
        <v>1110</v>
      </c>
      <c r="Q429" t="s">
        <v>3169</v>
      </c>
      <c r="R429" t="s">
        <v>446</v>
      </c>
      <c r="S429" t="s">
        <v>446</v>
      </c>
      <c r="T429" t="s">
        <v>1965</v>
      </c>
      <c r="U429" t="b">
        <v>0</v>
      </c>
      <c r="V429" t="s">
        <v>446</v>
      </c>
    </row>
    <row r="430" spans="1:22" x14ac:dyDescent="0.25">
      <c r="A430" t="s">
        <v>42</v>
      </c>
      <c r="B430">
        <v>57</v>
      </c>
      <c r="C430" t="s">
        <v>1041</v>
      </c>
      <c r="D430" t="s">
        <v>3510</v>
      </c>
      <c r="E430" t="s">
        <v>1040</v>
      </c>
      <c r="F430" t="s">
        <v>3511</v>
      </c>
      <c r="G430" t="s">
        <v>24</v>
      </c>
      <c r="H430" t="s">
        <v>26</v>
      </c>
      <c r="I430" t="s">
        <v>3167</v>
      </c>
      <c r="J430" t="s">
        <v>1043</v>
      </c>
      <c r="K430" t="s">
        <v>3193</v>
      </c>
      <c r="L430" t="s">
        <v>1043</v>
      </c>
      <c r="M430" t="s">
        <v>980</v>
      </c>
      <c r="N430" t="s">
        <v>1042</v>
      </c>
      <c r="O430" t="s">
        <v>1042</v>
      </c>
      <c r="P430" t="s">
        <v>1110</v>
      </c>
      <c r="Q430" t="s">
        <v>3169</v>
      </c>
      <c r="R430" t="s">
        <v>446</v>
      </c>
      <c r="S430" t="s">
        <v>446</v>
      </c>
      <c r="T430" t="s">
        <v>1965</v>
      </c>
      <c r="U430" t="b">
        <v>0</v>
      </c>
      <c r="V430" t="s">
        <v>446</v>
      </c>
    </row>
    <row r="431" spans="1:22" x14ac:dyDescent="0.25">
      <c r="A431" t="s">
        <v>42</v>
      </c>
      <c r="B431">
        <v>57</v>
      </c>
      <c r="C431" t="s">
        <v>1046</v>
      </c>
      <c r="D431" t="s">
        <v>3512</v>
      </c>
      <c r="E431" t="s">
        <v>1045</v>
      </c>
      <c r="F431" t="s">
        <v>3457</v>
      </c>
      <c r="G431" t="s">
        <v>24</v>
      </c>
      <c r="H431" t="s">
        <v>26</v>
      </c>
      <c r="I431" t="s">
        <v>3167</v>
      </c>
      <c r="J431" t="s">
        <v>1048</v>
      </c>
      <c r="K431" t="s">
        <v>3195</v>
      </c>
      <c r="L431" t="s">
        <v>1048</v>
      </c>
      <c r="M431" t="s">
        <v>1000</v>
      </c>
      <c r="N431" t="s">
        <v>1047</v>
      </c>
      <c r="O431" t="s">
        <v>1047</v>
      </c>
      <c r="P431" t="s">
        <v>1110</v>
      </c>
      <c r="Q431" t="s">
        <v>3169</v>
      </c>
      <c r="R431" t="s">
        <v>446</v>
      </c>
      <c r="S431" t="s">
        <v>446</v>
      </c>
      <c r="T431" t="s">
        <v>1965</v>
      </c>
      <c r="U431" t="b">
        <v>0</v>
      </c>
      <c r="V431" t="s">
        <v>446</v>
      </c>
    </row>
    <row r="432" spans="1:22" x14ac:dyDescent="0.25">
      <c r="A432" t="s">
        <v>42</v>
      </c>
      <c r="B432">
        <v>57</v>
      </c>
      <c r="C432" t="s">
        <v>1050</v>
      </c>
      <c r="D432" t="s">
        <v>3513</v>
      </c>
      <c r="E432" t="s">
        <v>1032</v>
      </c>
      <c r="F432" t="s">
        <v>3514</v>
      </c>
      <c r="G432" t="s">
        <v>24</v>
      </c>
      <c r="H432" t="s">
        <v>26</v>
      </c>
      <c r="I432" t="s">
        <v>3167</v>
      </c>
      <c r="J432" t="s">
        <v>1048</v>
      </c>
      <c r="K432" t="s">
        <v>3195</v>
      </c>
      <c r="L432" t="s">
        <v>1048</v>
      </c>
      <c r="M432" t="s">
        <v>1000</v>
      </c>
      <c r="N432" t="s">
        <v>1047</v>
      </c>
      <c r="O432" t="s">
        <v>1047</v>
      </c>
      <c r="P432" t="s">
        <v>1110</v>
      </c>
      <c r="Q432" t="s">
        <v>3169</v>
      </c>
      <c r="R432" t="s">
        <v>446</v>
      </c>
      <c r="S432" t="s">
        <v>446</v>
      </c>
      <c r="T432" t="s">
        <v>1965</v>
      </c>
      <c r="U432" t="b">
        <v>0</v>
      </c>
      <c r="V432" t="s">
        <v>446</v>
      </c>
    </row>
    <row r="433" spans="1:22" x14ac:dyDescent="0.25">
      <c r="A433" t="s">
        <v>42</v>
      </c>
      <c r="B433">
        <v>57</v>
      </c>
      <c r="C433" t="s">
        <v>1052</v>
      </c>
      <c r="D433" t="s">
        <v>3515</v>
      </c>
      <c r="E433" t="s">
        <v>1051</v>
      </c>
      <c r="F433" t="s">
        <v>3461</v>
      </c>
      <c r="G433" t="s">
        <v>24</v>
      </c>
      <c r="H433" t="s">
        <v>26</v>
      </c>
      <c r="I433" t="s">
        <v>3167</v>
      </c>
      <c r="J433" t="s">
        <v>1055</v>
      </c>
      <c r="K433" t="s">
        <v>3199</v>
      </c>
      <c r="L433" t="s">
        <v>1055</v>
      </c>
      <c r="M433" t="s">
        <v>980</v>
      </c>
      <c r="N433" t="s">
        <v>1053</v>
      </c>
      <c r="O433" t="s">
        <v>1053</v>
      </c>
      <c r="P433" t="s">
        <v>1110</v>
      </c>
      <c r="Q433" t="s">
        <v>3169</v>
      </c>
      <c r="R433" t="s">
        <v>446</v>
      </c>
      <c r="S433" t="s">
        <v>446</v>
      </c>
      <c r="T433" t="s">
        <v>1965</v>
      </c>
      <c r="U433" t="b">
        <v>0</v>
      </c>
      <c r="V433" t="s">
        <v>446</v>
      </c>
    </row>
    <row r="434" spans="1:22" x14ac:dyDescent="0.25">
      <c r="A434" t="s">
        <v>42</v>
      </c>
      <c r="B434">
        <v>59</v>
      </c>
      <c r="C434" t="s">
        <v>979</v>
      </c>
      <c r="D434" t="s">
        <v>3516</v>
      </c>
      <c r="E434" t="s">
        <v>978</v>
      </c>
      <c r="F434" t="s">
        <v>3517</v>
      </c>
      <c r="G434" t="s">
        <v>24</v>
      </c>
      <c r="H434" t="s">
        <v>26</v>
      </c>
      <c r="I434" t="s">
        <v>3167</v>
      </c>
      <c r="J434" t="s">
        <v>984</v>
      </c>
      <c r="K434" t="s">
        <v>3168</v>
      </c>
      <c r="L434" t="s">
        <v>984</v>
      </c>
      <c r="M434" t="s">
        <v>980</v>
      </c>
      <c r="N434" t="s">
        <v>981</v>
      </c>
      <c r="O434" t="s">
        <v>981</v>
      </c>
      <c r="P434" t="s">
        <v>1110</v>
      </c>
      <c r="Q434" t="s">
        <v>3169</v>
      </c>
      <c r="R434" t="s">
        <v>446</v>
      </c>
      <c r="S434" t="s">
        <v>446</v>
      </c>
      <c r="T434" t="s">
        <v>1965</v>
      </c>
      <c r="U434" t="b">
        <v>0</v>
      </c>
      <c r="V434" t="s">
        <v>446</v>
      </c>
    </row>
    <row r="435" spans="1:22" x14ac:dyDescent="0.25">
      <c r="A435" t="s">
        <v>42</v>
      </c>
      <c r="B435">
        <v>59</v>
      </c>
      <c r="C435" t="s">
        <v>987</v>
      </c>
      <c r="D435" t="s">
        <v>3518</v>
      </c>
      <c r="E435" t="s">
        <v>986</v>
      </c>
      <c r="F435" t="s">
        <v>3519</v>
      </c>
      <c r="G435" t="s">
        <v>24</v>
      </c>
      <c r="H435" t="s">
        <v>26</v>
      </c>
      <c r="I435" t="s">
        <v>3167</v>
      </c>
      <c r="J435" t="s">
        <v>990</v>
      </c>
      <c r="K435" t="s">
        <v>3171</v>
      </c>
      <c r="L435" t="s">
        <v>990</v>
      </c>
      <c r="M435" t="s">
        <v>980</v>
      </c>
      <c r="N435" t="s">
        <v>988</v>
      </c>
      <c r="O435" t="s">
        <v>988</v>
      </c>
      <c r="P435" t="s">
        <v>1110</v>
      </c>
      <c r="Q435" t="s">
        <v>3169</v>
      </c>
      <c r="R435" t="s">
        <v>446</v>
      </c>
      <c r="S435" t="s">
        <v>446</v>
      </c>
      <c r="T435" t="s">
        <v>1965</v>
      </c>
      <c r="U435" t="b">
        <v>0</v>
      </c>
      <c r="V435" t="s">
        <v>446</v>
      </c>
    </row>
    <row r="436" spans="1:22" x14ac:dyDescent="0.25">
      <c r="A436" t="s">
        <v>42</v>
      </c>
      <c r="B436">
        <v>59</v>
      </c>
      <c r="C436" t="s">
        <v>993</v>
      </c>
      <c r="D436" t="s">
        <v>3520</v>
      </c>
      <c r="E436" t="s">
        <v>992</v>
      </c>
      <c r="F436" t="s">
        <v>3521</v>
      </c>
      <c r="G436" t="s">
        <v>24</v>
      </c>
      <c r="H436" t="s">
        <v>26</v>
      </c>
      <c r="I436" t="s">
        <v>3167</v>
      </c>
      <c r="J436" t="s">
        <v>996</v>
      </c>
      <c r="K436" t="s">
        <v>3173</v>
      </c>
      <c r="L436" t="s">
        <v>996</v>
      </c>
      <c r="M436" t="s">
        <v>980</v>
      </c>
      <c r="N436" t="s">
        <v>994</v>
      </c>
      <c r="O436" t="s">
        <v>994</v>
      </c>
      <c r="P436" t="s">
        <v>1110</v>
      </c>
      <c r="Q436" t="s">
        <v>3169</v>
      </c>
      <c r="R436" t="s">
        <v>446</v>
      </c>
      <c r="S436" t="s">
        <v>446</v>
      </c>
      <c r="T436" t="s">
        <v>1965</v>
      </c>
      <c r="U436" t="b">
        <v>0</v>
      </c>
      <c r="V436" t="s">
        <v>446</v>
      </c>
    </row>
    <row r="437" spans="1:22" x14ac:dyDescent="0.25">
      <c r="A437" t="s">
        <v>42</v>
      </c>
      <c r="B437">
        <v>59</v>
      </c>
      <c r="C437" t="s">
        <v>999</v>
      </c>
      <c r="D437" t="s">
        <v>3522</v>
      </c>
      <c r="E437" t="s">
        <v>998</v>
      </c>
      <c r="F437" t="s">
        <v>3523</v>
      </c>
      <c r="G437" t="s">
        <v>24</v>
      </c>
      <c r="H437" t="s">
        <v>26</v>
      </c>
      <c r="I437" t="s">
        <v>3167</v>
      </c>
      <c r="J437" t="s">
        <v>1003</v>
      </c>
      <c r="K437" t="s">
        <v>3175</v>
      </c>
      <c r="L437" t="s">
        <v>1003</v>
      </c>
      <c r="M437" t="s">
        <v>1000</v>
      </c>
      <c r="N437" t="s">
        <v>1001</v>
      </c>
      <c r="O437" t="s">
        <v>1001</v>
      </c>
      <c r="P437" t="s">
        <v>1110</v>
      </c>
      <c r="Q437" t="s">
        <v>3169</v>
      </c>
      <c r="R437" t="s">
        <v>446</v>
      </c>
      <c r="S437" t="s">
        <v>446</v>
      </c>
      <c r="T437" t="s">
        <v>1965</v>
      </c>
      <c r="U437" t="b">
        <v>0</v>
      </c>
      <c r="V437" t="s">
        <v>446</v>
      </c>
    </row>
    <row r="438" spans="1:22" x14ac:dyDescent="0.25">
      <c r="A438" t="s">
        <v>42</v>
      </c>
      <c r="B438">
        <v>59</v>
      </c>
      <c r="C438" t="s">
        <v>1005</v>
      </c>
      <c r="D438" t="s">
        <v>3524</v>
      </c>
      <c r="E438" t="s">
        <v>982</v>
      </c>
      <c r="F438" t="s">
        <v>3525</v>
      </c>
      <c r="G438" t="s">
        <v>24</v>
      </c>
      <c r="H438" t="s">
        <v>26</v>
      </c>
      <c r="I438" t="s">
        <v>3167</v>
      </c>
      <c r="J438" t="s">
        <v>1003</v>
      </c>
      <c r="K438" t="s">
        <v>3175</v>
      </c>
      <c r="L438" t="s">
        <v>1003</v>
      </c>
      <c r="M438" t="s">
        <v>1000</v>
      </c>
      <c r="N438" t="s">
        <v>1001</v>
      </c>
      <c r="O438" t="s">
        <v>1001</v>
      </c>
      <c r="P438" t="s">
        <v>1110</v>
      </c>
      <c r="Q438" t="s">
        <v>3169</v>
      </c>
      <c r="R438" t="s">
        <v>446</v>
      </c>
      <c r="S438" t="s">
        <v>446</v>
      </c>
      <c r="T438" t="s">
        <v>1965</v>
      </c>
      <c r="U438" t="b">
        <v>0</v>
      </c>
      <c r="V438" t="s">
        <v>446</v>
      </c>
    </row>
    <row r="439" spans="1:22" x14ac:dyDescent="0.25">
      <c r="A439" t="s">
        <v>42</v>
      </c>
      <c r="B439">
        <v>59</v>
      </c>
      <c r="C439" t="s">
        <v>1007</v>
      </c>
      <c r="D439" t="s">
        <v>3526</v>
      </c>
      <c r="E439" t="s">
        <v>1006</v>
      </c>
      <c r="F439" t="s">
        <v>3527</v>
      </c>
      <c r="G439" t="s">
        <v>24</v>
      </c>
      <c r="H439" t="s">
        <v>26</v>
      </c>
      <c r="I439" t="s">
        <v>3167</v>
      </c>
      <c r="J439" t="s">
        <v>1011</v>
      </c>
      <c r="K439" t="s">
        <v>3179</v>
      </c>
      <c r="L439" t="s">
        <v>1011</v>
      </c>
      <c r="M439" t="s">
        <v>1008</v>
      </c>
      <c r="N439" t="s">
        <v>1009</v>
      </c>
      <c r="O439" t="s">
        <v>1009</v>
      </c>
      <c r="P439" t="s">
        <v>1110</v>
      </c>
      <c r="Q439" t="s">
        <v>3169</v>
      </c>
      <c r="R439" t="s">
        <v>446</v>
      </c>
      <c r="S439" t="s">
        <v>446</v>
      </c>
      <c r="T439" t="s">
        <v>1965</v>
      </c>
      <c r="U439" t="b">
        <v>0</v>
      </c>
      <c r="V439" t="s">
        <v>446</v>
      </c>
    </row>
    <row r="440" spans="1:22" x14ac:dyDescent="0.25">
      <c r="A440" t="s">
        <v>42</v>
      </c>
      <c r="B440">
        <v>59</v>
      </c>
      <c r="C440" t="s">
        <v>1014</v>
      </c>
      <c r="D440" t="s">
        <v>3528</v>
      </c>
      <c r="E440" t="s">
        <v>1013</v>
      </c>
      <c r="F440" t="s">
        <v>3529</v>
      </c>
      <c r="G440" t="s">
        <v>24</v>
      </c>
      <c r="H440" t="s">
        <v>26</v>
      </c>
      <c r="I440" t="s">
        <v>3167</v>
      </c>
      <c r="J440" t="s">
        <v>1016</v>
      </c>
      <c r="K440" t="s">
        <v>3181</v>
      </c>
      <c r="L440" t="s">
        <v>1016</v>
      </c>
      <c r="M440" t="s">
        <v>980</v>
      </c>
      <c r="N440" t="s">
        <v>1015</v>
      </c>
      <c r="O440" t="s">
        <v>1015</v>
      </c>
      <c r="P440" t="s">
        <v>1110</v>
      </c>
      <c r="Q440" t="s">
        <v>3169</v>
      </c>
      <c r="R440" t="s">
        <v>446</v>
      </c>
      <c r="S440" t="s">
        <v>446</v>
      </c>
      <c r="T440" t="s">
        <v>1965</v>
      </c>
      <c r="U440" t="b">
        <v>0</v>
      </c>
      <c r="V440" t="s">
        <v>446</v>
      </c>
    </row>
    <row r="441" spans="1:22" x14ac:dyDescent="0.25">
      <c r="A441" t="s">
        <v>42</v>
      </c>
      <c r="B441">
        <v>59</v>
      </c>
      <c r="C441" t="s">
        <v>1019</v>
      </c>
      <c r="D441" t="s">
        <v>3530</v>
      </c>
      <c r="E441" t="s">
        <v>1018</v>
      </c>
      <c r="F441" t="s">
        <v>3531</v>
      </c>
      <c r="G441" t="s">
        <v>24</v>
      </c>
      <c r="H441" t="s">
        <v>26</v>
      </c>
      <c r="I441" t="s">
        <v>3167</v>
      </c>
      <c r="J441" t="s">
        <v>1021</v>
      </c>
      <c r="K441" t="s">
        <v>3183</v>
      </c>
      <c r="L441" t="s">
        <v>1021</v>
      </c>
      <c r="M441" t="s">
        <v>980</v>
      </c>
      <c r="N441" t="s">
        <v>1020</v>
      </c>
      <c r="O441" t="s">
        <v>1020</v>
      </c>
      <c r="P441" t="s">
        <v>1110</v>
      </c>
      <c r="Q441" t="s">
        <v>3169</v>
      </c>
      <c r="R441" t="s">
        <v>446</v>
      </c>
      <c r="S441" t="s">
        <v>446</v>
      </c>
      <c r="T441" t="s">
        <v>1965</v>
      </c>
      <c r="U441" t="b">
        <v>0</v>
      </c>
      <c r="V441" t="s">
        <v>446</v>
      </c>
    </row>
    <row r="442" spans="1:22" x14ac:dyDescent="0.25">
      <c r="A442" t="s">
        <v>42</v>
      </c>
      <c r="B442">
        <v>59</v>
      </c>
      <c r="C442" t="s">
        <v>1024</v>
      </c>
      <c r="D442" t="s">
        <v>3532</v>
      </c>
      <c r="E442" t="s">
        <v>1023</v>
      </c>
      <c r="F442" t="s">
        <v>3533</v>
      </c>
      <c r="G442" t="s">
        <v>24</v>
      </c>
      <c r="H442" t="s">
        <v>26</v>
      </c>
      <c r="I442" t="s">
        <v>3167</v>
      </c>
      <c r="J442" t="s">
        <v>1026</v>
      </c>
      <c r="K442" t="s">
        <v>3185</v>
      </c>
      <c r="L442" t="s">
        <v>1026</v>
      </c>
      <c r="M442" t="s">
        <v>1000</v>
      </c>
      <c r="N442" t="s">
        <v>1025</v>
      </c>
      <c r="O442" t="s">
        <v>1025</v>
      </c>
      <c r="P442" t="s">
        <v>1110</v>
      </c>
      <c r="Q442" t="s">
        <v>3169</v>
      </c>
      <c r="R442" t="s">
        <v>446</v>
      </c>
      <c r="S442" t="s">
        <v>446</v>
      </c>
      <c r="T442" t="s">
        <v>1965</v>
      </c>
      <c r="U442" t="b">
        <v>0</v>
      </c>
      <c r="V442" t="s">
        <v>446</v>
      </c>
    </row>
    <row r="443" spans="1:22" x14ac:dyDescent="0.25">
      <c r="A443" t="s">
        <v>42</v>
      </c>
      <c r="B443">
        <v>59</v>
      </c>
      <c r="C443" t="s">
        <v>1028</v>
      </c>
      <c r="D443" t="s">
        <v>3534</v>
      </c>
      <c r="E443" t="s">
        <v>1010</v>
      </c>
      <c r="F443" t="s">
        <v>3535</v>
      </c>
      <c r="G443" t="s">
        <v>24</v>
      </c>
      <c r="H443" t="s">
        <v>26</v>
      </c>
      <c r="I443" t="s">
        <v>3167</v>
      </c>
      <c r="J443" t="s">
        <v>1026</v>
      </c>
      <c r="K443" t="s">
        <v>3185</v>
      </c>
      <c r="L443" t="s">
        <v>1026</v>
      </c>
      <c r="M443" t="s">
        <v>1000</v>
      </c>
      <c r="N443" t="s">
        <v>1025</v>
      </c>
      <c r="O443" t="s">
        <v>1025</v>
      </c>
      <c r="P443" t="s">
        <v>1110</v>
      </c>
      <c r="Q443" t="s">
        <v>3169</v>
      </c>
      <c r="R443" t="s">
        <v>446</v>
      </c>
      <c r="S443" t="s">
        <v>446</v>
      </c>
      <c r="T443" t="s">
        <v>1965</v>
      </c>
      <c r="U443" t="b">
        <v>0</v>
      </c>
      <c r="V443" t="s">
        <v>446</v>
      </c>
    </row>
    <row r="444" spans="1:22" x14ac:dyDescent="0.25">
      <c r="A444" t="s">
        <v>42</v>
      </c>
      <c r="B444">
        <v>59</v>
      </c>
      <c r="C444" t="s">
        <v>1030</v>
      </c>
      <c r="D444" t="s">
        <v>3536</v>
      </c>
      <c r="E444" t="s">
        <v>1029</v>
      </c>
      <c r="F444" t="s">
        <v>3537</v>
      </c>
      <c r="G444" t="s">
        <v>24</v>
      </c>
      <c r="H444" t="s">
        <v>26</v>
      </c>
      <c r="I444" t="s">
        <v>3167</v>
      </c>
      <c r="J444" t="s">
        <v>1033</v>
      </c>
      <c r="K444" t="s">
        <v>3189</v>
      </c>
      <c r="L444" t="s">
        <v>1033</v>
      </c>
      <c r="M444" t="s">
        <v>980</v>
      </c>
      <c r="N444" t="s">
        <v>1031</v>
      </c>
      <c r="O444" t="s">
        <v>1031</v>
      </c>
      <c r="P444" t="s">
        <v>1110</v>
      </c>
      <c r="Q444" t="s">
        <v>3169</v>
      </c>
      <c r="R444" t="s">
        <v>446</v>
      </c>
      <c r="S444" t="s">
        <v>446</v>
      </c>
      <c r="T444" t="s">
        <v>1965</v>
      </c>
      <c r="U444" t="b">
        <v>0</v>
      </c>
      <c r="V444" t="s">
        <v>446</v>
      </c>
    </row>
    <row r="445" spans="1:22" x14ac:dyDescent="0.25">
      <c r="A445" t="s">
        <v>42</v>
      </c>
      <c r="B445">
        <v>59</v>
      </c>
      <c r="C445" t="s">
        <v>1036</v>
      </c>
      <c r="D445" t="s">
        <v>3538</v>
      </c>
      <c r="E445" t="s">
        <v>1035</v>
      </c>
      <c r="F445" t="s">
        <v>3539</v>
      </c>
      <c r="G445" t="s">
        <v>24</v>
      </c>
      <c r="H445" t="s">
        <v>26</v>
      </c>
      <c r="I445" t="s">
        <v>3167</v>
      </c>
      <c r="J445" t="s">
        <v>1038</v>
      </c>
      <c r="K445" t="s">
        <v>3191</v>
      </c>
      <c r="L445" t="s">
        <v>1038</v>
      </c>
      <c r="M445" t="s">
        <v>980</v>
      </c>
      <c r="N445" t="s">
        <v>1037</v>
      </c>
      <c r="O445" t="s">
        <v>1037</v>
      </c>
      <c r="P445" t="s">
        <v>1110</v>
      </c>
      <c r="Q445" t="s">
        <v>3169</v>
      </c>
      <c r="R445" t="s">
        <v>446</v>
      </c>
      <c r="S445" t="s">
        <v>446</v>
      </c>
      <c r="T445" t="s">
        <v>1965</v>
      </c>
      <c r="U445" t="b">
        <v>0</v>
      </c>
      <c r="V445" t="s">
        <v>446</v>
      </c>
    </row>
    <row r="446" spans="1:22" x14ac:dyDescent="0.25">
      <c r="A446" t="s">
        <v>42</v>
      </c>
      <c r="B446">
        <v>59</v>
      </c>
      <c r="C446" t="s">
        <v>1041</v>
      </c>
      <c r="D446" t="s">
        <v>3540</v>
      </c>
      <c r="E446" t="s">
        <v>1040</v>
      </c>
      <c r="F446" t="s">
        <v>3541</v>
      </c>
      <c r="G446" t="s">
        <v>24</v>
      </c>
      <c r="H446" t="s">
        <v>26</v>
      </c>
      <c r="I446" t="s">
        <v>3167</v>
      </c>
      <c r="J446" t="s">
        <v>1043</v>
      </c>
      <c r="K446" t="s">
        <v>3193</v>
      </c>
      <c r="L446" t="s">
        <v>1043</v>
      </c>
      <c r="M446" t="s">
        <v>980</v>
      </c>
      <c r="N446" t="s">
        <v>1042</v>
      </c>
      <c r="O446" t="s">
        <v>1042</v>
      </c>
      <c r="P446" t="s">
        <v>1110</v>
      </c>
      <c r="Q446" t="s">
        <v>3169</v>
      </c>
      <c r="R446" t="s">
        <v>446</v>
      </c>
      <c r="S446" t="s">
        <v>446</v>
      </c>
      <c r="T446" t="s">
        <v>1965</v>
      </c>
      <c r="U446" t="b">
        <v>0</v>
      </c>
      <c r="V446" t="s">
        <v>446</v>
      </c>
    </row>
    <row r="447" spans="1:22" x14ac:dyDescent="0.25">
      <c r="A447" t="s">
        <v>42</v>
      </c>
      <c r="B447">
        <v>59</v>
      </c>
      <c r="C447" t="s">
        <v>1046</v>
      </c>
      <c r="D447" t="s">
        <v>3542</v>
      </c>
      <c r="E447" t="s">
        <v>1045</v>
      </c>
      <c r="F447" t="s">
        <v>3543</v>
      </c>
      <c r="G447" t="s">
        <v>24</v>
      </c>
      <c r="H447" t="s">
        <v>26</v>
      </c>
      <c r="I447" t="s">
        <v>3167</v>
      </c>
      <c r="J447" t="s">
        <v>1048</v>
      </c>
      <c r="K447" t="s">
        <v>3195</v>
      </c>
      <c r="L447" t="s">
        <v>1048</v>
      </c>
      <c r="M447" t="s">
        <v>1000</v>
      </c>
      <c r="N447" t="s">
        <v>1047</v>
      </c>
      <c r="O447" t="s">
        <v>1047</v>
      </c>
      <c r="P447" t="s">
        <v>1110</v>
      </c>
      <c r="Q447" t="s">
        <v>3169</v>
      </c>
      <c r="R447" t="s">
        <v>446</v>
      </c>
      <c r="S447" t="s">
        <v>446</v>
      </c>
      <c r="T447" t="s">
        <v>1965</v>
      </c>
      <c r="U447" t="b">
        <v>0</v>
      </c>
      <c r="V447" t="s">
        <v>446</v>
      </c>
    </row>
    <row r="448" spans="1:22" x14ac:dyDescent="0.25">
      <c r="A448" t="s">
        <v>42</v>
      </c>
      <c r="B448">
        <v>59</v>
      </c>
      <c r="C448" t="s">
        <v>1050</v>
      </c>
      <c r="D448" t="s">
        <v>3544</v>
      </c>
      <c r="E448" t="s">
        <v>1032</v>
      </c>
      <c r="F448" t="s">
        <v>3545</v>
      </c>
      <c r="G448" t="s">
        <v>24</v>
      </c>
      <c r="H448" t="s">
        <v>26</v>
      </c>
      <c r="I448" t="s">
        <v>3167</v>
      </c>
      <c r="J448" t="s">
        <v>1048</v>
      </c>
      <c r="K448" t="s">
        <v>3195</v>
      </c>
      <c r="L448" t="s">
        <v>1048</v>
      </c>
      <c r="M448" t="s">
        <v>1000</v>
      </c>
      <c r="N448" t="s">
        <v>1047</v>
      </c>
      <c r="O448" t="s">
        <v>1047</v>
      </c>
      <c r="P448" t="s">
        <v>1110</v>
      </c>
      <c r="Q448" t="s">
        <v>3169</v>
      </c>
      <c r="R448" t="s">
        <v>446</v>
      </c>
      <c r="S448" t="s">
        <v>446</v>
      </c>
      <c r="T448" t="s">
        <v>1965</v>
      </c>
      <c r="U448" t="b">
        <v>0</v>
      </c>
      <c r="V448" t="s">
        <v>446</v>
      </c>
    </row>
    <row r="449" spans="1:22" x14ac:dyDescent="0.25">
      <c r="A449" t="s">
        <v>42</v>
      </c>
      <c r="B449">
        <v>59</v>
      </c>
      <c r="C449" t="s">
        <v>1052</v>
      </c>
      <c r="D449" t="s">
        <v>3546</v>
      </c>
      <c r="E449" t="s">
        <v>1051</v>
      </c>
      <c r="F449" t="s">
        <v>3547</v>
      </c>
      <c r="G449" t="s">
        <v>24</v>
      </c>
      <c r="H449" t="s">
        <v>26</v>
      </c>
      <c r="I449" t="s">
        <v>3167</v>
      </c>
      <c r="J449" t="s">
        <v>1055</v>
      </c>
      <c r="K449" t="s">
        <v>3199</v>
      </c>
      <c r="L449" t="s">
        <v>1055</v>
      </c>
      <c r="M449" t="s">
        <v>980</v>
      </c>
      <c r="N449" t="s">
        <v>1053</v>
      </c>
      <c r="O449" t="s">
        <v>1053</v>
      </c>
      <c r="P449" t="s">
        <v>1110</v>
      </c>
      <c r="Q449" t="s">
        <v>3169</v>
      </c>
      <c r="R449" t="s">
        <v>446</v>
      </c>
      <c r="S449" t="s">
        <v>446</v>
      </c>
      <c r="T449" t="s">
        <v>1965</v>
      </c>
      <c r="U449" t="b">
        <v>0</v>
      </c>
      <c r="V449" t="s">
        <v>446</v>
      </c>
    </row>
    <row r="450" spans="1:22" x14ac:dyDescent="0.25">
      <c r="A450" t="s">
        <v>42</v>
      </c>
      <c r="B450">
        <v>60</v>
      </c>
      <c r="C450" t="s">
        <v>979</v>
      </c>
      <c r="D450" t="s">
        <v>3548</v>
      </c>
      <c r="E450" t="s">
        <v>978</v>
      </c>
      <c r="F450" t="s">
        <v>3218</v>
      </c>
      <c r="G450" t="s">
        <v>24</v>
      </c>
      <c r="H450" t="s">
        <v>26</v>
      </c>
      <c r="I450" t="s">
        <v>3167</v>
      </c>
      <c r="J450" t="s">
        <v>984</v>
      </c>
      <c r="K450" t="s">
        <v>3168</v>
      </c>
      <c r="L450" t="s">
        <v>984</v>
      </c>
      <c r="M450" t="s">
        <v>980</v>
      </c>
      <c r="N450" t="s">
        <v>981</v>
      </c>
      <c r="O450" t="s">
        <v>981</v>
      </c>
      <c r="P450" t="s">
        <v>1110</v>
      </c>
      <c r="Q450" t="s">
        <v>3169</v>
      </c>
      <c r="R450" t="s">
        <v>446</v>
      </c>
      <c r="S450" t="s">
        <v>446</v>
      </c>
      <c r="T450" t="s">
        <v>1965</v>
      </c>
      <c r="U450" t="b">
        <v>0</v>
      </c>
      <c r="V450" t="s">
        <v>446</v>
      </c>
    </row>
    <row r="451" spans="1:22" x14ac:dyDescent="0.25">
      <c r="A451" t="s">
        <v>42</v>
      </c>
      <c r="B451">
        <v>60</v>
      </c>
      <c r="C451" t="s">
        <v>987</v>
      </c>
      <c r="D451" t="s">
        <v>3549</v>
      </c>
      <c r="E451" t="s">
        <v>986</v>
      </c>
      <c r="F451" t="s">
        <v>3218</v>
      </c>
      <c r="G451" t="s">
        <v>24</v>
      </c>
      <c r="H451" t="s">
        <v>26</v>
      </c>
      <c r="I451" t="s">
        <v>3167</v>
      </c>
      <c r="J451" t="s">
        <v>990</v>
      </c>
      <c r="K451" t="s">
        <v>3171</v>
      </c>
      <c r="L451" t="s">
        <v>990</v>
      </c>
      <c r="M451" t="s">
        <v>980</v>
      </c>
      <c r="N451" t="s">
        <v>988</v>
      </c>
      <c r="O451" t="s">
        <v>988</v>
      </c>
      <c r="P451" t="s">
        <v>1110</v>
      </c>
      <c r="Q451" t="s">
        <v>3169</v>
      </c>
      <c r="R451" t="s">
        <v>446</v>
      </c>
      <c r="S451" t="s">
        <v>446</v>
      </c>
      <c r="T451" t="s">
        <v>1965</v>
      </c>
      <c r="U451" t="b">
        <v>0</v>
      </c>
      <c r="V451" t="s">
        <v>446</v>
      </c>
    </row>
    <row r="452" spans="1:22" x14ac:dyDescent="0.25">
      <c r="A452" t="s">
        <v>42</v>
      </c>
      <c r="B452">
        <v>60</v>
      </c>
      <c r="C452" t="s">
        <v>993</v>
      </c>
      <c r="D452" t="s">
        <v>3550</v>
      </c>
      <c r="E452" t="s">
        <v>992</v>
      </c>
      <c r="F452" t="s">
        <v>3218</v>
      </c>
      <c r="G452" t="s">
        <v>24</v>
      </c>
      <c r="H452" t="s">
        <v>26</v>
      </c>
      <c r="I452" t="s">
        <v>3167</v>
      </c>
      <c r="J452" t="s">
        <v>996</v>
      </c>
      <c r="K452" t="s">
        <v>3173</v>
      </c>
      <c r="L452" t="s">
        <v>996</v>
      </c>
      <c r="M452" t="s">
        <v>980</v>
      </c>
      <c r="N452" t="s">
        <v>994</v>
      </c>
      <c r="O452" t="s">
        <v>994</v>
      </c>
      <c r="P452" t="s">
        <v>1110</v>
      </c>
      <c r="Q452" t="s">
        <v>3169</v>
      </c>
      <c r="R452" t="s">
        <v>446</v>
      </c>
      <c r="S452" t="s">
        <v>446</v>
      </c>
      <c r="T452" t="s">
        <v>1965</v>
      </c>
      <c r="U452" t="b">
        <v>0</v>
      </c>
      <c r="V452" t="s">
        <v>446</v>
      </c>
    </row>
    <row r="453" spans="1:22" x14ac:dyDescent="0.25">
      <c r="A453" t="s">
        <v>42</v>
      </c>
      <c r="B453">
        <v>60</v>
      </c>
      <c r="C453" t="s">
        <v>999</v>
      </c>
      <c r="D453" t="s">
        <v>3551</v>
      </c>
      <c r="E453" t="s">
        <v>998</v>
      </c>
      <c r="F453" t="s">
        <v>3552</v>
      </c>
      <c r="G453" t="s">
        <v>24</v>
      </c>
      <c r="H453" t="s">
        <v>26</v>
      </c>
      <c r="I453" t="s">
        <v>3167</v>
      </c>
      <c r="J453" t="s">
        <v>1003</v>
      </c>
      <c r="K453" t="s">
        <v>3175</v>
      </c>
      <c r="L453" t="s">
        <v>1003</v>
      </c>
      <c r="M453" t="s">
        <v>1000</v>
      </c>
      <c r="N453" t="s">
        <v>1001</v>
      </c>
      <c r="O453" t="s">
        <v>1001</v>
      </c>
      <c r="P453" t="s">
        <v>1110</v>
      </c>
      <c r="Q453" t="s">
        <v>3169</v>
      </c>
      <c r="R453" t="s">
        <v>446</v>
      </c>
      <c r="S453" t="s">
        <v>446</v>
      </c>
      <c r="T453" t="s">
        <v>1965</v>
      </c>
      <c r="U453" t="b">
        <v>0</v>
      </c>
      <c r="V453" t="s">
        <v>446</v>
      </c>
    </row>
    <row r="454" spans="1:22" x14ac:dyDescent="0.25">
      <c r="A454" t="s">
        <v>42</v>
      </c>
      <c r="B454">
        <v>60</v>
      </c>
      <c r="C454" t="s">
        <v>1005</v>
      </c>
      <c r="D454" t="s">
        <v>3553</v>
      </c>
      <c r="E454" t="s">
        <v>982</v>
      </c>
      <c r="F454" t="s">
        <v>3552</v>
      </c>
      <c r="G454" t="s">
        <v>24</v>
      </c>
      <c r="H454" t="s">
        <v>26</v>
      </c>
      <c r="I454" t="s">
        <v>3167</v>
      </c>
      <c r="J454" t="s">
        <v>1003</v>
      </c>
      <c r="K454" t="s">
        <v>3175</v>
      </c>
      <c r="L454" t="s">
        <v>1003</v>
      </c>
      <c r="M454" t="s">
        <v>1000</v>
      </c>
      <c r="N454" t="s">
        <v>1001</v>
      </c>
      <c r="O454" t="s">
        <v>1001</v>
      </c>
      <c r="P454" t="s">
        <v>1110</v>
      </c>
      <c r="Q454" t="s">
        <v>3169</v>
      </c>
      <c r="R454" t="s">
        <v>446</v>
      </c>
      <c r="S454" t="s">
        <v>446</v>
      </c>
      <c r="T454" t="s">
        <v>1965</v>
      </c>
      <c r="U454" t="b">
        <v>0</v>
      </c>
      <c r="V454" t="s">
        <v>446</v>
      </c>
    </row>
    <row r="455" spans="1:22" x14ac:dyDescent="0.25">
      <c r="A455" t="s">
        <v>42</v>
      </c>
      <c r="B455">
        <v>60</v>
      </c>
      <c r="C455" t="s">
        <v>1007</v>
      </c>
      <c r="D455" t="s">
        <v>3554</v>
      </c>
      <c r="E455" t="s">
        <v>1006</v>
      </c>
      <c r="F455" t="s">
        <v>3218</v>
      </c>
      <c r="G455" t="s">
        <v>24</v>
      </c>
      <c r="H455" t="s">
        <v>26</v>
      </c>
      <c r="I455" t="s">
        <v>3167</v>
      </c>
      <c r="J455" t="s">
        <v>1011</v>
      </c>
      <c r="K455" t="s">
        <v>3179</v>
      </c>
      <c r="L455" t="s">
        <v>1011</v>
      </c>
      <c r="M455" t="s">
        <v>1008</v>
      </c>
      <c r="N455" t="s">
        <v>1009</v>
      </c>
      <c r="O455" t="s">
        <v>1009</v>
      </c>
      <c r="P455" t="s">
        <v>1110</v>
      </c>
      <c r="Q455" t="s">
        <v>3169</v>
      </c>
      <c r="R455" t="s">
        <v>446</v>
      </c>
      <c r="S455" t="s">
        <v>446</v>
      </c>
      <c r="T455" t="s">
        <v>1965</v>
      </c>
      <c r="U455" t="b">
        <v>0</v>
      </c>
      <c r="V455" t="s">
        <v>446</v>
      </c>
    </row>
    <row r="456" spans="1:22" x14ac:dyDescent="0.25">
      <c r="A456" t="s">
        <v>42</v>
      </c>
      <c r="B456">
        <v>60</v>
      </c>
      <c r="C456" t="s">
        <v>1014</v>
      </c>
      <c r="D456" t="s">
        <v>3555</v>
      </c>
      <c r="E456" t="s">
        <v>1013</v>
      </c>
      <c r="F456" t="s">
        <v>3218</v>
      </c>
      <c r="G456" t="s">
        <v>24</v>
      </c>
      <c r="H456" t="s">
        <v>26</v>
      </c>
      <c r="I456" t="s">
        <v>3167</v>
      </c>
      <c r="J456" t="s">
        <v>1016</v>
      </c>
      <c r="K456" t="s">
        <v>3181</v>
      </c>
      <c r="L456" t="s">
        <v>1016</v>
      </c>
      <c r="M456" t="s">
        <v>980</v>
      </c>
      <c r="N456" t="s">
        <v>1015</v>
      </c>
      <c r="O456" t="s">
        <v>1015</v>
      </c>
      <c r="P456" t="s">
        <v>1110</v>
      </c>
      <c r="Q456" t="s">
        <v>3169</v>
      </c>
      <c r="R456" t="s">
        <v>446</v>
      </c>
      <c r="S456" t="s">
        <v>446</v>
      </c>
      <c r="T456" t="s">
        <v>1965</v>
      </c>
      <c r="U456" t="b">
        <v>0</v>
      </c>
      <c r="V456" t="s">
        <v>446</v>
      </c>
    </row>
    <row r="457" spans="1:22" x14ac:dyDescent="0.25">
      <c r="A457" t="s">
        <v>42</v>
      </c>
      <c r="B457">
        <v>60</v>
      </c>
      <c r="C457" t="s">
        <v>1019</v>
      </c>
      <c r="D457" t="s">
        <v>3556</v>
      </c>
      <c r="E457" t="s">
        <v>1018</v>
      </c>
      <c r="F457" t="s">
        <v>3218</v>
      </c>
      <c r="G457" t="s">
        <v>24</v>
      </c>
      <c r="H457" t="s">
        <v>26</v>
      </c>
      <c r="I457" t="s">
        <v>3167</v>
      </c>
      <c r="J457" t="s">
        <v>1021</v>
      </c>
      <c r="K457" t="s">
        <v>3183</v>
      </c>
      <c r="L457" t="s">
        <v>1021</v>
      </c>
      <c r="M457" t="s">
        <v>980</v>
      </c>
      <c r="N457" t="s">
        <v>1020</v>
      </c>
      <c r="O457" t="s">
        <v>1020</v>
      </c>
      <c r="P457" t="s">
        <v>1110</v>
      </c>
      <c r="Q457" t="s">
        <v>3169</v>
      </c>
      <c r="R457" t="s">
        <v>446</v>
      </c>
      <c r="S457" t="s">
        <v>446</v>
      </c>
      <c r="T457" t="s">
        <v>1965</v>
      </c>
      <c r="U457" t="b">
        <v>0</v>
      </c>
      <c r="V457" t="s">
        <v>446</v>
      </c>
    </row>
    <row r="458" spans="1:22" x14ac:dyDescent="0.25">
      <c r="A458" t="s">
        <v>42</v>
      </c>
      <c r="B458">
        <v>60</v>
      </c>
      <c r="C458" t="s">
        <v>1024</v>
      </c>
      <c r="D458" t="s">
        <v>3557</v>
      </c>
      <c r="E458" t="s">
        <v>1023</v>
      </c>
      <c r="F458" t="s">
        <v>3218</v>
      </c>
      <c r="G458" t="s">
        <v>24</v>
      </c>
      <c r="H458" t="s">
        <v>26</v>
      </c>
      <c r="I458" t="s">
        <v>3167</v>
      </c>
      <c r="J458" t="s">
        <v>1026</v>
      </c>
      <c r="K458" t="s">
        <v>3185</v>
      </c>
      <c r="L458" t="s">
        <v>1026</v>
      </c>
      <c r="M458" t="s">
        <v>1000</v>
      </c>
      <c r="N458" t="s">
        <v>1025</v>
      </c>
      <c r="O458" t="s">
        <v>1025</v>
      </c>
      <c r="P458" t="s">
        <v>1110</v>
      </c>
      <c r="Q458" t="s">
        <v>3169</v>
      </c>
      <c r="R458" t="s">
        <v>446</v>
      </c>
      <c r="S458" t="s">
        <v>446</v>
      </c>
      <c r="T458" t="s">
        <v>1965</v>
      </c>
      <c r="U458" t="b">
        <v>0</v>
      </c>
      <c r="V458" t="s">
        <v>446</v>
      </c>
    </row>
    <row r="459" spans="1:22" x14ac:dyDescent="0.25">
      <c r="A459" t="s">
        <v>42</v>
      </c>
      <c r="B459">
        <v>60</v>
      </c>
      <c r="C459" t="s">
        <v>1028</v>
      </c>
      <c r="D459" t="s">
        <v>3558</v>
      </c>
      <c r="E459" t="s">
        <v>1010</v>
      </c>
      <c r="F459" t="s">
        <v>3218</v>
      </c>
      <c r="G459" t="s">
        <v>24</v>
      </c>
      <c r="H459" t="s">
        <v>26</v>
      </c>
      <c r="I459" t="s">
        <v>3167</v>
      </c>
      <c r="J459" t="s">
        <v>1026</v>
      </c>
      <c r="K459" t="s">
        <v>3185</v>
      </c>
      <c r="L459" t="s">
        <v>1026</v>
      </c>
      <c r="M459" t="s">
        <v>1000</v>
      </c>
      <c r="N459" t="s">
        <v>1025</v>
      </c>
      <c r="O459" t="s">
        <v>1025</v>
      </c>
      <c r="P459" t="s">
        <v>1110</v>
      </c>
      <c r="Q459" t="s">
        <v>3169</v>
      </c>
      <c r="R459" t="s">
        <v>446</v>
      </c>
      <c r="S459" t="s">
        <v>446</v>
      </c>
      <c r="T459" t="s">
        <v>1965</v>
      </c>
      <c r="U459" t="b">
        <v>0</v>
      </c>
      <c r="V459" t="s">
        <v>446</v>
      </c>
    </row>
    <row r="460" spans="1:22" x14ac:dyDescent="0.25">
      <c r="A460" t="s">
        <v>42</v>
      </c>
      <c r="B460">
        <v>60</v>
      </c>
      <c r="C460" t="s">
        <v>1030</v>
      </c>
      <c r="D460" t="s">
        <v>3559</v>
      </c>
      <c r="E460" t="s">
        <v>1029</v>
      </c>
      <c r="F460" t="s">
        <v>3218</v>
      </c>
      <c r="G460" t="s">
        <v>24</v>
      </c>
      <c r="H460" t="s">
        <v>26</v>
      </c>
      <c r="I460" t="s">
        <v>3167</v>
      </c>
      <c r="J460" t="s">
        <v>1033</v>
      </c>
      <c r="K460" t="s">
        <v>3189</v>
      </c>
      <c r="L460" t="s">
        <v>1033</v>
      </c>
      <c r="M460" t="s">
        <v>980</v>
      </c>
      <c r="N460" t="s">
        <v>1031</v>
      </c>
      <c r="O460" t="s">
        <v>1031</v>
      </c>
      <c r="P460" t="s">
        <v>1110</v>
      </c>
      <c r="Q460" t="s">
        <v>3169</v>
      </c>
      <c r="R460" t="s">
        <v>446</v>
      </c>
      <c r="S460" t="s">
        <v>446</v>
      </c>
      <c r="T460" t="s">
        <v>1965</v>
      </c>
      <c r="U460" t="b">
        <v>0</v>
      </c>
      <c r="V460" t="s">
        <v>446</v>
      </c>
    </row>
    <row r="461" spans="1:22" x14ac:dyDescent="0.25">
      <c r="A461" t="s">
        <v>42</v>
      </c>
      <c r="B461">
        <v>60</v>
      </c>
      <c r="C461" t="s">
        <v>1036</v>
      </c>
      <c r="D461" t="s">
        <v>3560</v>
      </c>
      <c r="E461" t="s">
        <v>1035</v>
      </c>
      <c r="F461" t="s">
        <v>3218</v>
      </c>
      <c r="G461" t="s">
        <v>24</v>
      </c>
      <c r="H461" t="s">
        <v>26</v>
      </c>
      <c r="I461" t="s">
        <v>3167</v>
      </c>
      <c r="J461" t="s">
        <v>1038</v>
      </c>
      <c r="K461" t="s">
        <v>3191</v>
      </c>
      <c r="L461" t="s">
        <v>1038</v>
      </c>
      <c r="M461" t="s">
        <v>980</v>
      </c>
      <c r="N461" t="s">
        <v>1037</v>
      </c>
      <c r="O461" t="s">
        <v>1037</v>
      </c>
      <c r="P461" t="s">
        <v>1110</v>
      </c>
      <c r="Q461" t="s">
        <v>3169</v>
      </c>
      <c r="R461" t="s">
        <v>446</v>
      </c>
      <c r="S461" t="s">
        <v>446</v>
      </c>
      <c r="T461" t="s">
        <v>1965</v>
      </c>
      <c r="U461" t="b">
        <v>0</v>
      </c>
      <c r="V461" t="s">
        <v>446</v>
      </c>
    </row>
    <row r="462" spans="1:22" x14ac:dyDescent="0.25">
      <c r="A462" t="s">
        <v>42</v>
      </c>
      <c r="B462">
        <v>60</v>
      </c>
      <c r="C462" t="s">
        <v>1041</v>
      </c>
      <c r="D462" t="s">
        <v>3561</v>
      </c>
      <c r="E462" t="s">
        <v>1040</v>
      </c>
      <c r="F462" t="s">
        <v>3218</v>
      </c>
      <c r="G462" t="s">
        <v>24</v>
      </c>
      <c r="H462" t="s">
        <v>26</v>
      </c>
      <c r="I462" t="s">
        <v>3167</v>
      </c>
      <c r="J462" t="s">
        <v>1043</v>
      </c>
      <c r="K462" t="s">
        <v>3193</v>
      </c>
      <c r="L462" t="s">
        <v>1043</v>
      </c>
      <c r="M462" t="s">
        <v>980</v>
      </c>
      <c r="N462" t="s">
        <v>1042</v>
      </c>
      <c r="O462" t="s">
        <v>1042</v>
      </c>
      <c r="P462" t="s">
        <v>1110</v>
      </c>
      <c r="Q462" t="s">
        <v>3169</v>
      </c>
      <c r="R462" t="s">
        <v>446</v>
      </c>
      <c r="S462" t="s">
        <v>446</v>
      </c>
      <c r="T462" t="s">
        <v>1965</v>
      </c>
      <c r="U462" t="b">
        <v>0</v>
      </c>
      <c r="V462" t="s">
        <v>446</v>
      </c>
    </row>
    <row r="463" spans="1:22" x14ac:dyDescent="0.25">
      <c r="A463" t="s">
        <v>42</v>
      </c>
      <c r="B463">
        <v>60</v>
      </c>
      <c r="C463" t="s">
        <v>1046</v>
      </c>
      <c r="D463" t="s">
        <v>3562</v>
      </c>
      <c r="E463" t="s">
        <v>1045</v>
      </c>
      <c r="F463" t="s">
        <v>3218</v>
      </c>
      <c r="G463" t="s">
        <v>24</v>
      </c>
      <c r="H463" t="s">
        <v>26</v>
      </c>
      <c r="I463" t="s">
        <v>3167</v>
      </c>
      <c r="J463" t="s">
        <v>1048</v>
      </c>
      <c r="K463" t="s">
        <v>3195</v>
      </c>
      <c r="L463" t="s">
        <v>1048</v>
      </c>
      <c r="M463" t="s">
        <v>1000</v>
      </c>
      <c r="N463" t="s">
        <v>1047</v>
      </c>
      <c r="O463" t="s">
        <v>1047</v>
      </c>
      <c r="P463" t="s">
        <v>1110</v>
      </c>
      <c r="Q463" t="s">
        <v>3169</v>
      </c>
      <c r="R463" t="s">
        <v>446</v>
      </c>
      <c r="S463" t="s">
        <v>446</v>
      </c>
      <c r="T463" t="s">
        <v>1965</v>
      </c>
      <c r="U463" t="b">
        <v>0</v>
      </c>
      <c r="V463" t="s">
        <v>446</v>
      </c>
    </row>
    <row r="464" spans="1:22" x14ac:dyDescent="0.25">
      <c r="A464" t="s">
        <v>42</v>
      </c>
      <c r="B464">
        <v>60</v>
      </c>
      <c r="C464" t="s">
        <v>1050</v>
      </c>
      <c r="D464" t="s">
        <v>3563</v>
      </c>
      <c r="E464" t="s">
        <v>1032</v>
      </c>
      <c r="F464" t="s">
        <v>3218</v>
      </c>
      <c r="G464" t="s">
        <v>24</v>
      </c>
      <c r="H464" t="s">
        <v>26</v>
      </c>
      <c r="I464" t="s">
        <v>3167</v>
      </c>
      <c r="J464" t="s">
        <v>1048</v>
      </c>
      <c r="K464" t="s">
        <v>3195</v>
      </c>
      <c r="L464" t="s">
        <v>1048</v>
      </c>
      <c r="M464" t="s">
        <v>1000</v>
      </c>
      <c r="N464" t="s">
        <v>1047</v>
      </c>
      <c r="O464" t="s">
        <v>1047</v>
      </c>
      <c r="P464" t="s">
        <v>1110</v>
      </c>
      <c r="Q464" t="s">
        <v>3169</v>
      </c>
      <c r="R464" t="s">
        <v>446</v>
      </c>
      <c r="S464" t="s">
        <v>446</v>
      </c>
      <c r="T464" t="s">
        <v>1965</v>
      </c>
      <c r="U464" t="b">
        <v>0</v>
      </c>
      <c r="V464" t="s">
        <v>446</v>
      </c>
    </row>
    <row r="465" spans="1:22" x14ac:dyDescent="0.25">
      <c r="A465" t="s">
        <v>42</v>
      </c>
      <c r="B465">
        <v>60</v>
      </c>
      <c r="C465" t="s">
        <v>1052</v>
      </c>
      <c r="D465" t="s">
        <v>3564</v>
      </c>
      <c r="E465" t="s">
        <v>1051</v>
      </c>
      <c r="F465" t="s">
        <v>3218</v>
      </c>
      <c r="G465" t="s">
        <v>24</v>
      </c>
      <c r="H465" t="s">
        <v>26</v>
      </c>
      <c r="I465" t="s">
        <v>3167</v>
      </c>
      <c r="J465" t="s">
        <v>1055</v>
      </c>
      <c r="K465" t="s">
        <v>3199</v>
      </c>
      <c r="L465" t="s">
        <v>1055</v>
      </c>
      <c r="M465" t="s">
        <v>980</v>
      </c>
      <c r="N465" t="s">
        <v>1053</v>
      </c>
      <c r="O465" t="s">
        <v>1053</v>
      </c>
      <c r="P465" t="s">
        <v>1110</v>
      </c>
      <c r="Q465" t="s">
        <v>3169</v>
      </c>
      <c r="R465" t="s">
        <v>446</v>
      </c>
      <c r="S465" t="s">
        <v>446</v>
      </c>
      <c r="T465" t="s">
        <v>1965</v>
      </c>
      <c r="U465" t="b">
        <v>0</v>
      </c>
      <c r="V465" t="s">
        <v>446</v>
      </c>
    </row>
    <row r="466" spans="1:22" x14ac:dyDescent="0.25">
      <c r="A466" t="s">
        <v>42</v>
      </c>
      <c r="B466">
        <v>61</v>
      </c>
      <c r="C466" t="s">
        <v>979</v>
      </c>
      <c r="D466" t="s">
        <v>3565</v>
      </c>
      <c r="E466" t="s">
        <v>978</v>
      </c>
      <c r="F466" t="s">
        <v>3517</v>
      </c>
      <c r="G466" t="s">
        <v>24</v>
      </c>
      <c r="H466" t="s">
        <v>26</v>
      </c>
      <c r="I466" t="s">
        <v>3167</v>
      </c>
      <c r="J466" t="s">
        <v>984</v>
      </c>
      <c r="K466" t="s">
        <v>3168</v>
      </c>
      <c r="L466" t="s">
        <v>984</v>
      </c>
      <c r="M466" t="s">
        <v>980</v>
      </c>
      <c r="N466" t="s">
        <v>981</v>
      </c>
      <c r="O466" t="s">
        <v>981</v>
      </c>
      <c r="P466" t="s">
        <v>1110</v>
      </c>
      <c r="Q466" t="s">
        <v>3169</v>
      </c>
      <c r="R466" t="s">
        <v>446</v>
      </c>
      <c r="S466" t="s">
        <v>446</v>
      </c>
      <c r="T466" t="s">
        <v>1965</v>
      </c>
      <c r="U466" t="b">
        <v>0</v>
      </c>
      <c r="V466" t="s">
        <v>446</v>
      </c>
    </row>
    <row r="467" spans="1:22" x14ac:dyDescent="0.25">
      <c r="A467" t="s">
        <v>42</v>
      </c>
      <c r="B467">
        <v>61</v>
      </c>
      <c r="C467" t="s">
        <v>987</v>
      </c>
      <c r="D467" t="s">
        <v>3566</v>
      </c>
      <c r="E467" t="s">
        <v>986</v>
      </c>
      <c r="F467" t="s">
        <v>3519</v>
      </c>
      <c r="G467" t="s">
        <v>24</v>
      </c>
      <c r="H467" t="s">
        <v>26</v>
      </c>
      <c r="I467" t="s">
        <v>3167</v>
      </c>
      <c r="J467" t="s">
        <v>990</v>
      </c>
      <c r="K467" t="s">
        <v>3171</v>
      </c>
      <c r="L467" t="s">
        <v>990</v>
      </c>
      <c r="M467" t="s">
        <v>980</v>
      </c>
      <c r="N467" t="s">
        <v>988</v>
      </c>
      <c r="O467" t="s">
        <v>988</v>
      </c>
      <c r="P467" t="s">
        <v>1110</v>
      </c>
      <c r="Q467" t="s">
        <v>3169</v>
      </c>
      <c r="R467" t="s">
        <v>446</v>
      </c>
      <c r="S467" t="s">
        <v>446</v>
      </c>
      <c r="T467" t="s">
        <v>1965</v>
      </c>
      <c r="U467" t="b">
        <v>0</v>
      </c>
      <c r="V467" t="s">
        <v>446</v>
      </c>
    </row>
    <row r="468" spans="1:22" x14ac:dyDescent="0.25">
      <c r="A468" t="s">
        <v>42</v>
      </c>
      <c r="B468">
        <v>61</v>
      </c>
      <c r="C468" t="s">
        <v>993</v>
      </c>
      <c r="D468" t="s">
        <v>3567</v>
      </c>
      <c r="E468" t="s">
        <v>992</v>
      </c>
      <c r="F468" t="s">
        <v>3521</v>
      </c>
      <c r="G468" t="s">
        <v>24</v>
      </c>
      <c r="H468" t="s">
        <v>26</v>
      </c>
      <c r="I468" t="s">
        <v>3167</v>
      </c>
      <c r="J468" t="s">
        <v>996</v>
      </c>
      <c r="K468" t="s">
        <v>3173</v>
      </c>
      <c r="L468" t="s">
        <v>996</v>
      </c>
      <c r="M468" t="s">
        <v>980</v>
      </c>
      <c r="N468" t="s">
        <v>994</v>
      </c>
      <c r="O468" t="s">
        <v>994</v>
      </c>
      <c r="P468" t="s">
        <v>1110</v>
      </c>
      <c r="Q468" t="s">
        <v>3169</v>
      </c>
      <c r="R468" t="s">
        <v>446</v>
      </c>
      <c r="S468" t="s">
        <v>446</v>
      </c>
      <c r="T468" t="s">
        <v>1965</v>
      </c>
      <c r="U468" t="b">
        <v>0</v>
      </c>
      <c r="V468" t="s">
        <v>446</v>
      </c>
    </row>
    <row r="469" spans="1:22" x14ac:dyDescent="0.25">
      <c r="A469" t="s">
        <v>42</v>
      </c>
      <c r="B469">
        <v>61</v>
      </c>
      <c r="C469" t="s">
        <v>999</v>
      </c>
      <c r="D469" t="s">
        <v>3568</v>
      </c>
      <c r="E469" t="s">
        <v>998</v>
      </c>
      <c r="F469" t="s">
        <v>3569</v>
      </c>
      <c r="G469" t="s">
        <v>24</v>
      </c>
      <c r="H469" t="s">
        <v>26</v>
      </c>
      <c r="I469" t="s">
        <v>3167</v>
      </c>
      <c r="J469" t="s">
        <v>1003</v>
      </c>
      <c r="K469" t="s">
        <v>3175</v>
      </c>
      <c r="L469" t="s">
        <v>1003</v>
      </c>
      <c r="M469" t="s">
        <v>1000</v>
      </c>
      <c r="N469" t="s">
        <v>1001</v>
      </c>
      <c r="O469" t="s">
        <v>1001</v>
      </c>
      <c r="P469" t="s">
        <v>1110</v>
      </c>
      <c r="Q469" t="s">
        <v>3169</v>
      </c>
      <c r="R469" t="s">
        <v>446</v>
      </c>
      <c r="S469" t="s">
        <v>446</v>
      </c>
      <c r="T469" t="s">
        <v>1965</v>
      </c>
      <c r="U469" t="b">
        <v>0</v>
      </c>
      <c r="V469" t="s">
        <v>446</v>
      </c>
    </row>
    <row r="470" spans="1:22" x14ac:dyDescent="0.25">
      <c r="A470" t="s">
        <v>42</v>
      </c>
      <c r="B470">
        <v>61</v>
      </c>
      <c r="C470" t="s">
        <v>1005</v>
      </c>
      <c r="D470" t="s">
        <v>3570</v>
      </c>
      <c r="E470" t="s">
        <v>982</v>
      </c>
      <c r="F470" t="s">
        <v>3571</v>
      </c>
      <c r="G470" t="s">
        <v>24</v>
      </c>
      <c r="H470" t="s">
        <v>26</v>
      </c>
      <c r="I470" t="s">
        <v>3167</v>
      </c>
      <c r="J470" t="s">
        <v>1003</v>
      </c>
      <c r="K470" t="s">
        <v>3175</v>
      </c>
      <c r="L470" t="s">
        <v>1003</v>
      </c>
      <c r="M470" t="s">
        <v>1000</v>
      </c>
      <c r="N470" t="s">
        <v>1001</v>
      </c>
      <c r="O470" t="s">
        <v>1001</v>
      </c>
      <c r="P470" t="s">
        <v>1110</v>
      </c>
      <c r="Q470" t="s">
        <v>3169</v>
      </c>
      <c r="R470" t="s">
        <v>446</v>
      </c>
      <c r="S470" t="s">
        <v>446</v>
      </c>
      <c r="T470" t="s">
        <v>1965</v>
      </c>
      <c r="U470" t="b">
        <v>0</v>
      </c>
      <c r="V470" t="s">
        <v>446</v>
      </c>
    </row>
    <row r="471" spans="1:22" x14ac:dyDescent="0.25">
      <c r="A471" t="s">
        <v>42</v>
      </c>
      <c r="B471">
        <v>61</v>
      </c>
      <c r="C471" t="s">
        <v>1007</v>
      </c>
      <c r="D471" t="s">
        <v>3572</v>
      </c>
      <c r="E471" t="s">
        <v>1006</v>
      </c>
      <c r="F471" t="s">
        <v>3527</v>
      </c>
      <c r="G471" t="s">
        <v>24</v>
      </c>
      <c r="H471" t="s">
        <v>26</v>
      </c>
      <c r="I471" t="s">
        <v>3167</v>
      </c>
      <c r="J471" t="s">
        <v>1011</v>
      </c>
      <c r="K471" t="s">
        <v>3179</v>
      </c>
      <c r="L471" t="s">
        <v>1011</v>
      </c>
      <c r="M471" t="s">
        <v>1008</v>
      </c>
      <c r="N471" t="s">
        <v>1009</v>
      </c>
      <c r="O471" t="s">
        <v>1009</v>
      </c>
      <c r="P471" t="s">
        <v>1110</v>
      </c>
      <c r="Q471" t="s">
        <v>3169</v>
      </c>
      <c r="R471" t="s">
        <v>446</v>
      </c>
      <c r="S471" t="s">
        <v>446</v>
      </c>
      <c r="T471" t="s">
        <v>1965</v>
      </c>
      <c r="U471" t="b">
        <v>0</v>
      </c>
      <c r="V471" t="s">
        <v>446</v>
      </c>
    </row>
    <row r="472" spans="1:22" x14ac:dyDescent="0.25">
      <c r="A472" t="s">
        <v>42</v>
      </c>
      <c r="B472">
        <v>61</v>
      </c>
      <c r="C472" t="s">
        <v>1014</v>
      </c>
      <c r="D472" t="s">
        <v>3573</v>
      </c>
      <c r="E472" t="s">
        <v>1013</v>
      </c>
      <c r="F472" t="s">
        <v>3529</v>
      </c>
      <c r="G472" t="s">
        <v>24</v>
      </c>
      <c r="H472" t="s">
        <v>26</v>
      </c>
      <c r="I472" t="s">
        <v>3167</v>
      </c>
      <c r="J472" t="s">
        <v>1016</v>
      </c>
      <c r="K472" t="s">
        <v>3181</v>
      </c>
      <c r="L472" t="s">
        <v>1016</v>
      </c>
      <c r="M472" t="s">
        <v>980</v>
      </c>
      <c r="N472" t="s">
        <v>1015</v>
      </c>
      <c r="O472" t="s">
        <v>1015</v>
      </c>
      <c r="P472" t="s">
        <v>1110</v>
      </c>
      <c r="Q472" t="s">
        <v>3169</v>
      </c>
      <c r="R472" t="s">
        <v>446</v>
      </c>
      <c r="S472" t="s">
        <v>446</v>
      </c>
      <c r="T472" t="s">
        <v>1965</v>
      </c>
      <c r="U472" t="b">
        <v>0</v>
      </c>
      <c r="V472" t="s">
        <v>446</v>
      </c>
    </row>
    <row r="473" spans="1:22" x14ac:dyDescent="0.25">
      <c r="A473" t="s">
        <v>42</v>
      </c>
      <c r="B473">
        <v>61</v>
      </c>
      <c r="C473" t="s">
        <v>1019</v>
      </c>
      <c r="D473" t="s">
        <v>3574</v>
      </c>
      <c r="E473" t="s">
        <v>1018</v>
      </c>
      <c r="F473" t="s">
        <v>3531</v>
      </c>
      <c r="G473" t="s">
        <v>24</v>
      </c>
      <c r="H473" t="s">
        <v>26</v>
      </c>
      <c r="I473" t="s">
        <v>3167</v>
      </c>
      <c r="J473" t="s">
        <v>1021</v>
      </c>
      <c r="K473" t="s">
        <v>3183</v>
      </c>
      <c r="L473" t="s">
        <v>1021</v>
      </c>
      <c r="M473" t="s">
        <v>980</v>
      </c>
      <c r="N473" t="s">
        <v>1020</v>
      </c>
      <c r="O473" t="s">
        <v>1020</v>
      </c>
      <c r="P473" t="s">
        <v>1110</v>
      </c>
      <c r="Q473" t="s">
        <v>3169</v>
      </c>
      <c r="R473" t="s">
        <v>446</v>
      </c>
      <c r="S473" t="s">
        <v>446</v>
      </c>
      <c r="T473" t="s">
        <v>1965</v>
      </c>
      <c r="U473" t="b">
        <v>0</v>
      </c>
      <c r="V473" t="s">
        <v>446</v>
      </c>
    </row>
    <row r="474" spans="1:22" x14ac:dyDescent="0.25">
      <c r="A474" t="s">
        <v>42</v>
      </c>
      <c r="B474">
        <v>61</v>
      </c>
      <c r="C474" t="s">
        <v>1024</v>
      </c>
      <c r="D474" t="s">
        <v>3575</v>
      </c>
      <c r="E474" t="s">
        <v>1023</v>
      </c>
      <c r="F474" t="s">
        <v>3533</v>
      </c>
      <c r="G474" t="s">
        <v>24</v>
      </c>
      <c r="H474" t="s">
        <v>26</v>
      </c>
      <c r="I474" t="s">
        <v>3167</v>
      </c>
      <c r="J474" t="s">
        <v>1026</v>
      </c>
      <c r="K474" t="s">
        <v>3185</v>
      </c>
      <c r="L474" t="s">
        <v>1026</v>
      </c>
      <c r="M474" t="s">
        <v>1000</v>
      </c>
      <c r="N474" t="s">
        <v>1025</v>
      </c>
      <c r="O474" t="s">
        <v>1025</v>
      </c>
      <c r="P474" t="s">
        <v>1110</v>
      </c>
      <c r="Q474" t="s">
        <v>3169</v>
      </c>
      <c r="R474" t="s">
        <v>446</v>
      </c>
      <c r="S474" t="s">
        <v>446</v>
      </c>
      <c r="T474" t="s">
        <v>1965</v>
      </c>
      <c r="U474" t="b">
        <v>0</v>
      </c>
      <c r="V474" t="s">
        <v>446</v>
      </c>
    </row>
    <row r="475" spans="1:22" x14ac:dyDescent="0.25">
      <c r="A475" t="s">
        <v>42</v>
      </c>
      <c r="B475">
        <v>61</v>
      </c>
      <c r="C475" t="s">
        <v>1028</v>
      </c>
      <c r="D475" t="s">
        <v>3576</v>
      </c>
      <c r="E475" t="s">
        <v>1010</v>
      </c>
      <c r="F475" t="s">
        <v>3535</v>
      </c>
      <c r="G475" t="s">
        <v>24</v>
      </c>
      <c r="H475" t="s">
        <v>26</v>
      </c>
      <c r="I475" t="s">
        <v>3167</v>
      </c>
      <c r="J475" t="s">
        <v>1026</v>
      </c>
      <c r="K475" t="s">
        <v>3185</v>
      </c>
      <c r="L475" t="s">
        <v>1026</v>
      </c>
      <c r="M475" t="s">
        <v>1000</v>
      </c>
      <c r="N475" t="s">
        <v>1025</v>
      </c>
      <c r="O475" t="s">
        <v>1025</v>
      </c>
      <c r="P475" t="s">
        <v>1110</v>
      </c>
      <c r="Q475" t="s">
        <v>3169</v>
      </c>
      <c r="R475" t="s">
        <v>446</v>
      </c>
      <c r="S475" t="s">
        <v>446</v>
      </c>
      <c r="T475" t="s">
        <v>1965</v>
      </c>
      <c r="U475" t="b">
        <v>0</v>
      </c>
      <c r="V475" t="s">
        <v>446</v>
      </c>
    </row>
    <row r="476" spans="1:22" x14ac:dyDescent="0.25">
      <c r="A476" t="s">
        <v>42</v>
      </c>
      <c r="B476">
        <v>61</v>
      </c>
      <c r="C476" t="s">
        <v>1030</v>
      </c>
      <c r="D476" t="s">
        <v>3577</v>
      </c>
      <c r="E476" t="s">
        <v>1029</v>
      </c>
      <c r="F476" t="s">
        <v>3537</v>
      </c>
      <c r="G476" t="s">
        <v>24</v>
      </c>
      <c r="H476" t="s">
        <v>26</v>
      </c>
      <c r="I476" t="s">
        <v>3167</v>
      </c>
      <c r="J476" t="s">
        <v>1033</v>
      </c>
      <c r="K476" t="s">
        <v>3189</v>
      </c>
      <c r="L476" t="s">
        <v>1033</v>
      </c>
      <c r="M476" t="s">
        <v>980</v>
      </c>
      <c r="N476" t="s">
        <v>1031</v>
      </c>
      <c r="O476" t="s">
        <v>1031</v>
      </c>
      <c r="P476" t="s">
        <v>1110</v>
      </c>
      <c r="Q476" t="s">
        <v>3169</v>
      </c>
      <c r="R476" t="s">
        <v>446</v>
      </c>
      <c r="S476" t="s">
        <v>446</v>
      </c>
      <c r="T476" t="s">
        <v>1965</v>
      </c>
      <c r="U476" t="b">
        <v>0</v>
      </c>
      <c r="V476" t="s">
        <v>446</v>
      </c>
    </row>
    <row r="477" spans="1:22" x14ac:dyDescent="0.25">
      <c r="A477" t="s">
        <v>42</v>
      </c>
      <c r="B477">
        <v>61</v>
      </c>
      <c r="C477" t="s">
        <v>1036</v>
      </c>
      <c r="D477" t="s">
        <v>3578</v>
      </c>
      <c r="E477" t="s">
        <v>1035</v>
      </c>
      <c r="F477" t="s">
        <v>3539</v>
      </c>
      <c r="G477" t="s">
        <v>24</v>
      </c>
      <c r="H477" t="s">
        <v>26</v>
      </c>
      <c r="I477" t="s">
        <v>3167</v>
      </c>
      <c r="J477" t="s">
        <v>1038</v>
      </c>
      <c r="K477" t="s">
        <v>3191</v>
      </c>
      <c r="L477" t="s">
        <v>1038</v>
      </c>
      <c r="M477" t="s">
        <v>980</v>
      </c>
      <c r="N477" t="s">
        <v>1037</v>
      </c>
      <c r="O477" t="s">
        <v>1037</v>
      </c>
      <c r="P477" t="s">
        <v>1110</v>
      </c>
      <c r="Q477" t="s">
        <v>3169</v>
      </c>
      <c r="R477" t="s">
        <v>446</v>
      </c>
      <c r="S477" t="s">
        <v>446</v>
      </c>
      <c r="T477" t="s">
        <v>1965</v>
      </c>
      <c r="U477" t="b">
        <v>0</v>
      </c>
      <c r="V477" t="s">
        <v>446</v>
      </c>
    </row>
    <row r="478" spans="1:22" x14ac:dyDescent="0.25">
      <c r="A478" t="s">
        <v>42</v>
      </c>
      <c r="B478">
        <v>61</v>
      </c>
      <c r="C478" t="s">
        <v>1041</v>
      </c>
      <c r="D478" t="s">
        <v>3579</v>
      </c>
      <c r="E478" t="s">
        <v>1040</v>
      </c>
      <c r="F478" t="s">
        <v>3541</v>
      </c>
      <c r="G478" t="s">
        <v>24</v>
      </c>
      <c r="H478" t="s">
        <v>26</v>
      </c>
      <c r="I478" t="s">
        <v>3167</v>
      </c>
      <c r="J478" t="s">
        <v>1043</v>
      </c>
      <c r="K478" t="s">
        <v>3193</v>
      </c>
      <c r="L478" t="s">
        <v>1043</v>
      </c>
      <c r="M478" t="s">
        <v>980</v>
      </c>
      <c r="N478" t="s">
        <v>1042</v>
      </c>
      <c r="O478" t="s">
        <v>1042</v>
      </c>
      <c r="P478" t="s">
        <v>1110</v>
      </c>
      <c r="Q478" t="s">
        <v>3169</v>
      </c>
      <c r="R478" t="s">
        <v>446</v>
      </c>
      <c r="S478" t="s">
        <v>446</v>
      </c>
      <c r="T478" t="s">
        <v>1965</v>
      </c>
      <c r="U478" t="b">
        <v>0</v>
      </c>
      <c r="V478" t="s">
        <v>446</v>
      </c>
    </row>
    <row r="479" spans="1:22" x14ac:dyDescent="0.25">
      <c r="A479" t="s">
        <v>42</v>
      </c>
      <c r="B479">
        <v>61</v>
      </c>
      <c r="C479" t="s">
        <v>1046</v>
      </c>
      <c r="D479" t="s">
        <v>3580</v>
      </c>
      <c r="E479" t="s">
        <v>1045</v>
      </c>
      <c r="F479" t="s">
        <v>3543</v>
      </c>
      <c r="G479" t="s">
        <v>24</v>
      </c>
      <c r="H479" t="s">
        <v>26</v>
      </c>
      <c r="I479" t="s">
        <v>3167</v>
      </c>
      <c r="J479" t="s">
        <v>1048</v>
      </c>
      <c r="K479" t="s">
        <v>3195</v>
      </c>
      <c r="L479" t="s">
        <v>1048</v>
      </c>
      <c r="M479" t="s">
        <v>1000</v>
      </c>
      <c r="N479" t="s">
        <v>1047</v>
      </c>
      <c r="O479" t="s">
        <v>1047</v>
      </c>
      <c r="P479" t="s">
        <v>1110</v>
      </c>
      <c r="Q479" t="s">
        <v>3169</v>
      </c>
      <c r="R479" t="s">
        <v>446</v>
      </c>
      <c r="S479" t="s">
        <v>446</v>
      </c>
      <c r="T479" t="s">
        <v>1965</v>
      </c>
      <c r="U479" t="b">
        <v>0</v>
      </c>
      <c r="V479" t="s">
        <v>446</v>
      </c>
    </row>
    <row r="480" spans="1:22" x14ac:dyDescent="0.25">
      <c r="A480" t="s">
        <v>42</v>
      </c>
      <c r="B480">
        <v>61</v>
      </c>
      <c r="C480" t="s">
        <v>1050</v>
      </c>
      <c r="D480" t="s">
        <v>3581</v>
      </c>
      <c r="E480" t="s">
        <v>1032</v>
      </c>
      <c r="F480" t="s">
        <v>3545</v>
      </c>
      <c r="G480" t="s">
        <v>24</v>
      </c>
      <c r="H480" t="s">
        <v>26</v>
      </c>
      <c r="I480" t="s">
        <v>3167</v>
      </c>
      <c r="J480" t="s">
        <v>1048</v>
      </c>
      <c r="K480" t="s">
        <v>3195</v>
      </c>
      <c r="L480" t="s">
        <v>1048</v>
      </c>
      <c r="M480" t="s">
        <v>1000</v>
      </c>
      <c r="N480" t="s">
        <v>1047</v>
      </c>
      <c r="O480" t="s">
        <v>1047</v>
      </c>
      <c r="P480" t="s">
        <v>1110</v>
      </c>
      <c r="Q480" t="s">
        <v>3169</v>
      </c>
      <c r="R480" t="s">
        <v>446</v>
      </c>
      <c r="S480" t="s">
        <v>446</v>
      </c>
      <c r="T480" t="s">
        <v>1965</v>
      </c>
      <c r="U480" t="b">
        <v>0</v>
      </c>
      <c r="V480" t="s">
        <v>446</v>
      </c>
    </row>
    <row r="481" spans="1:22" x14ac:dyDescent="0.25">
      <c r="A481" t="s">
        <v>42</v>
      </c>
      <c r="B481">
        <v>61</v>
      </c>
      <c r="C481" t="s">
        <v>1052</v>
      </c>
      <c r="D481" t="s">
        <v>3582</v>
      </c>
      <c r="E481" t="s">
        <v>1051</v>
      </c>
      <c r="F481" t="s">
        <v>3547</v>
      </c>
      <c r="G481" t="s">
        <v>24</v>
      </c>
      <c r="H481" t="s">
        <v>26</v>
      </c>
      <c r="I481" t="s">
        <v>3167</v>
      </c>
      <c r="J481" t="s">
        <v>1055</v>
      </c>
      <c r="K481" t="s">
        <v>3199</v>
      </c>
      <c r="L481" t="s">
        <v>1055</v>
      </c>
      <c r="M481" t="s">
        <v>980</v>
      </c>
      <c r="N481" t="s">
        <v>1053</v>
      </c>
      <c r="O481" t="s">
        <v>1053</v>
      </c>
      <c r="P481" t="s">
        <v>1110</v>
      </c>
      <c r="Q481" t="s">
        <v>3169</v>
      </c>
      <c r="R481" t="s">
        <v>446</v>
      </c>
      <c r="S481" t="s">
        <v>446</v>
      </c>
      <c r="T481" t="s">
        <v>1965</v>
      </c>
      <c r="U481" t="b">
        <v>0</v>
      </c>
      <c r="V481" t="s">
        <v>446</v>
      </c>
    </row>
    <row r="482" spans="1:22" x14ac:dyDescent="0.25">
      <c r="A482" t="s">
        <v>42</v>
      </c>
      <c r="B482">
        <v>63</v>
      </c>
      <c r="C482" t="s">
        <v>979</v>
      </c>
      <c r="D482" t="s">
        <v>3583</v>
      </c>
      <c r="E482" t="s">
        <v>978</v>
      </c>
      <c r="F482" t="s">
        <v>3218</v>
      </c>
      <c r="G482" t="s">
        <v>24</v>
      </c>
      <c r="H482" t="s">
        <v>26</v>
      </c>
      <c r="I482" t="s">
        <v>3167</v>
      </c>
      <c r="J482" t="s">
        <v>984</v>
      </c>
      <c r="K482" t="s">
        <v>3168</v>
      </c>
      <c r="L482" t="s">
        <v>984</v>
      </c>
      <c r="M482" t="s">
        <v>980</v>
      </c>
      <c r="N482" t="s">
        <v>981</v>
      </c>
      <c r="O482" t="s">
        <v>981</v>
      </c>
      <c r="P482" t="s">
        <v>1110</v>
      </c>
      <c r="Q482" t="s">
        <v>3169</v>
      </c>
      <c r="R482" t="s">
        <v>446</v>
      </c>
      <c r="S482" t="s">
        <v>446</v>
      </c>
      <c r="T482" t="s">
        <v>1965</v>
      </c>
      <c r="U482" t="b">
        <v>0</v>
      </c>
      <c r="V482" t="s">
        <v>446</v>
      </c>
    </row>
    <row r="483" spans="1:22" x14ac:dyDescent="0.25">
      <c r="A483" t="s">
        <v>42</v>
      </c>
      <c r="B483">
        <v>63</v>
      </c>
      <c r="C483" t="s">
        <v>987</v>
      </c>
      <c r="D483" t="s">
        <v>3584</v>
      </c>
      <c r="E483" t="s">
        <v>986</v>
      </c>
      <c r="F483" t="s">
        <v>3218</v>
      </c>
      <c r="G483" t="s">
        <v>24</v>
      </c>
      <c r="H483" t="s">
        <v>26</v>
      </c>
      <c r="I483" t="s">
        <v>3167</v>
      </c>
      <c r="J483" t="s">
        <v>990</v>
      </c>
      <c r="K483" t="s">
        <v>3171</v>
      </c>
      <c r="L483" t="s">
        <v>990</v>
      </c>
      <c r="M483" t="s">
        <v>980</v>
      </c>
      <c r="N483" t="s">
        <v>988</v>
      </c>
      <c r="O483" t="s">
        <v>988</v>
      </c>
      <c r="P483" t="s">
        <v>1110</v>
      </c>
      <c r="Q483" t="s">
        <v>3169</v>
      </c>
      <c r="R483" t="s">
        <v>446</v>
      </c>
      <c r="S483" t="s">
        <v>446</v>
      </c>
      <c r="T483" t="s">
        <v>1965</v>
      </c>
      <c r="U483" t="b">
        <v>0</v>
      </c>
      <c r="V483" t="s">
        <v>446</v>
      </c>
    </row>
    <row r="484" spans="1:22" x14ac:dyDescent="0.25">
      <c r="A484" t="s">
        <v>42</v>
      </c>
      <c r="B484">
        <v>63</v>
      </c>
      <c r="C484" t="s">
        <v>993</v>
      </c>
      <c r="D484" t="s">
        <v>3585</v>
      </c>
      <c r="E484" t="s">
        <v>992</v>
      </c>
      <c r="F484" t="s">
        <v>3218</v>
      </c>
      <c r="G484" t="s">
        <v>24</v>
      </c>
      <c r="H484" t="s">
        <v>26</v>
      </c>
      <c r="I484" t="s">
        <v>3167</v>
      </c>
      <c r="J484" t="s">
        <v>996</v>
      </c>
      <c r="K484" t="s">
        <v>3173</v>
      </c>
      <c r="L484" t="s">
        <v>996</v>
      </c>
      <c r="M484" t="s">
        <v>980</v>
      </c>
      <c r="N484" t="s">
        <v>994</v>
      </c>
      <c r="O484" t="s">
        <v>994</v>
      </c>
      <c r="P484" t="s">
        <v>1110</v>
      </c>
      <c r="Q484" t="s">
        <v>3169</v>
      </c>
      <c r="R484" t="s">
        <v>446</v>
      </c>
      <c r="S484" t="s">
        <v>446</v>
      </c>
      <c r="T484" t="s">
        <v>1965</v>
      </c>
      <c r="U484" t="b">
        <v>0</v>
      </c>
      <c r="V484" t="s">
        <v>446</v>
      </c>
    </row>
    <row r="485" spans="1:22" x14ac:dyDescent="0.25">
      <c r="A485" t="s">
        <v>42</v>
      </c>
      <c r="B485">
        <v>63</v>
      </c>
      <c r="C485" t="s">
        <v>999</v>
      </c>
      <c r="D485" t="s">
        <v>3586</v>
      </c>
      <c r="E485" t="s">
        <v>998</v>
      </c>
      <c r="F485" t="s">
        <v>3218</v>
      </c>
      <c r="G485" t="s">
        <v>24</v>
      </c>
      <c r="H485" t="s">
        <v>26</v>
      </c>
      <c r="I485" t="s">
        <v>3167</v>
      </c>
      <c r="J485" t="s">
        <v>1003</v>
      </c>
      <c r="K485" t="s">
        <v>3175</v>
      </c>
      <c r="L485" t="s">
        <v>1003</v>
      </c>
      <c r="M485" t="s">
        <v>1000</v>
      </c>
      <c r="N485" t="s">
        <v>1001</v>
      </c>
      <c r="O485" t="s">
        <v>1001</v>
      </c>
      <c r="P485" t="s">
        <v>1110</v>
      </c>
      <c r="Q485" t="s">
        <v>3169</v>
      </c>
      <c r="R485" t="s">
        <v>446</v>
      </c>
      <c r="S485" t="s">
        <v>446</v>
      </c>
      <c r="T485" t="s">
        <v>1965</v>
      </c>
      <c r="U485" t="b">
        <v>0</v>
      </c>
      <c r="V485" t="s">
        <v>446</v>
      </c>
    </row>
    <row r="486" spans="1:22" x14ac:dyDescent="0.25">
      <c r="A486" t="s">
        <v>42</v>
      </c>
      <c r="B486">
        <v>63</v>
      </c>
      <c r="C486" t="s">
        <v>1005</v>
      </c>
      <c r="D486" t="s">
        <v>3587</v>
      </c>
      <c r="E486" t="s">
        <v>982</v>
      </c>
      <c r="F486" t="s">
        <v>3166</v>
      </c>
      <c r="G486" t="s">
        <v>24</v>
      </c>
      <c r="H486" t="s">
        <v>26</v>
      </c>
      <c r="I486" t="s">
        <v>3167</v>
      </c>
      <c r="J486" t="s">
        <v>1003</v>
      </c>
      <c r="K486" t="s">
        <v>3175</v>
      </c>
      <c r="L486" t="s">
        <v>1003</v>
      </c>
      <c r="M486" t="s">
        <v>1000</v>
      </c>
      <c r="N486" t="s">
        <v>1001</v>
      </c>
      <c r="O486" t="s">
        <v>1001</v>
      </c>
      <c r="P486" t="s">
        <v>1110</v>
      </c>
      <c r="Q486" t="s">
        <v>3169</v>
      </c>
      <c r="R486" t="s">
        <v>446</v>
      </c>
      <c r="S486" t="s">
        <v>446</v>
      </c>
      <c r="T486" t="s">
        <v>1965</v>
      </c>
      <c r="U486" t="b">
        <v>0</v>
      </c>
      <c r="V486" t="s">
        <v>446</v>
      </c>
    </row>
    <row r="487" spans="1:22" x14ac:dyDescent="0.25">
      <c r="A487" t="s">
        <v>42</v>
      </c>
      <c r="B487">
        <v>63</v>
      </c>
      <c r="C487" t="s">
        <v>1007</v>
      </c>
      <c r="D487" t="s">
        <v>3588</v>
      </c>
      <c r="E487" t="s">
        <v>1006</v>
      </c>
      <c r="F487" t="s">
        <v>3218</v>
      </c>
      <c r="G487" t="s">
        <v>24</v>
      </c>
      <c r="H487" t="s">
        <v>26</v>
      </c>
      <c r="I487" t="s">
        <v>3167</v>
      </c>
      <c r="J487" t="s">
        <v>1011</v>
      </c>
      <c r="K487" t="s">
        <v>3179</v>
      </c>
      <c r="L487" t="s">
        <v>1011</v>
      </c>
      <c r="M487" t="s">
        <v>1008</v>
      </c>
      <c r="N487" t="s">
        <v>1009</v>
      </c>
      <c r="O487" t="s">
        <v>1009</v>
      </c>
      <c r="P487" t="s">
        <v>1110</v>
      </c>
      <c r="Q487" t="s">
        <v>3169</v>
      </c>
      <c r="R487" t="s">
        <v>446</v>
      </c>
      <c r="S487" t="s">
        <v>446</v>
      </c>
      <c r="T487" t="s">
        <v>1965</v>
      </c>
      <c r="U487" t="b">
        <v>0</v>
      </c>
      <c r="V487" t="s">
        <v>446</v>
      </c>
    </row>
    <row r="488" spans="1:22" x14ac:dyDescent="0.25">
      <c r="A488" t="s">
        <v>42</v>
      </c>
      <c r="B488">
        <v>63</v>
      </c>
      <c r="C488" t="s">
        <v>1014</v>
      </c>
      <c r="D488" t="s">
        <v>3589</v>
      </c>
      <c r="E488" t="s">
        <v>1013</v>
      </c>
      <c r="F488" t="s">
        <v>3218</v>
      </c>
      <c r="G488" t="s">
        <v>24</v>
      </c>
      <c r="H488" t="s">
        <v>26</v>
      </c>
      <c r="I488" t="s">
        <v>3167</v>
      </c>
      <c r="J488" t="s">
        <v>1016</v>
      </c>
      <c r="K488" t="s">
        <v>3181</v>
      </c>
      <c r="L488" t="s">
        <v>1016</v>
      </c>
      <c r="M488" t="s">
        <v>980</v>
      </c>
      <c r="N488" t="s">
        <v>1015</v>
      </c>
      <c r="O488" t="s">
        <v>1015</v>
      </c>
      <c r="P488" t="s">
        <v>1110</v>
      </c>
      <c r="Q488" t="s">
        <v>3169</v>
      </c>
      <c r="R488" t="s">
        <v>446</v>
      </c>
      <c r="S488" t="s">
        <v>446</v>
      </c>
      <c r="T488" t="s">
        <v>1965</v>
      </c>
      <c r="U488" t="b">
        <v>0</v>
      </c>
      <c r="V488" t="s">
        <v>446</v>
      </c>
    </row>
    <row r="489" spans="1:22" x14ac:dyDescent="0.25">
      <c r="A489" t="s">
        <v>42</v>
      </c>
      <c r="B489">
        <v>63</v>
      </c>
      <c r="C489" t="s">
        <v>1019</v>
      </c>
      <c r="D489" t="s">
        <v>3590</v>
      </c>
      <c r="E489" t="s">
        <v>1018</v>
      </c>
      <c r="F489" t="s">
        <v>3218</v>
      </c>
      <c r="G489" t="s">
        <v>24</v>
      </c>
      <c r="H489" t="s">
        <v>26</v>
      </c>
      <c r="I489" t="s">
        <v>3167</v>
      </c>
      <c r="J489" t="s">
        <v>1021</v>
      </c>
      <c r="K489" t="s">
        <v>3183</v>
      </c>
      <c r="L489" t="s">
        <v>1021</v>
      </c>
      <c r="M489" t="s">
        <v>980</v>
      </c>
      <c r="N489" t="s">
        <v>1020</v>
      </c>
      <c r="O489" t="s">
        <v>1020</v>
      </c>
      <c r="P489" t="s">
        <v>1110</v>
      </c>
      <c r="Q489" t="s">
        <v>3169</v>
      </c>
      <c r="R489" t="s">
        <v>446</v>
      </c>
      <c r="S489" t="s">
        <v>446</v>
      </c>
      <c r="T489" t="s">
        <v>1965</v>
      </c>
      <c r="U489" t="b">
        <v>0</v>
      </c>
      <c r="V489" t="s">
        <v>446</v>
      </c>
    </row>
    <row r="490" spans="1:22" x14ac:dyDescent="0.25">
      <c r="A490" t="s">
        <v>42</v>
      </c>
      <c r="B490">
        <v>63</v>
      </c>
      <c r="C490" t="s">
        <v>1024</v>
      </c>
      <c r="D490" t="s">
        <v>3591</v>
      </c>
      <c r="E490" t="s">
        <v>1023</v>
      </c>
      <c r="F490" t="s">
        <v>3218</v>
      </c>
      <c r="G490" t="s">
        <v>24</v>
      </c>
      <c r="H490" t="s">
        <v>26</v>
      </c>
      <c r="I490" t="s">
        <v>3167</v>
      </c>
      <c r="J490" t="s">
        <v>1026</v>
      </c>
      <c r="K490" t="s">
        <v>3185</v>
      </c>
      <c r="L490" t="s">
        <v>1026</v>
      </c>
      <c r="M490" t="s">
        <v>1000</v>
      </c>
      <c r="N490" t="s">
        <v>1025</v>
      </c>
      <c r="O490" t="s">
        <v>1025</v>
      </c>
      <c r="P490" t="s">
        <v>1110</v>
      </c>
      <c r="Q490" t="s">
        <v>3169</v>
      </c>
      <c r="R490" t="s">
        <v>446</v>
      </c>
      <c r="S490" t="s">
        <v>446</v>
      </c>
      <c r="T490" t="s">
        <v>1965</v>
      </c>
      <c r="U490" t="b">
        <v>0</v>
      </c>
      <c r="V490" t="s">
        <v>446</v>
      </c>
    </row>
    <row r="491" spans="1:22" x14ac:dyDescent="0.25">
      <c r="A491" t="s">
        <v>42</v>
      </c>
      <c r="B491">
        <v>63</v>
      </c>
      <c r="C491" t="s">
        <v>1028</v>
      </c>
      <c r="D491" t="s">
        <v>3592</v>
      </c>
      <c r="E491" t="s">
        <v>1010</v>
      </c>
      <c r="F491" t="s">
        <v>3178</v>
      </c>
      <c r="G491" t="s">
        <v>24</v>
      </c>
      <c r="H491" t="s">
        <v>26</v>
      </c>
      <c r="I491" t="s">
        <v>3167</v>
      </c>
      <c r="J491" t="s">
        <v>1026</v>
      </c>
      <c r="K491" t="s">
        <v>3185</v>
      </c>
      <c r="L491" t="s">
        <v>1026</v>
      </c>
      <c r="M491" t="s">
        <v>1000</v>
      </c>
      <c r="N491" t="s">
        <v>1025</v>
      </c>
      <c r="O491" t="s">
        <v>1025</v>
      </c>
      <c r="P491" t="s">
        <v>1110</v>
      </c>
      <c r="Q491" t="s">
        <v>3169</v>
      </c>
      <c r="R491" t="s">
        <v>446</v>
      </c>
      <c r="S491" t="s">
        <v>446</v>
      </c>
      <c r="T491" t="s">
        <v>1965</v>
      </c>
      <c r="U491" t="b">
        <v>0</v>
      </c>
      <c r="V491" t="s">
        <v>446</v>
      </c>
    </row>
    <row r="492" spans="1:22" x14ac:dyDescent="0.25">
      <c r="A492" t="s">
        <v>42</v>
      </c>
      <c r="B492">
        <v>63</v>
      </c>
      <c r="C492" t="s">
        <v>1030</v>
      </c>
      <c r="D492" t="s">
        <v>3593</v>
      </c>
      <c r="E492" t="s">
        <v>1029</v>
      </c>
      <c r="F492" t="s">
        <v>3218</v>
      </c>
      <c r="G492" t="s">
        <v>24</v>
      </c>
      <c r="H492" t="s">
        <v>26</v>
      </c>
      <c r="I492" t="s">
        <v>3167</v>
      </c>
      <c r="J492" t="s">
        <v>1033</v>
      </c>
      <c r="K492" t="s">
        <v>3189</v>
      </c>
      <c r="L492" t="s">
        <v>1033</v>
      </c>
      <c r="M492" t="s">
        <v>980</v>
      </c>
      <c r="N492" t="s">
        <v>1031</v>
      </c>
      <c r="O492" t="s">
        <v>1031</v>
      </c>
      <c r="P492" t="s">
        <v>1110</v>
      </c>
      <c r="Q492" t="s">
        <v>3169</v>
      </c>
      <c r="R492" t="s">
        <v>446</v>
      </c>
      <c r="S492" t="s">
        <v>446</v>
      </c>
      <c r="T492" t="s">
        <v>1965</v>
      </c>
      <c r="U492" t="b">
        <v>0</v>
      </c>
      <c r="V492" t="s">
        <v>446</v>
      </c>
    </row>
    <row r="493" spans="1:22" x14ac:dyDescent="0.25">
      <c r="A493" t="s">
        <v>42</v>
      </c>
      <c r="B493">
        <v>63</v>
      </c>
      <c r="C493" t="s">
        <v>1036</v>
      </c>
      <c r="D493" t="s">
        <v>3594</v>
      </c>
      <c r="E493" t="s">
        <v>1035</v>
      </c>
      <c r="F493" t="s">
        <v>3218</v>
      </c>
      <c r="G493" t="s">
        <v>24</v>
      </c>
      <c r="H493" t="s">
        <v>26</v>
      </c>
      <c r="I493" t="s">
        <v>3167</v>
      </c>
      <c r="J493" t="s">
        <v>1038</v>
      </c>
      <c r="K493" t="s">
        <v>3191</v>
      </c>
      <c r="L493" t="s">
        <v>1038</v>
      </c>
      <c r="M493" t="s">
        <v>980</v>
      </c>
      <c r="N493" t="s">
        <v>1037</v>
      </c>
      <c r="O493" t="s">
        <v>1037</v>
      </c>
      <c r="P493" t="s">
        <v>1110</v>
      </c>
      <c r="Q493" t="s">
        <v>3169</v>
      </c>
      <c r="R493" t="s">
        <v>446</v>
      </c>
      <c r="S493" t="s">
        <v>446</v>
      </c>
      <c r="T493" t="s">
        <v>1965</v>
      </c>
      <c r="U493" t="b">
        <v>0</v>
      </c>
      <c r="V493" t="s">
        <v>446</v>
      </c>
    </row>
    <row r="494" spans="1:22" x14ac:dyDescent="0.25">
      <c r="A494" t="s">
        <v>42</v>
      </c>
      <c r="B494">
        <v>63</v>
      </c>
      <c r="C494" t="s">
        <v>1041</v>
      </c>
      <c r="D494" t="s">
        <v>3595</v>
      </c>
      <c r="E494" t="s">
        <v>1040</v>
      </c>
      <c r="F494" t="s">
        <v>3218</v>
      </c>
      <c r="G494" t="s">
        <v>24</v>
      </c>
      <c r="H494" t="s">
        <v>26</v>
      </c>
      <c r="I494" t="s">
        <v>3167</v>
      </c>
      <c r="J494" t="s">
        <v>1043</v>
      </c>
      <c r="K494" t="s">
        <v>3193</v>
      </c>
      <c r="L494" t="s">
        <v>1043</v>
      </c>
      <c r="M494" t="s">
        <v>980</v>
      </c>
      <c r="N494" t="s">
        <v>1042</v>
      </c>
      <c r="O494" t="s">
        <v>1042</v>
      </c>
      <c r="P494" t="s">
        <v>1110</v>
      </c>
      <c r="Q494" t="s">
        <v>3169</v>
      </c>
      <c r="R494" t="s">
        <v>446</v>
      </c>
      <c r="S494" t="s">
        <v>446</v>
      </c>
      <c r="T494" t="s">
        <v>1965</v>
      </c>
      <c r="U494" t="b">
        <v>0</v>
      </c>
      <c r="V494" t="s">
        <v>446</v>
      </c>
    </row>
    <row r="495" spans="1:22" x14ac:dyDescent="0.25">
      <c r="A495" t="s">
        <v>42</v>
      </c>
      <c r="B495">
        <v>63</v>
      </c>
      <c r="C495" t="s">
        <v>1046</v>
      </c>
      <c r="D495" t="s">
        <v>3596</v>
      </c>
      <c r="E495" t="s">
        <v>1045</v>
      </c>
      <c r="F495" t="s">
        <v>3218</v>
      </c>
      <c r="G495" t="s">
        <v>24</v>
      </c>
      <c r="H495" t="s">
        <v>26</v>
      </c>
      <c r="I495" t="s">
        <v>3167</v>
      </c>
      <c r="J495" t="s">
        <v>1048</v>
      </c>
      <c r="K495" t="s">
        <v>3195</v>
      </c>
      <c r="L495" t="s">
        <v>1048</v>
      </c>
      <c r="M495" t="s">
        <v>1000</v>
      </c>
      <c r="N495" t="s">
        <v>1047</v>
      </c>
      <c r="O495" t="s">
        <v>1047</v>
      </c>
      <c r="P495" t="s">
        <v>1110</v>
      </c>
      <c r="Q495" t="s">
        <v>3169</v>
      </c>
      <c r="R495" t="s">
        <v>446</v>
      </c>
      <c r="S495" t="s">
        <v>446</v>
      </c>
      <c r="T495" t="s">
        <v>1965</v>
      </c>
      <c r="U495" t="b">
        <v>0</v>
      </c>
      <c r="V495" t="s">
        <v>446</v>
      </c>
    </row>
    <row r="496" spans="1:22" x14ac:dyDescent="0.25">
      <c r="A496" t="s">
        <v>42</v>
      </c>
      <c r="B496">
        <v>63</v>
      </c>
      <c r="C496" t="s">
        <v>1050</v>
      </c>
      <c r="D496" t="s">
        <v>3597</v>
      </c>
      <c r="E496" t="s">
        <v>1032</v>
      </c>
      <c r="F496" t="s">
        <v>3188</v>
      </c>
      <c r="G496" t="s">
        <v>24</v>
      </c>
      <c r="H496" t="s">
        <v>26</v>
      </c>
      <c r="I496" t="s">
        <v>3167</v>
      </c>
      <c r="J496" t="s">
        <v>1048</v>
      </c>
      <c r="K496" t="s">
        <v>3195</v>
      </c>
      <c r="L496" t="s">
        <v>1048</v>
      </c>
      <c r="M496" t="s">
        <v>1000</v>
      </c>
      <c r="N496" t="s">
        <v>1047</v>
      </c>
      <c r="O496" t="s">
        <v>1047</v>
      </c>
      <c r="P496" t="s">
        <v>1110</v>
      </c>
      <c r="Q496" t="s">
        <v>3169</v>
      </c>
      <c r="R496" t="s">
        <v>446</v>
      </c>
      <c r="S496" t="s">
        <v>446</v>
      </c>
      <c r="T496" t="s">
        <v>1965</v>
      </c>
      <c r="U496" t="b">
        <v>0</v>
      </c>
      <c r="V496" t="s">
        <v>446</v>
      </c>
    </row>
    <row r="497" spans="1:22" x14ac:dyDescent="0.25">
      <c r="A497" t="s">
        <v>42</v>
      </c>
      <c r="B497">
        <v>63</v>
      </c>
      <c r="C497" t="s">
        <v>1052</v>
      </c>
      <c r="D497" t="s">
        <v>3598</v>
      </c>
      <c r="E497" t="s">
        <v>1051</v>
      </c>
      <c r="F497" t="s">
        <v>3218</v>
      </c>
      <c r="G497" t="s">
        <v>24</v>
      </c>
      <c r="H497" t="s">
        <v>26</v>
      </c>
      <c r="I497" t="s">
        <v>3167</v>
      </c>
      <c r="J497" t="s">
        <v>1055</v>
      </c>
      <c r="K497" t="s">
        <v>3199</v>
      </c>
      <c r="L497" t="s">
        <v>1055</v>
      </c>
      <c r="M497" t="s">
        <v>980</v>
      </c>
      <c r="N497" t="s">
        <v>1053</v>
      </c>
      <c r="O497" t="s">
        <v>1053</v>
      </c>
      <c r="P497" t="s">
        <v>1110</v>
      </c>
      <c r="Q497" t="s">
        <v>3169</v>
      </c>
      <c r="R497" t="s">
        <v>446</v>
      </c>
      <c r="S497" t="s">
        <v>446</v>
      </c>
      <c r="T497" t="s">
        <v>1965</v>
      </c>
      <c r="U497" t="b">
        <v>0</v>
      </c>
      <c r="V497" t="s">
        <v>446</v>
      </c>
    </row>
    <row r="498" spans="1:22" x14ac:dyDescent="0.25">
      <c r="A498" t="s">
        <v>42</v>
      </c>
      <c r="B498">
        <v>66</v>
      </c>
      <c r="C498" t="s">
        <v>979</v>
      </c>
      <c r="D498" t="s">
        <v>3599</v>
      </c>
      <c r="E498" t="s">
        <v>978</v>
      </c>
      <c r="F498" t="s">
        <v>3600</v>
      </c>
      <c r="G498" t="s">
        <v>24</v>
      </c>
      <c r="H498" t="s">
        <v>26</v>
      </c>
      <c r="I498" t="s">
        <v>3167</v>
      </c>
      <c r="J498" t="s">
        <v>984</v>
      </c>
      <c r="K498" t="s">
        <v>3168</v>
      </c>
      <c r="L498" t="s">
        <v>984</v>
      </c>
      <c r="M498" t="s">
        <v>980</v>
      </c>
      <c r="N498" t="s">
        <v>981</v>
      </c>
      <c r="O498" t="s">
        <v>981</v>
      </c>
      <c r="P498" t="s">
        <v>1110</v>
      </c>
      <c r="Q498" t="s">
        <v>3169</v>
      </c>
      <c r="R498" t="s">
        <v>446</v>
      </c>
      <c r="S498" t="s">
        <v>446</v>
      </c>
      <c r="T498" t="s">
        <v>1965</v>
      </c>
      <c r="U498" t="b">
        <v>0</v>
      </c>
      <c r="V498" t="s">
        <v>446</v>
      </c>
    </row>
    <row r="499" spans="1:22" x14ac:dyDescent="0.25">
      <c r="A499" t="s">
        <v>42</v>
      </c>
      <c r="B499">
        <v>66</v>
      </c>
      <c r="C499" t="s">
        <v>987</v>
      </c>
      <c r="D499" t="s">
        <v>3601</v>
      </c>
      <c r="E499" t="s">
        <v>986</v>
      </c>
      <c r="F499" t="s">
        <v>3602</v>
      </c>
      <c r="G499" t="s">
        <v>24</v>
      </c>
      <c r="H499" t="s">
        <v>26</v>
      </c>
      <c r="I499" t="s">
        <v>3167</v>
      </c>
      <c r="J499" t="s">
        <v>990</v>
      </c>
      <c r="K499" t="s">
        <v>3171</v>
      </c>
      <c r="L499" t="s">
        <v>990</v>
      </c>
      <c r="M499" t="s">
        <v>980</v>
      </c>
      <c r="N499" t="s">
        <v>988</v>
      </c>
      <c r="O499" t="s">
        <v>988</v>
      </c>
      <c r="P499" t="s">
        <v>1110</v>
      </c>
      <c r="Q499" t="s">
        <v>3169</v>
      </c>
      <c r="R499" t="s">
        <v>446</v>
      </c>
      <c r="S499" t="s">
        <v>446</v>
      </c>
      <c r="T499" t="s">
        <v>1965</v>
      </c>
      <c r="U499" t="b">
        <v>0</v>
      </c>
      <c r="V499" t="s">
        <v>446</v>
      </c>
    </row>
    <row r="500" spans="1:22" x14ac:dyDescent="0.25">
      <c r="A500" t="s">
        <v>42</v>
      </c>
      <c r="B500">
        <v>66</v>
      </c>
      <c r="C500" t="s">
        <v>993</v>
      </c>
      <c r="D500" t="s">
        <v>3603</v>
      </c>
      <c r="E500" t="s">
        <v>992</v>
      </c>
      <c r="F500" t="s">
        <v>3604</v>
      </c>
      <c r="G500" t="s">
        <v>24</v>
      </c>
      <c r="H500" t="s">
        <v>26</v>
      </c>
      <c r="I500" t="s">
        <v>3167</v>
      </c>
      <c r="J500" t="s">
        <v>996</v>
      </c>
      <c r="K500" t="s">
        <v>3173</v>
      </c>
      <c r="L500" t="s">
        <v>996</v>
      </c>
      <c r="M500" t="s">
        <v>980</v>
      </c>
      <c r="N500" t="s">
        <v>994</v>
      </c>
      <c r="O500" t="s">
        <v>994</v>
      </c>
      <c r="P500" t="s">
        <v>1110</v>
      </c>
      <c r="Q500" t="s">
        <v>3169</v>
      </c>
      <c r="R500" t="s">
        <v>446</v>
      </c>
      <c r="S500" t="s">
        <v>446</v>
      </c>
      <c r="T500" t="s">
        <v>1965</v>
      </c>
      <c r="U500" t="b">
        <v>0</v>
      </c>
      <c r="V500" t="s">
        <v>446</v>
      </c>
    </row>
    <row r="501" spans="1:22" x14ac:dyDescent="0.25">
      <c r="A501" t="s">
        <v>42</v>
      </c>
      <c r="B501">
        <v>66</v>
      </c>
      <c r="C501" t="s">
        <v>999</v>
      </c>
      <c r="D501" t="s">
        <v>3605</v>
      </c>
      <c r="E501" t="s">
        <v>998</v>
      </c>
      <c r="F501" t="s">
        <v>3606</v>
      </c>
      <c r="G501" t="s">
        <v>24</v>
      </c>
      <c r="H501" t="s">
        <v>26</v>
      </c>
      <c r="I501" t="s">
        <v>3167</v>
      </c>
      <c r="J501" t="s">
        <v>1003</v>
      </c>
      <c r="K501" t="s">
        <v>3175</v>
      </c>
      <c r="L501" t="s">
        <v>1003</v>
      </c>
      <c r="M501" t="s">
        <v>1000</v>
      </c>
      <c r="N501" t="s">
        <v>1001</v>
      </c>
      <c r="O501" t="s">
        <v>1001</v>
      </c>
      <c r="P501" t="s">
        <v>1110</v>
      </c>
      <c r="Q501" t="s">
        <v>3169</v>
      </c>
      <c r="R501" t="s">
        <v>446</v>
      </c>
      <c r="S501" t="s">
        <v>446</v>
      </c>
      <c r="T501" t="s">
        <v>1965</v>
      </c>
      <c r="U501" t="b">
        <v>0</v>
      </c>
      <c r="V501" t="s">
        <v>446</v>
      </c>
    </row>
    <row r="502" spans="1:22" x14ac:dyDescent="0.25">
      <c r="A502" t="s">
        <v>42</v>
      </c>
      <c r="B502">
        <v>66</v>
      </c>
      <c r="C502" t="s">
        <v>1005</v>
      </c>
      <c r="D502" t="s">
        <v>3607</v>
      </c>
      <c r="E502" t="s">
        <v>982</v>
      </c>
      <c r="F502" t="s">
        <v>3608</v>
      </c>
      <c r="G502" t="s">
        <v>24</v>
      </c>
      <c r="H502" t="s">
        <v>26</v>
      </c>
      <c r="I502" t="s">
        <v>3167</v>
      </c>
      <c r="J502" t="s">
        <v>1003</v>
      </c>
      <c r="K502" t="s">
        <v>3175</v>
      </c>
      <c r="L502" t="s">
        <v>1003</v>
      </c>
      <c r="M502" t="s">
        <v>1000</v>
      </c>
      <c r="N502" t="s">
        <v>1001</v>
      </c>
      <c r="O502" t="s">
        <v>1001</v>
      </c>
      <c r="P502" t="s">
        <v>1110</v>
      </c>
      <c r="Q502" t="s">
        <v>3169</v>
      </c>
      <c r="R502" t="s">
        <v>446</v>
      </c>
      <c r="S502" t="s">
        <v>446</v>
      </c>
      <c r="T502" t="s">
        <v>1965</v>
      </c>
      <c r="U502" t="b">
        <v>0</v>
      </c>
      <c r="V502" t="s">
        <v>446</v>
      </c>
    </row>
    <row r="503" spans="1:22" x14ac:dyDescent="0.25">
      <c r="A503" t="s">
        <v>42</v>
      </c>
      <c r="B503">
        <v>66</v>
      </c>
      <c r="C503" t="s">
        <v>1007</v>
      </c>
      <c r="D503" t="s">
        <v>3609</v>
      </c>
      <c r="E503" t="s">
        <v>1006</v>
      </c>
      <c r="F503" t="s">
        <v>3610</v>
      </c>
      <c r="G503" t="s">
        <v>24</v>
      </c>
      <c r="H503" t="s">
        <v>26</v>
      </c>
      <c r="I503" t="s">
        <v>3167</v>
      </c>
      <c r="J503" t="s">
        <v>1011</v>
      </c>
      <c r="K503" t="s">
        <v>3179</v>
      </c>
      <c r="L503" t="s">
        <v>1011</v>
      </c>
      <c r="M503" t="s">
        <v>1008</v>
      </c>
      <c r="N503" t="s">
        <v>1009</v>
      </c>
      <c r="O503" t="s">
        <v>1009</v>
      </c>
      <c r="P503" t="s">
        <v>1110</v>
      </c>
      <c r="Q503" t="s">
        <v>3169</v>
      </c>
      <c r="R503" t="s">
        <v>446</v>
      </c>
      <c r="S503" t="s">
        <v>446</v>
      </c>
      <c r="T503" t="s">
        <v>1965</v>
      </c>
      <c r="U503" t="b">
        <v>0</v>
      </c>
      <c r="V503" t="s">
        <v>446</v>
      </c>
    </row>
    <row r="504" spans="1:22" x14ac:dyDescent="0.25">
      <c r="A504" t="s">
        <v>42</v>
      </c>
      <c r="B504">
        <v>66</v>
      </c>
      <c r="C504" t="s">
        <v>1014</v>
      </c>
      <c r="D504" t="s">
        <v>3611</v>
      </c>
      <c r="E504" t="s">
        <v>1013</v>
      </c>
      <c r="F504" t="s">
        <v>3612</v>
      </c>
      <c r="G504" t="s">
        <v>24</v>
      </c>
      <c r="H504" t="s">
        <v>26</v>
      </c>
      <c r="I504" t="s">
        <v>3167</v>
      </c>
      <c r="J504" t="s">
        <v>1016</v>
      </c>
      <c r="K504" t="s">
        <v>3181</v>
      </c>
      <c r="L504" t="s">
        <v>1016</v>
      </c>
      <c r="M504" t="s">
        <v>980</v>
      </c>
      <c r="N504" t="s">
        <v>1015</v>
      </c>
      <c r="O504" t="s">
        <v>1015</v>
      </c>
      <c r="P504" t="s">
        <v>1110</v>
      </c>
      <c r="Q504" t="s">
        <v>3169</v>
      </c>
      <c r="R504" t="s">
        <v>446</v>
      </c>
      <c r="S504" t="s">
        <v>446</v>
      </c>
      <c r="T504" t="s">
        <v>1965</v>
      </c>
      <c r="U504" t="b">
        <v>0</v>
      </c>
      <c r="V504" t="s">
        <v>446</v>
      </c>
    </row>
    <row r="505" spans="1:22" x14ac:dyDescent="0.25">
      <c r="A505" t="s">
        <v>42</v>
      </c>
      <c r="B505">
        <v>66</v>
      </c>
      <c r="C505" t="s">
        <v>1019</v>
      </c>
      <c r="D505" t="s">
        <v>3613</v>
      </c>
      <c r="E505" t="s">
        <v>1018</v>
      </c>
      <c r="F505" t="s">
        <v>3614</v>
      </c>
      <c r="G505" t="s">
        <v>24</v>
      </c>
      <c r="H505" t="s">
        <v>26</v>
      </c>
      <c r="I505" t="s">
        <v>3167</v>
      </c>
      <c r="J505" t="s">
        <v>1021</v>
      </c>
      <c r="K505" t="s">
        <v>3183</v>
      </c>
      <c r="L505" t="s">
        <v>1021</v>
      </c>
      <c r="M505" t="s">
        <v>980</v>
      </c>
      <c r="N505" t="s">
        <v>1020</v>
      </c>
      <c r="O505" t="s">
        <v>1020</v>
      </c>
      <c r="P505" t="s">
        <v>1110</v>
      </c>
      <c r="Q505" t="s">
        <v>3169</v>
      </c>
      <c r="R505" t="s">
        <v>446</v>
      </c>
      <c r="S505" t="s">
        <v>446</v>
      </c>
      <c r="T505" t="s">
        <v>1965</v>
      </c>
      <c r="U505" t="b">
        <v>0</v>
      </c>
      <c r="V505" t="s">
        <v>446</v>
      </c>
    </row>
    <row r="506" spans="1:22" x14ac:dyDescent="0.25">
      <c r="A506" t="s">
        <v>42</v>
      </c>
      <c r="B506">
        <v>66</v>
      </c>
      <c r="C506" t="s">
        <v>1024</v>
      </c>
      <c r="D506" t="s">
        <v>3615</v>
      </c>
      <c r="E506" t="s">
        <v>1023</v>
      </c>
      <c r="F506" t="s">
        <v>3616</v>
      </c>
      <c r="G506" t="s">
        <v>24</v>
      </c>
      <c r="H506" t="s">
        <v>26</v>
      </c>
      <c r="I506" t="s">
        <v>3167</v>
      </c>
      <c r="J506" t="s">
        <v>1026</v>
      </c>
      <c r="K506" t="s">
        <v>3185</v>
      </c>
      <c r="L506" t="s">
        <v>1026</v>
      </c>
      <c r="M506" t="s">
        <v>1000</v>
      </c>
      <c r="N506" t="s">
        <v>1025</v>
      </c>
      <c r="O506" t="s">
        <v>1025</v>
      </c>
      <c r="P506" t="s">
        <v>1110</v>
      </c>
      <c r="Q506" t="s">
        <v>3169</v>
      </c>
      <c r="R506" t="s">
        <v>446</v>
      </c>
      <c r="S506" t="s">
        <v>446</v>
      </c>
      <c r="T506" t="s">
        <v>1965</v>
      </c>
      <c r="U506" t="b">
        <v>0</v>
      </c>
      <c r="V506" t="s">
        <v>446</v>
      </c>
    </row>
    <row r="507" spans="1:22" x14ac:dyDescent="0.25">
      <c r="A507" t="s">
        <v>42</v>
      </c>
      <c r="B507">
        <v>66</v>
      </c>
      <c r="C507" t="s">
        <v>1028</v>
      </c>
      <c r="D507" t="s">
        <v>3617</v>
      </c>
      <c r="E507" t="s">
        <v>1010</v>
      </c>
      <c r="F507" t="s">
        <v>3618</v>
      </c>
      <c r="G507" t="s">
        <v>24</v>
      </c>
      <c r="H507" t="s">
        <v>26</v>
      </c>
      <c r="I507" t="s">
        <v>3167</v>
      </c>
      <c r="J507" t="s">
        <v>1026</v>
      </c>
      <c r="K507" t="s">
        <v>3185</v>
      </c>
      <c r="L507" t="s">
        <v>1026</v>
      </c>
      <c r="M507" t="s">
        <v>1000</v>
      </c>
      <c r="N507" t="s">
        <v>1025</v>
      </c>
      <c r="O507" t="s">
        <v>1025</v>
      </c>
      <c r="P507" t="s">
        <v>1110</v>
      </c>
      <c r="Q507" t="s">
        <v>3169</v>
      </c>
      <c r="R507" t="s">
        <v>446</v>
      </c>
      <c r="S507" t="s">
        <v>446</v>
      </c>
      <c r="T507" t="s">
        <v>1965</v>
      </c>
      <c r="U507" t="b">
        <v>0</v>
      </c>
      <c r="V507" t="s">
        <v>446</v>
      </c>
    </row>
    <row r="508" spans="1:22" x14ac:dyDescent="0.25">
      <c r="A508" t="s">
        <v>42</v>
      </c>
      <c r="B508">
        <v>66</v>
      </c>
      <c r="C508" t="s">
        <v>1030</v>
      </c>
      <c r="D508" t="s">
        <v>3619</v>
      </c>
      <c r="E508" t="s">
        <v>1029</v>
      </c>
      <c r="F508" t="s">
        <v>3620</v>
      </c>
      <c r="G508" t="s">
        <v>24</v>
      </c>
      <c r="H508" t="s">
        <v>26</v>
      </c>
      <c r="I508" t="s">
        <v>3167</v>
      </c>
      <c r="J508" t="s">
        <v>1033</v>
      </c>
      <c r="K508" t="s">
        <v>3189</v>
      </c>
      <c r="L508" t="s">
        <v>1033</v>
      </c>
      <c r="M508" t="s">
        <v>980</v>
      </c>
      <c r="N508" t="s">
        <v>1031</v>
      </c>
      <c r="O508" t="s">
        <v>1031</v>
      </c>
      <c r="P508" t="s">
        <v>1110</v>
      </c>
      <c r="Q508" t="s">
        <v>3169</v>
      </c>
      <c r="R508" t="s">
        <v>446</v>
      </c>
      <c r="S508" t="s">
        <v>446</v>
      </c>
      <c r="T508" t="s">
        <v>1965</v>
      </c>
      <c r="U508" t="b">
        <v>0</v>
      </c>
      <c r="V508" t="s">
        <v>446</v>
      </c>
    </row>
    <row r="509" spans="1:22" x14ac:dyDescent="0.25">
      <c r="A509" t="s">
        <v>42</v>
      </c>
      <c r="B509">
        <v>66</v>
      </c>
      <c r="C509" t="s">
        <v>1036</v>
      </c>
      <c r="D509" t="s">
        <v>3621</v>
      </c>
      <c r="E509" t="s">
        <v>1035</v>
      </c>
      <c r="F509" t="s">
        <v>3622</v>
      </c>
      <c r="G509" t="s">
        <v>24</v>
      </c>
      <c r="H509" t="s">
        <v>26</v>
      </c>
      <c r="I509" t="s">
        <v>3167</v>
      </c>
      <c r="J509" t="s">
        <v>1038</v>
      </c>
      <c r="K509" t="s">
        <v>3191</v>
      </c>
      <c r="L509" t="s">
        <v>1038</v>
      </c>
      <c r="M509" t="s">
        <v>980</v>
      </c>
      <c r="N509" t="s">
        <v>1037</v>
      </c>
      <c r="O509" t="s">
        <v>1037</v>
      </c>
      <c r="P509" t="s">
        <v>1110</v>
      </c>
      <c r="Q509" t="s">
        <v>3169</v>
      </c>
      <c r="R509" t="s">
        <v>446</v>
      </c>
      <c r="S509" t="s">
        <v>446</v>
      </c>
      <c r="T509" t="s">
        <v>1965</v>
      </c>
      <c r="U509" t="b">
        <v>0</v>
      </c>
      <c r="V509" t="s">
        <v>446</v>
      </c>
    </row>
    <row r="510" spans="1:22" x14ac:dyDescent="0.25">
      <c r="A510" t="s">
        <v>42</v>
      </c>
      <c r="B510">
        <v>66</v>
      </c>
      <c r="C510" t="s">
        <v>1041</v>
      </c>
      <c r="D510" t="s">
        <v>3623</v>
      </c>
      <c r="E510" t="s">
        <v>1040</v>
      </c>
      <c r="F510" t="s">
        <v>3624</v>
      </c>
      <c r="G510" t="s">
        <v>24</v>
      </c>
      <c r="H510" t="s">
        <v>26</v>
      </c>
      <c r="I510" t="s">
        <v>3167</v>
      </c>
      <c r="J510" t="s">
        <v>1043</v>
      </c>
      <c r="K510" t="s">
        <v>3193</v>
      </c>
      <c r="L510" t="s">
        <v>1043</v>
      </c>
      <c r="M510" t="s">
        <v>980</v>
      </c>
      <c r="N510" t="s">
        <v>1042</v>
      </c>
      <c r="O510" t="s">
        <v>1042</v>
      </c>
      <c r="P510" t="s">
        <v>1110</v>
      </c>
      <c r="Q510" t="s">
        <v>3169</v>
      </c>
      <c r="R510" t="s">
        <v>446</v>
      </c>
      <c r="S510" t="s">
        <v>446</v>
      </c>
      <c r="T510" t="s">
        <v>1965</v>
      </c>
      <c r="U510" t="b">
        <v>0</v>
      </c>
      <c r="V510" t="s">
        <v>446</v>
      </c>
    </row>
    <row r="511" spans="1:22" x14ac:dyDescent="0.25">
      <c r="A511" t="s">
        <v>42</v>
      </c>
      <c r="B511">
        <v>66</v>
      </c>
      <c r="C511" t="s">
        <v>1046</v>
      </c>
      <c r="D511" t="s">
        <v>3625</v>
      </c>
      <c r="E511" t="s">
        <v>1045</v>
      </c>
      <c r="F511" t="s">
        <v>3626</v>
      </c>
      <c r="G511" t="s">
        <v>24</v>
      </c>
      <c r="H511" t="s">
        <v>26</v>
      </c>
      <c r="I511" t="s">
        <v>3167</v>
      </c>
      <c r="J511" t="s">
        <v>1048</v>
      </c>
      <c r="K511" t="s">
        <v>3195</v>
      </c>
      <c r="L511" t="s">
        <v>1048</v>
      </c>
      <c r="M511" t="s">
        <v>1000</v>
      </c>
      <c r="N511" t="s">
        <v>1047</v>
      </c>
      <c r="O511" t="s">
        <v>1047</v>
      </c>
      <c r="P511" t="s">
        <v>1110</v>
      </c>
      <c r="Q511" t="s">
        <v>3169</v>
      </c>
      <c r="R511" t="s">
        <v>446</v>
      </c>
      <c r="S511" t="s">
        <v>446</v>
      </c>
      <c r="T511" t="s">
        <v>1965</v>
      </c>
      <c r="U511" t="b">
        <v>0</v>
      </c>
      <c r="V511" t="s">
        <v>446</v>
      </c>
    </row>
    <row r="512" spans="1:22" x14ac:dyDescent="0.25">
      <c r="A512" t="s">
        <v>42</v>
      </c>
      <c r="B512">
        <v>66</v>
      </c>
      <c r="C512" t="s">
        <v>1050</v>
      </c>
      <c r="D512" t="s">
        <v>3627</v>
      </c>
      <c r="E512" t="s">
        <v>1032</v>
      </c>
      <c r="F512" t="s">
        <v>3628</v>
      </c>
      <c r="G512" t="s">
        <v>24</v>
      </c>
      <c r="H512" t="s">
        <v>26</v>
      </c>
      <c r="I512" t="s">
        <v>3167</v>
      </c>
      <c r="J512" t="s">
        <v>1048</v>
      </c>
      <c r="K512" t="s">
        <v>3195</v>
      </c>
      <c r="L512" t="s">
        <v>1048</v>
      </c>
      <c r="M512" t="s">
        <v>1000</v>
      </c>
      <c r="N512" t="s">
        <v>1047</v>
      </c>
      <c r="O512" t="s">
        <v>1047</v>
      </c>
      <c r="P512" t="s">
        <v>1110</v>
      </c>
      <c r="Q512" t="s">
        <v>3169</v>
      </c>
      <c r="R512" t="s">
        <v>446</v>
      </c>
      <c r="S512" t="s">
        <v>446</v>
      </c>
      <c r="T512" t="s">
        <v>1965</v>
      </c>
      <c r="U512" t="b">
        <v>0</v>
      </c>
      <c r="V512" t="s">
        <v>446</v>
      </c>
    </row>
    <row r="513" spans="1:22" x14ac:dyDescent="0.25">
      <c r="A513" t="s">
        <v>42</v>
      </c>
      <c r="B513">
        <v>66</v>
      </c>
      <c r="C513" t="s">
        <v>1052</v>
      </c>
      <c r="D513" t="s">
        <v>3629</v>
      </c>
      <c r="E513" t="s">
        <v>1051</v>
      </c>
      <c r="F513" t="s">
        <v>3630</v>
      </c>
      <c r="G513" t="s">
        <v>24</v>
      </c>
      <c r="H513" t="s">
        <v>26</v>
      </c>
      <c r="I513" t="s">
        <v>3167</v>
      </c>
      <c r="J513" t="s">
        <v>1055</v>
      </c>
      <c r="K513" t="s">
        <v>3199</v>
      </c>
      <c r="L513" t="s">
        <v>1055</v>
      </c>
      <c r="M513" t="s">
        <v>980</v>
      </c>
      <c r="N513" t="s">
        <v>1053</v>
      </c>
      <c r="O513" t="s">
        <v>1053</v>
      </c>
      <c r="P513" t="s">
        <v>1110</v>
      </c>
      <c r="Q513" t="s">
        <v>3169</v>
      </c>
      <c r="R513" t="s">
        <v>446</v>
      </c>
      <c r="S513" t="s">
        <v>446</v>
      </c>
      <c r="T513" t="s">
        <v>1965</v>
      </c>
      <c r="U513" t="b">
        <v>0</v>
      </c>
      <c r="V513" t="s">
        <v>446</v>
      </c>
    </row>
    <row r="514" spans="1:22" x14ac:dyDescent="0.25">
      <c r="A514" t="s">
        <v>42</v>
      </c>
      <c r="B514">
        <v>67</v>
      </c>
      <c r="C514" t="s">
        <v>979</v>
      </c>
      <c r="D514" t="s">
        <v>3631</v>
      </c>
      <c r="E514" t="s">
        <v>978</v>
      </c>
      <c r="F514" t="s">
        <v>3632</v>
      </c>
      <c r="G514" t="s">
        <v>24</v>
      </c>
      <c r="H514" t="s">
        <v>26</v>
      </c>
      <c r="I514" t="s">
        <v>3167</v>
      </c>
      <c r="J514" t="s">
        <v>984</v>
      </c>
      <c r="K514" t="s">
        <v>3168</v>
      </c>
      <c r="L514" t="s">
        <v>984</v>
      </c>
      <c r="M514" t="s">
        <v>980</v>
      </c>
      <c r="N514" t="s">
        <v>981</v>
      </c>
      <c r="O514" t="s">
        <v>981</v>
      </c>
      <c r="P514" t="s">
        <v>1110</v>
      </c>
      <c r="Q514" t="s">
        <v>3169</v>
      </c>
      <c r="R514" t="s">
        <v>446</v>
      </c>
      <c r="S514" t="s">
        <v>446</v>
      </c>
      <c r="T514" t="s">
        <v>1965</v>
      </c>
      <c r="U514" t="b">
        <v>0</v>
      </c>
      <c r="V514" t="s">
        <v>446</v>
      </c>
    </row>
    <row r="515" spans="1:22" x14ac:dyDescent="0.25">
      <c r="A515" t="s">
        <v>42</v>
      </c>
      <c r="B515">
        <v>67</v>
      </c>
      <c r="C515" t="s">
        <v>987</v>
      </c>
      <c r="D515" t="s">
        <v>3633</v>
      </c>
      <c r="E515" t="s">
        <v>986</v>
      </c>
      <c r="F515" t="s">
        <v>3634</v>
      </c>
      <c r="G515" t="s">
        <v>24</v>
      </c>
      <c r="H515" t="s">
        <v>26</v>
      </c>
      <c r="I515" t="s">
        <v>3167</v>
      </c>
      <c r="J515" t="s">
        <v>990</v>
      </c>
      <c r="K515" t="s">
        <v>3171</v>
      </c>
      <c r="L515" t="s">
        <v>990</v>
      </c>
      <c r="M515" t="s">
        <v>980</v>
      </c>
      <c r="N515" t="s">
        <v>988</v>
      </c>
      <c r="O515" t="s">
        <v>988</v>
      </c>
      <c r="P515" t="s">
        <v>1110</v>
      </c>
      <c r="Q515" t="s">
        <v>3169</v>
      </c>
      <c r="R515" t="s">
        <v>446</v>
      </c>
      <c r="S515" t="s">
        <v>446</v>
      </c>
      <c r="T515" t="s">
        <v>1965</v>
      </c>
      <c r="U515" t="b">
        <v>0</v>
      </c>
      <c r="V515" t="s">
        <v>446</v>
      </c>
    </row>
    <row r="516" spans="1:22" x14ac:dyDescent="0.25">
      <c r="A516" t="s">
        <v>42</v>
      </c>
      <c r="B516">
        <v>67</v>
      </c>
      <c r="C516" t="s">
        <v>993</v>
      </c>
      <c r="D516" t="s">
        <v>3635</v>
      </c>
      <c r="E516" t="s">
        <v>992</v>
      </c>
      <c r="F516" t="s">
        <v>3636</v>
      </c>
      <c r="G516" t="s">
        <v>24</v>
      </c>
      <c r="H516" t="s">
        <v>26</v>
      </c>
      <c r="I516" t="s">
        <v>3167</v>
      </c>
      <c r="J516" t="s">
        <v>996</v>
      </c>
      <c r="K516" t="s">
        <v>3173</v>
      </c>
      <c r="L516" t="s">
        <v>996</v>
      </c>
      <c r="M516" t="s">
        <v>980</v>
      </c>
      <c r="N516" t="s">
        <v>994</v>
      </c>
      <c r="O516" t="s">
        <v>994</v>
      </c>
      <c r="P516" t="s">
        <v>1110</v>
      </c>
      <c r="Q516" t="s">
        <v>3169</v>
      </c>
      <c r="R516" t="s">
        <v>446</v>
      </c>
      <c r="S516" t="s">
        <v>446</v>
      </c>
      <c r="T516" t="s">
        <v>1965</v>
      </c>
      <c r="U516" t="b">
        <v>0</v>
      </c>
      <c r="V516" t="s">
        <v>446</v>
      </c>
    </row>
    <row r="517" spans="1:22" x14ac:dyDescent="0.25">
      <c r="A517" t="s">
        <v>42</v>
      </c>
      <c r="B517">
        <v>67</v>
      </c>
      <c r="C517" t="s">
        <v>999</v>
      </c>
      <c r="D517" t="s">
        <v>3637</v>
      </c>
      <c r="E517" t="s">
        <v>998</v>
      </c>
      <c r="F517" t="s">
        <v>3638</v>
      </c>
      <c r="G517" t="s">
        <v>24</v>
      </c>
      <c r="H517" t="s">
        <v>26</v>
      </c>
      <c r="I517" t="s">
        <v>3167</v>
      </c>
      <c r="J517" t="s">
        <v>1003</v>
      </c>
      <c r="K517" t="s">
        <v>3175</v>
      </c>
      <c r="L517" t="s">
        <v>1003</v>
      </c>
      <c r="M517" t="s">
        <v>1000</v>
      </c>
      <c r="N517" t="s">
        <v>1001</v>
      </c>
      <c r="O517" t="s">
        <v>1001</v>
      </c>
      <c r="P517" t="s">
        <v>1110</v>
      </c>
      <c r="Q517" t="s">
        <v>3169</v>
      </c>
      <c r="R517" t="s">
        <v>446</v>
      </c>
      <c r="S517" t="s">
        <v>446</v>
      </c>
      <c r="T517" t="s">
        <v>1965</v>
      </c>
      <c r="U517" t="b">
        <v>0</v>
      </c>
      <c r="V517" t="s">
        <v>446</v>
      </c>
    </row>
    <row r="518" spans="1:22" x14ac:dyDescent="0.25">
      <c r="A518" t="s">
        <v>42</v>
      </c>
      <c r="B518">
        <v>67</v>
      </c>
      <c r="C518" t="s">
        <v>1005</v>
      </c>
      <c r="D518" t="s">
        <v>3639</v>
      </c>
      <c r="E518" t="s">
        <v>982</v>
      </c>
      <c r="F518" t="s">
        <v>3640</v>
      </c>
      <c r="G518" t="s">
        <v>24</v>
      </c>
      <c r="H518" t="s">
        <v>26</v>
      </c>
      <c r="I518" t="s">
        <v>3167</v>
      </c>
      <c r="J518" t="s">
        <v>1003</v>
      </c>
      <c r="K518" t="s">
        <v>3175</v>
      </c>
      <c r="L518" t="s">
        <v>1003</v>
      </c>
      <c r="M518" t="s">
        <v>1000</v>
      </c>
      <c r="N518" t="s">
        <v>1001</v>
      </c>
      <c r="O518" t="s">
        <v>1001</v>
      </c>
      <c r="P518" t="s">
        <v>1110</v>
      </c>
      <c r="Q518" t="s">
        <v>3169</v>
      </c>
      <c r="R518" t="s">
        <v>446</v>
      </c>
      <c r="S518" t="s">
        <v>446</v>
      </c>
      <c r="T518" t="s">
        <v>1965</v>
      </c>
      <c r="U518" t="b">
        <v>0</v>
      </c>
      <c r="V518" t="s">
        <v>446</v>
      </c>
    </row>
    <row r="519" spans="1:22" x14ac:dyDescent="0.25">
      <c r="A519" t="s">
        <v>42</v>
      </c>
      <c r="B519">
        <v>67</v>
      </c>
      <c r="C519" t="s">
        <v>1007</v>
      </c>
      <c r="D519" t="s">
        <v>3641</v>
      </c>
      <c r="E519" t="s">
        <v>1006</v>
      </c>
      <c r="F519" t="s">
        <v>3642</v>
      </c>
      <c r="G519" t="s">
        <v>24</v>
      </c>
      <c r="H519" t="s">
        <v>26</v>
      </c>
      <c r="I519" t="s">
        <v>3167</v>
      </c>
      <c r="J519" t="s">
        <v>1011</v>
      </c>
      <c r="K519" t="s">
        <v>3179</v>
      </c>
      <c r="L519" t="s">
        <v>1011</v>
      </c>
      <c r="M519" t="s">
        <v>1008</v>
      </c>
      <c r="N519" t="s">
        <v>1009</v>
      </c>
      <c r="O519" t="s">
        <v>1009</v>
      </c>
      <c r="P519" t="s">
        <v>1110</v>
      </c>
      <c r="Q519" t="s">
        <v>3169</v>
      </c>
      <c r="R519" t="s">
        <v>446</v>
      </c>
      <c r="S519" t="s">
        <v>446</v>
      </c>
      <c r="T519" t="s">
        <v>1965</v>
      </c>
      <c r="U519" t="b">
        <v>0</v>
      </c>
      <c r="V519" t="s">
        <v>446</v>
      </c>
    </row>
    <row r="520" spans="1:22" x14ac:dyDescent="0.25">
      <c r="A520" t="s">
        <v>42</v>
      </c>
      <c r="B520">
        <v>67</v>
      </c>
      <c r="C520" t="s">
        <v>1014</v>
      </c>
      <c r="D520" t="s">
        <v>3643</v>
      </c>
      <c r="E520" t="s">
        <v>1013</v>
      </c>
      <c r="F520" t="s">
        <v>3644</v>
      </c>
      <c r="G520" t="s">
        <v>24</v>
      </c>
      <c r="H520" t="s">
        <v>26</v>
      </c>
      <c r="I520" t="s">
        <v>3167</v>
      </c>
      <c r="J520" t="s">
        <v>1016</v>
      </c>
      <c r="K520" t="s">
        <v>3181</v>
      </c>
      <c r="L520" t="s">
        <v>1016</v>
      </c>
      <c r="M520" t="s">
        <v>980</v>
      </c>
      <c r="N520" t="s">
        <v>1015</v>
      </c>
      <c r="O520" t="s">
        <v>1015</v>
      </c>
      <c r="P520" t="s">
        <v>1110</v>
      </c>
      <c r="Q520" t="s">
        <v>3169</v>
      </c>
      <c r="R520" t="s">
        <v>446</v>
      </c>
      <c r="S520" t="s">
        <v>446</v>
      </c>
      <c r="T520" t="s">
        <v>1965</v>
      </c>
      <c r="U520" t="b">
        <v>0</v>
      </c>
      <c r="V520" t="s">
        <v>446</v>
      </c>
    </row>
    <row r="521" spans="1:22" x14ac:dyDescent="0.25">
      <c r="A521" t="s">
        <v>42</v>
      </c>
      <c r="B521">
        <v>67</v>
      </c>
      <c r="C521" t="s">
        <v>1019</v>
      </c>
      <c r="D521" t="s">
        <v>3645</v>
      </c>
      <c r="E521" t="s">
        <v>1018</v>
      </c>
      <c r="F521" t="s">
        <v>3646</v>
      </c>
      <c r="G521" t="s">
        <v>24</v>
      </c>
      <c r="H521" t="s">
        <v>26</v>
      </c>
      <c r="I521" t="s">
        <v>3167</v>
      </c>
      <c r="J521" t="s">
        <v>1021</v>
      </c>
      <c r="K521" t="s">
        <v>3183</v>
      </c>
      <c r="L521" t="s">
        <v>1021</v>
      </c>
      <c r="M521" t="s">
        <v>980</v>
      </c>
      <c r="N521" t="s">
        <v>1020</v>
      </c>
      <c r="O521" t="s">
        <v>1020</v>
      </c>
      <c r="P521" t="s">
        <v>1110</v>
      </c>
      <c r="Q521" t="s">
        <v>3169</v>
      </c>
      <c r="R521" t="s">
        <v>446</v>
      </c>
      <c r="S521" t="s">
        <v>446</v>
      </c>
      <c r="T521" t="s">
        <v>1965</v>
      </c>
      <c r="U521" t="b">
        <v>0</v>
      </c>
      <c r="V521" t="s">
        <v>446</v>
      </c>
    </row>
    <row r="522" spans="1:22" x14ac:dyDescent="0.25">
      <c r="A522" t="s">
        <v>42</v>
      </c>
      <c r="B522">
        <v>67</v>
      </c>
      <c r="C522" t="s">
        <v>1024</v>
      </c>
      <c r="D522" t="s">
        <v>3647</v>
      </c>
      <c r="E522" t="s">
        <v>1023</v>
      </c>
      <c r="F522" t="s">
        <v>3648</v>
      </c>
      <c r="G522" t="s">
        <v>24</v>
      </c>
      <c r="H522" t="s">
        <v>26</v>
      </c>
      <c r="I522" t="s">
        <v>3167</v>
      </c>
      <c r="J522" t="s">
        <v>1026</v>
      </c>
      <c r="K522" t="s">
        <v>3185</v>
      </c>
      <c r="L522" t="s">
        <v>1026</v>
      </c>
      <c r="M522" t="s">
        <v>1000</v>
      </c>
      <c r="N522" t="s">
        <v>1025</v>
      </c>
      <c r="O522" t="s">
        <v>1025</v>
      </c>
      <c r="P522" t="s">
        <v>1110</v>
      </c>
      <c r="Q522" t="s">
        <v>3169</v>
      </c>
      <c r="R522" t="s">
        <v>446</v>
      </c>
      <c r="S522" t="s">
        <v>446</v>
      </c>
      <c r="T522" t="s">
        <v>1965</v>
      </c>
      <c r="U522" t="b">
        <v>0</v>
      </c>
      <c r="V522" t="s">
        <v>446</v>
      </c>
    </row>
    <row r="523" spans="1:22" x14ac:dyDescent="0.25">
      <c r="A523" t="s">
        <v>42</v>
      </c>
      <c r="B523">
        <v>67</v>
      </c>
      <c r="C523" t="s">
        <v>1028</v>
      </c>
      <c r="D523" t="s">
        <v>3649</v>
      </c>
      <c r="E523" t="s">
        <v>1010</v>
      </c>
      <c r="F523" t="s">
        <v>3650</v>
      </c>
      <c r="G523" t="s">
        <v>24</v>
      </c>
      <c r="H523" t="s">
        <v>26</v>
      </c>
      <c r="I523" t="s">
        <v>3167</v>
      </c>
      <c r="J523" t="s">
        <v>1026</v>
      </c>
      <c r="K523" t="s">
        <v>3185</v>
      </c>
      <c r="L523" t="s">
        <v>1026</v>
      </c>
      <c r="M523" t="s">
        <v>1000</v>
      </c>
      <c r="N523" t="s">
        <v>1025</v>
      </c>
      <c r="O523" t="s">
        <v>1025</v>
      </c>
      <c r="P523" t="s">
        <v>1110</v>
      </c>
      <c r="Q523" t="s">
        <v>3169</v>
      </c>
      <c r="R523" t="s">
        <v>446</v>
      </c>
      <c r="S523" t="s">
        <v>446</v>
      </c>
      <c r="T523" t="s">
        <v>1965</v>
      </c>
      <c r="U523" t="b">
        <v>0</v>
      </c>
      <c r="V523" t="s">
        <v>446</v>
      </c>
    </row>
    <row r="524" spans="1:22" x14ac:dyDescent="0.25">
      <c r="A524" t="s">
        <v>42</v>
      </c>
      <c r="B524">
        <v>67</v>
      </c>
      <c r="C524" t="s">
        <v>1030</v>
      </c>
      <c r="D524" t="s">
        <v>3651</v>
      </c>
      <c r="E524" t="s">
        <v>1029</v>
      </c>
      <c r="F524" t="s">
        <v>3652</v>
      </c>
      <c r="G524" t="s">
        <v>24</v>
      </c>
      <c r="H524" t="s">
        <v>26</v>
      </c>
      <c r="I524" t="s">
        <v>3167</v>
      </c>
      <c r="J524" t="s">
        <v>1033</v>
      </c>
      <c r="K524" t="s">
        <v>3189</v>
      </c>
      <c r="L524" t="s">
        <v>1033</v>
      </c>
      <c r="M524" t="s">
        <v>980</v>
      </c>
      <c r="N524" t="s">
        <v>1031</v>
      </c>
      <c r="O524" t="s">
        <v>1031</v>
      </c>
      <c r="P524" t="s">
        <v>1110</v>
      </c>
      <c r="Q524" t="s">
        <v>3169</v>
      </c>
      <c r="R524" t="s">
        <v>446</v>
      </c>
      <c r="S524" t="s">
        <v>446</v>
      </c>
      <c r="T524" t="s">
        <v>1965</v>
      </c>
      <c r="U524" t="b">
        <v>0</v>
      </c>
      <c r="V524" t="s">
        <v>446</v>
      </c>
    </row>
    <row r="525" spans="1:22" x14ac:dyDescent="0.25">
      <c r="A525" t="s">
        <v>42</v>
      </c>
      <c r="B525">
        <v>67</v>
      </c>
      <c r="C525" t="s">
        <v>1036</v>
      </c>
      <c r="D525" t="s">
        <v>3653</v>
      </c>
      <c r="E525" t="s">
        <v>1035</v>
      </c>
      <c r="F525" t="s">
        <v>3654</v>
      </c>
      <c r="G525" t="s">
        <v>24</v>
      </c>
      <c r="H525" t="s">
        <v>26</v>
      </c>
      <c r="I525" t="s">
        <v>3167</v>
      </c>
      <c r="J525" t="s">
        <v>1038</v>
      </c>
      <c r="K525" t="s">
        <v>3191</v>
      </c>
      <c r="L525" t="s">
        <v>1038</v>
      </c>
      <c r="M525" t="s">
        <v>980</v>
      </c>
      <c r="N525" t="s">
        <v>1037</v>
      </c>
      <c r="O525" t="s">
        <v>1037</v>
      </c>
      <c r="P525" t="s">
        <v>1110</v>
      </c>
      <c r="Q525" t="s">
        <v>3169</v>
      </c>
      <c r="R525" t="s">
        <v>446</v>
      </c>
      <c r="S525" t="s">
        <v>446</v>
      </c>
      <c r="T525" t="s">
        <v>1965</v>
      </c>
      <c r="U525" t="b">
        <v>0</v>
      </c>
      <c r="V525" t="s">
        <v>446</v>
      </c>
    </row>
    <row r="526" spans="1:22" x14ac:dyDescent="0.25">
      <c r="A526" t="s">
        <v>42</v>
      </c>
      <c r="B526">
        <v>67</v>
      </c>
      <c r="C526" t="s">
        <v>1041</v>
      </c>
      <c r="D526" t="s">
        <v>3655</v>
      </c>
      <c r="E526" t="s">
        <v>1040</v>
      </c>
      <c r="F526" t="s">
        <v>3656</v>
      </c>
      <c r="G526" t="s">
        <v>24</v>
      </c>
      <c r="H526" t="s">
        <v>26</v>
      </c>
      <c r="I526" t="s">
        <v>3167</v>
      </c>
      <c r="J526" t="s">
        <v>1043</v>
      </c>
      <c r="K526" t="s">
        <v>3193</v>
      </c>
      <c r="L526" t="s">
        <v>1043</v>
      </c>
      <c r="M526" t="s">
        <v>980</v>
      </c>
      <c r="N526" t="s">
        <v>1042</v>
      </c>
      <c r="O526" t="s">
        <v>1042</v>
      </c>
      <c r="P526" t="s">
        <v>1110</v>
      </c>
      <c r="Q526" t="s">
        <v>3169</v>
      </c>
      <c r="R526" t="s">
        <v>446</v>
      </c>
      <c r="S526" t="s">
        <v>446</v>
      </c>
      <c r="T526" t="s">
        <v>1965</v>
      </c>
      <c r="U526" t="b">
        <v>0</v>
      </c>
      <c r="V526" t="s">
        <v>446</v>
      </c>
    </row>
    <row r="527" spans="1:22" x14ac:dyDescent="0.25">
      <c r="A527" t="s">
        <v>42</v>
      </c>
      <c r="B527">
        <v>67</v>
      </c>
      <c r="C527" t="s">
        <v>1046</v>
      </c>
      <c r="D527" t="s">
        <v>3657</v>
      </c>
      <c r="E527" t="s">
        <v>1045</v>
      </c>
      <c r="F527" t="s">
        <v>3658</v>
      </c>
      <c r="G527" t="s">
        <v>24</v>
      </c>
      <c r="H527" t="s">
        <v>26</v>
      </c>
      <c r="I527" t="s">
        <v>3167</v>
      </c>
      <c r="J527" t="s">
        <v>1048</v>
      </c>
      <c r="K527" t="s">
        <v>3195</v>
      </c>
      <c r="L527" t="s">
        <v>1048</v>
      </c>
      <c r="M527" t="s">
        <v>1000</v>
      </c>
      <c r="N527" t="s">
        <v>1047</v>
      </c>
      <c r="O527" t="s">
        <v>1047</v>
      </c>
      <c r="P527" t="s">
        <v>1110</v>
      </c>
      <c r="Q527" t="s">
        <v>3169</v>
      </c>
      <c r="R527" t="s">
        <v>446</v>
      </c>
      <c r="S527" t="s">
        <v>446</v>
      </c>
      <c r="T527" t="s">
        <v>1965</v>
      </c>
      <c r="U527" t="b">
        <v>0</v>
      </c>
      <c r="V527" t="s">
        <v>446</v>
      </c>
    </row>
    <row r="528" spans="1:22" x14ac:dyDescent="0.25">
      <c r="A528" t="s">
        <v>42</v>
      </c>
      <c r="B528">
        <v>67</v>
      </c>
      <c r="C528" t="s">
        <v>1050</v>
      </c>
      <c r="D528" t="s">
        <v>3659</v>
      </c>
      <c r="E528" t="s">
        <v>1032</v>
      </c>
      <c r="F528" t="s">
        <v>3660</v>
      </c>
      <c r="G528" t="s">
        <v>24</v>
      </c>
      <c r="H528" t="s">
        <v>26</v>
      </c>
      <c r="I528" t="s">
        <v>3167</v>
      </c>
      <c r="J528" t="s">
        <v>1048</v>
      </c>
      <c r="K528" t="s">
        <v>3195</v>
      </c>
      <c r="L528" t="s">
        <v>1048</v>
      </c>
      <c r="M528" t="s">
        <v>1000</v>
      </c>
      <c r="N528" t="s">
        <v>1047</v>
      </c>
      <c r="O528" t="s">
        <v>1047</v>
      </c>
      <c r="P528" t="s">
        <v>1110</v>
      </c>
      <c r="Q528" t="s">
        <v>3169</v>
      </c>
      <c r="R528" t="s">
        <v>446</v>
      </c>
      <c r="S528" t="s">
        <v>446</v>
      </c>
      <c r="T528" t="s">
        <v>1965</v>
      </c>
      <c r="U528" t="b">
        <v>0</v>
      </c>
      <c r="V528" t="s">
        <v>446</v>
      </c>
    </row>
    <row r="529" spans="1:22" x14ac:dyDescent="0.25">
      <c r="A529" t="s">
        <v>42</v>
      </c>
      <c r="B529">
        <v>67</v>
      </c>
      <c r="C529" t="s">
        <v>1052</v>
      </c>
      <c r="D529" t="s">
        <v>3661</v>
      </c>
      <c r="E529" t="s">
        <v>1051</v>
      </c>
      <c r="F529" t="s">
        <v>3662</v>
      </c>
      <c r="G529" t="s">
        <v>24</v>
      </c>
      <c r="H529" t="s">
        <v>26</v>
      </c>
      <c r="I529" t="s">
        <v>3167</v>
      </c>
      <c r="J529" t="s">
        <v>1055</v>
      </c>
      <c r="K529" t="s">
        <v>3199</v>
      </c>
      <c r="L529" t="s">
        <v>1055</v>
      </c>
      <c r="M529" t="s">
        <v>980</v>
      </c>
      <c r="N529" t="s">
        <v>1053</v>
      </c>
      <c r="O529" t="s">
        <v>1053</v>
      </c>
      <c r="P529" t="s">
        <v>1110</v>
      </c>
      <c r="Q529" t="s">
        <v>3169</v>
      </c>
      <c r="R529" t="s">
        <v>446</v>
      </c>
      <c r="S529" t="s">
        <v>446</v>
      </c>
      <c r="T529" t="s">
        <v>1965</v>
      </c>
      <c r="U529" t="b">
        <v>0</v>
      </c>
      <c r="V529" t="s">
        <v>446</v>
      </c>
    </row>
    <row r="530" spans="1:22" x14ac:dyDescent="0.25">
      <c r="A530" t="s">
        <v>42</v>
      </c>
      <c r="B530">
        <v>68</v>
      </c>
      <c r="C530" t="s">
        <v>979</v>
      </c>
      <c r="D530" t="s">
        <v>3663</v>
      </c>
      <c r="E530" t="s">
        <v>978</v>
      </c>
      <c r="F530" t="s">
        <v>3218</v>
      </c>
      <c r="G530" t="s">
        <v>24</v>
      </c>
      <c r="H530" t="s">
        <v>26</v>
      </c>
      <c r="I530" t="s">
        <v>3167</v>
      </c>
      <c r="J530" t="s">
        <v>984</v>
      </c>
      <c r="K530" t="s">
        <v>3168</v>
      </c>
      <c r="L530" t="s">
        <v>984</v>
      </c>
      <c r="M530" t="s">
        <v>980</v>
      </c>
      <c r="N530" t="s">
        <v>981</v>
      </c>
      <c r="O530" t="s">
        <v>981</v>
      </c>
      <c r="P530" t="s">
        <v>1110</v>
      </c>
      <c r="Q530" t="s">
        <v>3169</v>
      </c>
      <c r="R530" t="s">
        <v>446</v>
      </c>
      <c r="S530" t="s">
        <v>446</v>
      </c>
      <c r="T530" t="s">
        <v>1965</v>
      </c>
      <c r="U530" t="b">
        <v>0</v>
      </c>
      <c r="V530" t="s">
        <v>446</v>
      </c>
    </row>
    <row r="531" spans="1:22" x14ac:dyDescent="0.25">
      <c r="A531" t="s">
        <v>42</v>
      </c>
      <c r="B531">
        <v>68</v>
      </c>
      <c r="C531" t="s">
        <v>987</v>
      </c>
      <c r="D531" t="s">
        <v>3664</v>
      </c>
      <c r="E531" t="s">
        <v>986</v>
      </c>
      <c r="F531" t="s">
        <v>3218</v>
      </c>
      <c r="G531" t="s">
        <v>24</v>
      </c>
      <c r="H531" t="s">
        <v>26</v>
      </c>
      <c r="I531" t="s">
        <v>3167</v>
      </c>
      <c r="J531" t="s">
        <v>990</v>
      </c>
      <c r="K531" t="s">
        <v>3171</v>
      </c>
      <c r="L531" t="s">
        <v>990</v>
      </c>
      <c r="M531" t="s">
        <v>980</v>
      </c>
      <c r="N531" t="s">
        <v>988</v>
      </c>
      <c r="O531" t="s">
        <v>988</v>
      </c>
      <c r="P531" t="s">
        <v>1110</v>
      </c>
      <c r="Q531" t="s">
        <v>3169</v>
      </c>
      <c r="R531" t="s">
        <v>446</v>
      </c>
      <c r="S531" t="s">
        <v>446</v>
      </c>
      <c r="T531" t="s">
        <v>1965</v>
      </c>
      <c r="U531" t="b">
        <v>0</v>
      </c>
      <c r="V531" t="s">
        <v>446</v>
      </c>
    </row>
    <row r="532" spans="1:22" x14ac:dyDescent="0.25">
      <c r="A532" t="s">
        <v>42</v>
      </c>
      <c r="B532">
        <v>68</v>
      </c>
      <c r="C532" t="s">
        <v>993</v>
      </c>
      <c r="D532" t="s">
        <v>3665</v>
      </c>
      <c r="E532" t="s">
        <v>992</v>
      </c>
      <c r="F532" t="s">
        <v>3218</v>
      </c>
      <c r="G532" t="s">
        <v>24</v>
      </c>
      <c r="H532" t="s">
        <v>26</v>
      </c>
      <c r="I532" t="s">
        <v>3167</v>
      </c>
      <c r="J532" t="s">
        <v>996</v>
      </c>
      <c r="K532" t="s">
        <v>3173</v>
      </c>
      <c r="L532" t="s">
        <v>996</v>
      </c>
      <c r="M532" t="s">
        <v>980</v>
      </c>
      <c r="N532" t="s">
        <v>994</v>
      </c>
      <c r="O532" t="s">
        <v>994</v>
      </c>
      <c r="P532" t="s">
        <v>1110</v>
      </c>
      <c r="Q532" t="s">
        <v>3169</v>
      </c>
      <c r="R532" t="s">
        <v>446</v>
      </c>
      <c r="S532" t="s">
        <v>446</v>
      </c>
      <c r="T532" t="s">
        <v>1965</v>
      </c>
      <c r="U532" t="b">
        <v>0</v>
      </c>
      <c r="V532" t="s">
        <v>446</v>
      </c>
    </row>
    <row r="533" spans="1:22" x14ac:dyDescent="0.25">
      <c r="A533" t="s">
        <v>42</v>
      </c>
      <c r="B533">
        <v>68</v>
      </c>
      <c r="C533" t="s">
        <v>999</v>
      </c>
      <c r="D533" t="s">
        <v>3666</v>
      </c>
      <c r="E533" t="s">
        <v>998</v>
      </c>
      <c r="F533" t="s">
        <v>3218</v>
      </c>
      <c r="G533" t="s">
        <v>24</v>
      </c>
      <c r="H533" t="s">
        <v>26</v>
      </c>
      <c r="I533" t="s">
        <v>3167</v>
      </c>
      <c r="J533" t="s">
        <v>1003</v>
      </c>
      <c r="K533" t="s">
        <v>3175</v>
      </c>
      <c r="L533" t="s">
        <v>1003</v>
      </c>
      <c r="M533" t="s">
        <v>1000</v>
      </c>
      <c r="N533" t="s">
        <v>1001</v>
      </c>
      <c r="O533" t="s">
        <v>1001</v>
      </c>
      <c r="P533" t="s">
        <v>1110</v>
      </c>
      <c r="Q533" t="s">
        <v>3169</v>
      </c>
      <c r="R533" t="s">
        <v>446</v>
      </c>
      <c r="S533" t="s">
        <v>446</v>
      </c>
      <c r="T533" t="s">
        <v>1965</v>
      </c>
      <c r="U533" t="b">
        <v>0</v>
      </c>
      <c r="V533" t="s">
        <v>446</v>
      </c>
    </row>
    <row r="534" spans="1:22" x14ac:dyDescent="0.25">
      <c r="A534" t="s">
        <v>42</v>
      </c>
      <c r="B534">
        <v>68</v>
      </c>
      <c r="C534" t="s">
        <v>1005</v>
      </c>
      <c r="D534" t="s">
        <v>3667</v>
      </c>
      <c r="E534" t="s">
        <v>982</v>
      </c>
      <c r="F534" t="s">
        <v>3218</v>
      </c>
      <c r="G534" t="s">
        <v>24</v>
      </c>
      <c r="H534" t="s">
        <v>26</v>
      </c>
      <c r="I534" t="s">
        <v>3167</v>
      </c>
      <c r="J534" t="s">
        <v>1003</v>
      </c>
      <c r="K534" t="s">
        <v>3175</v>
      </c>
      <c r="L534" t="s">
        <v>1003</v>
      </c>
      <c r="M534" t="s">
        <v>1000</v>
      </c>
      <c r="N534" t="s">
        <v>1001</v>
      </c>
      <c r="O534" t="s">
        <v>1001</v>
      </c>
      <c r="P534" t="s">
        <v>1110</v>
      </c>
      <c r="Q534" t="s">
        <v>3169</v>
      </c>
      <c r="R534" t="s">
        <v>446</v>
      </c>
      <c r="S534" t="s">
        <v>446</v>
      </c>
      <c r="T534" t="s">
        <v>1965</v>
      </c>
      <c r="U534" t="b">
        <v>0</v>
      </c>
      <c r="V534" t="s">
        <v>446</v>
      </c>
    </row>
    <row r="535" spans="1:22" x14ac:dyDescent="0.25">
      <c r="A535" t="s">
        <v>42</v>
      </c>
      <c r="B535">
        <v>68</v>
      </c>
      <c r="C535" t="s">
        <v>1007</v>
      </c>
      <c r="D535" t="s">
        <v>3668</v>
      </c>
      <c r="E535" t="s">
        <v>1006</v>
      </c>
      <c r="F535" t="s">
        <v>3218</v>
      </c>
      <c r="G535" t="s">
        <v>24</v>
      </c>
      <c r="H535" t="s">
        <v>26</v>
      </c>
      <c r="I535" t="s">
        <v>3167</v>
      </c>
      <c r="J535" t="s">
        <v>1011</v>
      </c>
      <c r="K535" t="s">
        <v>3179</v>
      </c>
      <c r="L535" t="s">
        <v>1011</v>
      </c>
      <c r="M535" t="s">
        <v>1008</v>
      </c>
      <c r="N535" t="s">
        <v>1009</v>
      </c>
      <c r="O535" t="s">
        <v>1009</v>
      </c>
      <c r="P535" t="s">
        <v>1110</v>
      </c>
      <c r="Q535" t="s">
        <v>3169</v>
      </c>
      <c r="R535" t="s">
        <v>446</v>
      </c>
      <c r="S535" t="s">
        <v>446</v>
      </c>
      <c r="T535" t="s">
        <v>1965</v>
      </c>
      <c r="U535" t="b">
        <v>0</v>
      </c>
      <c r="V535" t="s">
        <v>446</v>
      </c>
    </row>
    <row r="536" spans="1:22" x14ac:dyDescent="0.25">
      <c r="A536" t="s">
        <v>42</v>
      </c>
      <c r="B536">
        <v>68</v>
      </c>
      <c r="C536" t="s">
        <v>1014</v>
      </c>
      <c r="D536" t="s">
        <v>3669</v>
      </c>
      <c r="E536" t="s">
        <v>1013</v>
      </c>
      <c r="F536" t="s">
        <v>3218</v>
      </c>
      <c r="G536" t="s">
        <v>24</v>
      </c>
      <c r="H536" t="s">
        <v>26</v>
      </c>
      <c r="I536" t="s">
        <v>3167</v>
      </c>
      <c r="J536" t="s">
        <v>1016</v>
      </c>
      <c r="K536" t="s">
        <v>3181</v>
      </c>
      <c r="L536" t="s">
        <v>1016</v>
      </c>
      <c r="M536" t="s">
        <v>980</v>
      </c>
      <c r="N536" t="s">
        <v>1015</v>
      </c>
      <c r="O536" t="s">
        <v>1015</v>
      </c>
      <c r="P536" t="s">
        <v>1110</v>
      </c>
      <c r="Q536" t="s">
        <v>3169</v>
      </c>
      <c r="R536" t="s">
        <v>446</v>
      </c>
      <c r="S536" t="s">
        <v>446</v>
      </c>
      <c r="T536" t="s">
        <v>1965</v>
      </c>
      <c r="U536" t="b">
        <v>0</v>
      </c>
      <c r="V536" t="s">
        <v>446</v>
      </c>
    </row>
    <row r="537" spans="1:22" x14ac:dyDescent="0.25">
      <c r="A537" t="s">
        <v>42</v>
      </c>
      <c r="B537">
        <v>68</v>
      </c>
      <c r="C537" t="s">
        <v>1019</v>
      </c>
      <c r="D537" t="s">
        <v>3670</v>
      </c>
      <c r="E537" t="s">
        <v>1018</v>
      </c>
      <c r="F537" t="s">
        <v>3218</v>
      </c>
      <c r="G537" t="s">
        <v>24</v>
      </c>
      <c r="H537" t="s">
        <v>26</v>
      </c>
      <c r="I537" t="s">
        <v>3167</v>
      </c>
      <c r="J537" t="s">
        <v>1021</v>
      </c>
      <c r="K537" t="s">
        <v>3183</v>
      </c>
      <c r="L537" t="s">
        <v>1021</v>
      </c>
      <c r="M537" t="s">
        <v>980</v>
      </c>
      <c r="N537" t="s">
        <v>1020</v>
      </c>
      <c r="O537" t="s">
        <v>1020</v>
      </c>
      <c r="P537" t="s">
        <v>1110</v>
      </c>
      <c r="Q537" t="s">
        <v>3169</v>
      </c>
      <c r="R537" t="s">
        <v>446</v>
      </c>
      <c r="S537" t="s">
        <v>446</v>
      </c>
      <c r="T537" t="s">
        <v>1965</v>
      </c>
      <c r="U537" t="b">
        <v>0</v>
      </c>
      <c r="V537" t="s">
        <v>446</v>
      </c>
    </row>
    <row r="538" spans="1:22" x14ac:dyDescent="0.25">
      <c r="A538" t="s">
        <v>42</v>
      </c>
      <c r="B538">
        <v>68</v>
      </c>
      <c r="C538" t="s">
        <v>1024</v>
      </c>
      <c r="D538" t="s">
        <v>3671</v>
      </c>
      <c r="E538" t="s">
        <v>1023</v>
      </c>
      <c r="F538" t="s">
        <v>3218</v>
      </c>
      <c r="G538" t="s">
        <v>24</v>
      </c>
      <c r="H538" t="s">
        <v>26</v>
      </c>
      <c r="I538" t="s">
        <v>3167</v>
      </c>
      <c r="J538" t="s">
        <v>1026</v>
      </c>
      <c r="K538" t="s">
        <v>3185</v>
      </c>
      <c r="L538" t="s">
        <v>1026</v>
      </c>
      <c r="M538" t="s">
        <v>1000</v>
      </c>
      <c r="N538" t="s">
        <v>1025</v>
      </c>
      <c r="O538" t="s">
        <v>1025</v>
      </c>
      <c r="P538" t="s">
        <v>1110</v>
      </c>
      <c r="Q538" t="s">
        <v>3169</v>
      </c>
      <c r="R538" t="s">
        <v>446</v>
      </c>
      <c r="S538" t="s">
        <v>446</v>
      </c>
      <c r="T538" t="s">
        <v>1965</v>
      </c>
      <c r="U538" t="b">
        <v>0</v>
      </c>
      <c r="V538" t="s">
        <v>446</v>
      </c>
    </row>
    <row r="539" spans="1:22" x14ac:dyDescent="0.25">
      <c r="A539" t="s">
        <v>42</v>
      </c>
      <c r="B539">
        <v>68</v>
      </c>
      <c r="C539" t="s">
        <v>1028</v>
      </c>
      <c r="D539" t="s">
        <v>3672</v>
      </c>
      <c r="E539" t="s">
        <v>1010</v>
      </c>
      <c r="F539" t="s">
        <v>3218</v>
      </c>
      <c r="G539" t="s">
        <v>24</v>
      </c>
      <c r="H539" t="s">
        <v>26</v>
      </c>
      <c r="I539" t="s">
        <v>3167</v>
      </c>
      <c r="J539" t="s">
        <v>1026</v>
      </c>
      <c r="K539" t="s">
        <v>3185</v>
      </c>
      <c r="L539" t="s">
        <v>1026</v>
      </c>
      <c r="M539" t="s">
        <v>1000</v>
      </c>
      <c r="N539" t="s">
        <v>1025</v>
      </c>
      <c r="O539" t="s">
        <v>1025</v>
      </c>
      <c r="P539" t="s">
        <v>1110</v>
      </c>
      <c r="Q539" t="s">
        <v>3169</v>
      </c>
      <c r="R539" t="s">
        <v>446</v>
      </c>
      <c r="S539" t="s">
        <v>446</v>
      </c>
      <c r="T539" t="s">
        <v>1965</v>
      </c>
      <c r="U539" t="b">
        <v>0</v>
      </c>
      <c r="V539" t="s">
        <v>446</v>
      </c>
    </row>
    <row r="540" spans="1:22" x14ac:dyDescent="0.25">
      <c r="A540" t="s">
        <v>42</v>
      </c>
      <c r="B540">
        <v>68</v>
      </c>
      <c r="C540" t="s">
        <v>1030</v>
      </c>
      <c r="D540" t="s">
        <v>3673</v>
      </c>
      <c r="E540" t="s">
        <v>1029</v>
      </c>
      <c r="F540" t="s">
        <v>3218</v>
      </c>
      <c r="G540" t="s">
        <v>24</v>
      </c>
      <c r="H540" t="s">
        <v>26</v>
      </c>
      <c r="I540" t="s">
        <v>3167</v>
      </c>
      <c r="J540" t="s">
        <v>1033</v>
      </c>
      <c r="K540" t="s">
        <v>3189</v>
      </c>
      <c r="L540" t="s">
        <v>1033</v>
      </c>
      <c r="M540" t="s">
        <v>980</v>
      </c>
      <c r="N540" t="s">
        <v>1031</v>
      </c>
      <c r="O540" t="s">
        <v>1031</v>
      </c>
      <c r="P540" t="s">
        <v>1110</v>
      </c>
      <c r="Q540" t="s">
        <v>3169</v>
      </c>
      <c r="R540" t="s">
        <v>446</v>
      </c>
      <c r="S540" t="s">
        <v>446</v>
      </c>
      <c r="T540" t="s">
        <v>1965</v>
      </c>
      <c r="U540" t="b">
        <v>0</v>
      </c>
      <c r="V540" t="s">
        <v>446</v>
      </c>
    </row>
    <row r="541" spans="1:22" x14ac:dyDescent="0.25">
      <c r="A541" t="s">
        <v>42</v>
      </c>
      <c r="B541">
        <v>68</v>
      </c>
      <c r="C541" t="s">
        <v>1036</v>
      </c>
      <c r="D541" t="s">
        <v>3674</v>
      </c>
      <c r="E541" t="s">
        <v>1035</v>
      </c>
      <c r="F541" t="s">
        <v>3218</v>
      </c>
      <c r="G541" t="s">
        <v>24</v>
      </c>
      <c r="H541" t="s">
        <v>26</v>
      </c>
      <c r="I541" t="s">
        <v>3167</v>
      </c>
      <c r="J541" t="s">
        <v>1038</v>
      </c>
      <c r="K541" t="s">
        <v>3191</v>
      </c>
      <c r="L541" t="s">
        <v>1038</v>
      </c>
      <c r="M541" t="s">
        <v>980</v>
      </c>
      <c r="N541" t="s">
        <v>1037</v>
      </c>
      <c r="O541" t="s">
        <v>1037</v>
      </c>
      <c r="P541" t="s">
        <v>1110</v>
      </c>
      <c r="Q541" t="s">
        <v>3169</v>
      </c>
      <c r="R541" t="s">
        <v>446</v>
      </c>
      <c r="S541" t="s">
        <v>446</v>
      </c>
      <c r="T541" t="s">
        <v>1965</v>
      </c>
      <c r="U541" t="b">
        <v>0</v>
      </c>
      <c r="V541" t="s">
        <v>446</v>
      </c>
    </row>
    <row r="542" spans="1:22" x14ac:dyDescent="0.25">
      <c r="A542" t="s">
        <v>42</v>
      </c>
      <c r="B542">
        <v>68</v>
      </c>
      <c r="C542" t="s">
        <v>1041</v>
      </c>
      <c r="D542" t="s">
        <v>3675</v>
      </c>
      <c r="E542" t="s">
        <v>1040</v>
      </c>
      <c r="F542" t="s">
        <v>3218</v>
      </c>
      <c r="G542" t="s">
        <v>24</v>
      </c>
      <c r="H542" t="s">
        <v>26</v>
      </c>
      <c r="I542" t="s">
        <v>3167</v>
      </c>
      <c r="J542" t="s">
        <v>1043</v>
      </c>
      <c r="K542" t="s">
        <v>3193</v>
      </c>
      <c r="L542" t="s">
        <v>1043</v>
      </c>
      <c r="M542" t="s">
        <v>980</v>
      </c>
      <c r="N542" t="s">
        <v>1042</v>
      </c>
      <c r="O542" t="s">
        <v>1042</v>
      </c>
      <c r="P542" t="s">
        <v>1110</v>
      </c>
      <c r="Q542" t="s">
        <v>3169</v>
      </c>
      <c r="R542" t="s">
        <v>446</v>
      </c>
      <c r="S542" t="s">
        <v>446</v>
      </c>
      <c r="T542" t="s">
        <v>1965</v>
      </c>
      <c r="U542" t="b">
        <v>0</v>
      </c>
      <c r="V542" t="s">
        <v>446</v>
      </c>
    </row>
    <row r="543" spans="1:22" x14ac:dyDescent="0.25">
      <c r="A543" t="s">
        <v>42</v>
      </c>
      <c r="B543">
        <v>68</v>
      </c>
      <c r="C543" t="s">
        <v>1046</v>
      </c>
      <c r="D543" t="s">
        <v>3676</v>
      </c>
      <c r="E543" t="s">
        <v>1045</v>
      </c>
      <c r="F543" t="s">
        <v>3218</v>
      </c>
      <c r="G543" t="s">
        <v>24</v>
      </c>
      <c r="H543" t="s">
        <v>26</v>
      </c>
      <c r="I543" t="s">
        <v>3167</v>
      </c>
      <c r="J543" t="s">
        <v>1048</v>
      </c>
      <c r="K543" t="s">
        <v>3195</v>
      </c>
      <c r="L543" t="s">
        <v>1048</v>
      </c>
      <c r="M543" t="s">
        <v>1000</v>
      </c>
      <c r="N543" t="s">
        <v>1047</v>
      </c>
      <c r="O543" t="s">
        <v>1047</v>
      </c>
      <c r="P543" t="s">
        <v>1110</v>
      </c>
      <c r="Q543" t="s">
        <v>3169</v>
      </c>
      <c r="R543" t="s">
        <v>446</v>
      </c>
      <c r="S543" t="s">
        <v>446</v>
      </c>
      <c r="T543" t="s">
        <v>1965</v>
      </c>
      <c r="U543" t="b">
        <v>0</v>
      </c>
      <c r="V543" t="s">
        <v>446</v>
      </c>
    </row>
    <row r="544" spans="1:22" x14ac:dyDescent="0.25">
      <c r="A544" t="s">
        <v>42</v>
      </c>
      <c r="B544">
        <v>68</v>
      </c>
      <c r="C544" t="s">
        <v>1050</v>
      </c>
      <c r="D544" t="s">
        <v>3677</v>
      </c>
      <c r="E544" t="s">
        <v>1032</v>
      </c>
      <c r="F544" t="s">
        <v>3218</v>
      </c>
      <c r="G544" t="s">
        <v>24</v>
      </c>
      <c r="H544" t="s">
        <v>26</v>
      </c>
      <c r="I544" t="s">
        <v>3167</v>
      </c>
      <c r="J544" t="s">
        <v>1048</v>
      </c>
      <c r="K544" t="s">
        <v>3195</v>
      </c>
      <c r="L544" t="s">
        <v>1048</v>
      </c>
      <c r="M544" t="s">
        <v>1000</v>
      </c>
      <c r="N544" t="s">
        <v>1047</v>
      </c>
      <c r="O544" t="s">
        <v>1047</v>
      </c>
      <c r="P544" t="s">
        <v>1110</v>
      </c>
      <c r="Q544" t="s">
        <v>3169</v>
      </c>
      <c r="R544" t="s">
        <v>446</v>
      </c>
      <c r="S544" t="s">
        <v>446</v>
      </c>
      <c r="T544" t="s">
        <v>1965</v>
      </c>
      <c r="U544" t="b">
        <v>0</v>
      </c>
      <c r="V544" t="s">
        <v>446</v>
      </c>
    </row>
    <row r="545" spans="1:22" x14ac:dyDescent="0.25">
      <c r="A545" t="s">
        <v>42</v>
      </c>
      <c r="B545">
        <v>68</v>
      </c>
      <c r="C545" t="s">
        <v>1052</v>
      </c>
      <c r="D545" t="s">
        <v>3678</v>
      </c>
      <c r="E545" t="s">
        <v>1051</v>
      </c>
      <c r="F545" t="s">
        <v>3218</v>
      </c>
      <c r="G545" t="s">
        <v>24</v>
      </c>
      <c r="H545" t="s">
        <v>26</v>
      </c>
      <c r="I545" t="s">
        <v>3167</v>
      </c>
      <c r="J545" t="s">
        <v>1055</v>
      </c>
      <c r="K545" t="s">
        <v>3199</v>
      </c>
      <c r="L545" t="s">
        <v>1055</v>
      </c>
      <c r="M545" t="s">
        <v>980</v>
      </c>
      <c r="N545" t="s">
        <v>1053</v>
      </c>
      <c r="O545" t="s">
        <v>1053</v>
      </c>
      <c r="P545" t="s">
        <v>1110</v>
      </c>
      <c r="Q545" t="s">
        <v>3169</v>
      </c>
      <c r="R545" t="s">
        <v>446</v>
      </c>
      <c r="S545" t="s">
        <v>446</v>
      </c>
      <c r="T545" t="s">
        <v>1965</v>
      </c>
      <c r="U545" t="b">
        <v>0</v>
      </c>
      <c r="V545" t="s">
        <v>446</v>
      </c>
    </row>
    <row r="546" spans="1:22" x14ac:dyDescent="0.25">
      <c r="A546" t="s">
        <v>42</v>
      </c>
      <c r="B546">
        <v>69</v>
      </c>
      <c r="C546" t="s">
        <v>979</v>
      </c>
      <c r="D546" t="s">
        <v>3679</v>
      </c>
      <c r="E546" t="s">
        <v>978</v>
      </c>
      <c r="F546" t="s">
        <v>3680</v>
      </c>
      <c r="G546" t="s">
        <v>24</v>
      </c>
      <c r="H546" t="s">
        <v>26</v>
      </c>
      <c r="I546" t="s">
        <v>3167</v>
      </c>
      <c r="J546" t="s">
        <v>984</v>
      </c>
      <c r="K546" t="s">
        <v>3168</v>
      </c>
      <c r="L546" t="s">
        <v>984</v>
      </c>
      <c r="M546" t="s">
        <v>980</v>
      </c>
      <c r="N546" t="s">
        <v>981</v>
      </c>
      <c r="O546" t="s">
        <v>981</v>
      </c>
      <c r="P546" t="s">
        <v>1110</v>
      </c>
      <c r="Q546" t="s">
        <v>3169</v>
      </c>
      <c r="R546" t="s">
        <v>446</v>
      </c>
      <c r="S546" t="s">
        <v>446</v>
      </c>
      <c r="T546" t="s">
        <v>1965</v>
      </c>
      <c r="U546" t="b">
        <v>0</v>
      </c>
      <c r="V546" t="s">
        <v>446</v>
      </c>
    </row>
    <row r="547" spans="1:22" x14ac:dyDescent="0.25">
      <c r="A547" t="s">
        <v>42</v>
      </c>
      <c r="B547">
        <v>69</v>
      </c>
      <c r="C547" t="s">
        <v>987</v>
      </c>
      <c r="D547" t="s">
        <v>3681</v>
      </c>
      <c r="E547" t="s">
        <v>986</v>
      </c>
      <c r="F547" t="s">
        <v>3682</v>
      </c>
      <c r="G547" t="s">
        <v>24</v>
      </c>
      <c r="H547" t="s">
        <v>26</v>
      </c>
      <c r="I547" t="s">
        <v>3167</v>
      </c>
      <c r="J547" t="s">
        <v>990</v>
      </c>
      <c r="K547" t="s">
        <v>3171</v>
      </c>
      <c r="L547" t="s">
        <v>990</v>
      </c>
      <c r="M547" t="s">
        <v>980</v>
      </c>
      <c r="N547" t="s">
        <v>988</v>
      </c>
      <c r="O547" t="s">
        <v>988</v>
      </c>
      <c r="P547" t="s">
        <v>1110</v>
      </c>
      <c r="Q547" t="s">
        <v>3169</v>
      </c>
      <c r="R547" t="s">
        <v>446</v>
      </c>
      <c r="S547" t="s">
        <v>446</v>
      </c>
      <c r="T547" t="s">
        <v>1965</v>
      </c>
      <c r="U547" t="b">
        <v>0</v>
      </c>
      <c r="V547" t="s">
        <v>446</v>
      </c>
    </row>
    <row r="548" spans="1:22" x14ac:dyDescent="0.25">
      <c r="A548" t="s">
        <v>42</v>
      </c>
      <c r="B548">
        <v>69</v>
      </c>
      <c r="C548" t="s">
        <v>993</v>
      </c>
      <c r="D548" t="s">
        <v>3683</v>
      </c>
      <c r="E548" t="s">
        <v>992</v>
      </c>
      <c r="F548" t="s">
        <v>3684</v>
      </c>
      <c r="G548" t="s">
        <v>24</v>
      </c>
      <c r="H548" t="s">
        <v>26</v>
      </c>
      <c r="I548" t="s">
        <v>3167</v>
      </c>
      <c r="J548" t="s">
        <v>996</v>
      </c>
      <c r="K548" t="s">
        <v>3173</v>
      </c>
      <c r="L548" t="s">
        <v>996</v>
      </c>
      <c r="M548" t="s">
        <v>980</v>
      </c>
      <c r="N548" t="s">
        <v>994</v>
      </c>
      <c r="O548" t="s">
        <v>994</v>
      </c>
      <c r="P548" t="s">
        <v>1110</v>
      </c>
      <c r="Q548" t="s">
        <v>3169</v>
      </c>
      <c r="R548" t="s">
        <v>446</v>
      </c>
      <c r="S548" t="s">
        <v>446</v>
      </c>
      <c r="T548" t="s">
        <v>1965</v>
      </c>
      <c r="U548" t="b">
        <v>0</v>
      </c>
      <c r="V548" t="s">
        <v>446</v>
      </c>
    </row>
    <row r="549" spans="1:22" x14ac:dyDescent="0.25">
      <c r="A549" t="s">
        <v>42</v>
      </c>
      <c r="B549">
        <v>69</v>
      </c>
      <c r="C549" t="s">
        <v>999</v>
      </c>
      <c r="D549" t="s">
        <v>3685</v>
      </c>
      <c r="E549" t="s">
        <v>998</v>
      </c>
      <c r="F549" t="s">
        <v>3686</v>
      </c>
      <c r="G549" t="s">
        <v>24</v>
      </c>
      <c r="H549" t="s">
        <v>26</v>
      </c>
      <c r="I549" t="s">
        <v>3167</v>
      </c>
      <c r="J549" t="s">
        <v>1003</v>
      </c>
      <c r="K549" t="s">
        <v>3175</v>
      </c>
      <c r="L549" t="s">
        <v>1003</v>
      </c>
      <c r="M549" t="s">
        <v>1000</v>
      </c>
      <c r="N549" t="s">
        <v>1001</v>
      </c>
      <c r="O549" t="s">
        <v>1001</v>
      </c>
      <c r="P549" t="s">
        <v>1110</v>
      </c>
      <c r="Q549" t="s">
        <v>3169</v>
      </c>
      <c r="R549" t="s">
        <v>446</v>
      </c>
      <c r="S549" t="s">
        <v>446</v>
      </c>
      <c r="T549" t="s">
        <v>1965</v>
      </c>
      <c r="U549" t="b">
        <v>0</v>
      </c>
      <c r="V549" t="s">
        <v>446</v>
      </c>
    </row>
    <row r="550" spans="1:22" x14ac:dyDescent="0.25">
      <c r="A550" t="s">
        <v>42</v>
      </c>
      <c r="B550">
        <v>69</v>
      </c>
      <c r="C550" t="s">
        <v>1005</v>
      </c>
      <c r="D550" t="s">
        <v>3687</v>
      </c>
      <c r="E550" t="s">
        <v>982</v>
      </c>
      <c r="F550" t="s">
        <v>3688</v>
      </c>
      <c r="G550" t="s">
        <v>24</v>
      </c>
      <c r="H550" t="s">
        <v>26</v>
      </c>
      <c r="I550" t="s">
        <v>3167</v>
      </c>
      <c r="J550" t="s">
        <v>1003</v>
      </c>
      <c r="K550" t="s">
        <v>3175</v>
      </c>
      <c r="L550" t="s">
        <v>1003</v>
      </c>
      <c r="M550" t="s">
        <v>1000</v>
      </c>
      <c r="N550" t="s">
        <v>1001</v>
      </c>
      <c r="O550" t="s">
        <v>1001</v>
      </c>
      <c r="P550" t="s">
        <v>1110</v>
      </c>
      <c r="Q550" t="s">
        <v>3169</v>
      </c>
      <c r="R550" t="s">
        <v>446</v>
      </c>
      <c r="S550" t="s">
        <v>446</v>
      </c>
      <c r="T550" t="s">
        <v>1965</v>
      </c>
      <c r="U550" t="b">
        <v>0</v>
      </c>
      <c r="V550" t="s">
        <v>446</v>
      </c>
    </row>
    <row r="551" spans="1:22" x14ac:dyDescent="0.25">
      <c r="A551" t="s">
        <v>42</v>
      </c>
      <c r="B551">
        <v>69</v>
      </c>
      <c r="C551" t="s">
        <v>1007</v>
      </c>
      <c r="D551" t="s">
        <v>3689</v>
      </c>
      <c r="E551" t="s">
        <v>1006</v>
      </c>
      <c r="F551" t="s">
        <v>3690</v>
      </c>
      <c r="G551" t="s">
        <v>24</v>
      </c>
      <c r="H551" t="s">
        <v>26</v>
      </c>
      <c r="I551" t="s">
        <v>3167</v>
      </c>
      <c r="J551" t="s">
        <v>1011</v>
      </c>
      <c r="K551" t="s">
        <v>3179</v>
      </c>
      <c r="L551" t="s">
        <v>1011</v>
      </c>
      <c r="M551" t="s">
        <v>1008</v>
      </c>
      <c r="N551" t="s">
        <v>1009</v>
      </c>
      <c r="O551" t="s">
        <v>1009</v>
      </c>
      <c r="P551" t="s">
        <v>1110</v>
      </c>
      <c r="Q551" t="s">
        <v>3169</v>
      </c>
      <c r="R551" t="s">
        <v>446</v>
      </c>
      <c r="S551" t="s">
        <v>446</v>
      </c>
      <c r="T551" t="s">
        <v>1965</v>
      </c>
      <c r="U551" t="b">
        <v>0</v>
      </c>
      <c r="V551" t="s">
        <v>446</v>
      </c>
    </row>
    <row r="552" spans="1:22" x14ac:dyDescent="0.25">
      <c r="A552" t="s">
        <v>42</v>
      </c>
      <c r="B552">
        <v>69</v>
      </c>
      <c r="C552" t="s">
        <v>1014</v>
      </c>
      <c r="D552" t="s">
        <v>3691</v>
      </c>
      <c r="E552" t="s">
        <v>1013</v>
      </c>
      <c r="F552" t="s">
        <v>3218</v>
      </c>
      <c r="G552" t="s">
        <v>24</v>
      </c>
      <c r="H552" t="s">
        <v>26</v>
      </c>
      <c r="I552" t="s">
        <v>3167</v>
      </c>
      <c r="J552" t="s">
        <v>1016</v>
      </c>
      <c r="K552" t="s">
        <v>3181</v>
      </c>
      <c r="L552" t="s">
        <v>1016</v>
      </c>
      <c r="M552" t="s">
        <v>980</v>
      </c>
      <c r="N552" t="s">
        <v>1015</v>
      </c>
      <c r="O552" t="s">
        <v>1015</v>
      </c>
      <c r="P552" t="s">
        <v>1110</v>
      </c>
      <c r="Q552" t="s">
        <v>3169</v>
      </c>
      <c r="R552" t="s">
        <v>446</v>
      </c>
      <c r="S552" t="s">
        <v>446</v>
      </c>
      <c r="T552" t="s">
        <v>1965</v>
      </c>
      <c r="U552" t="b">
        <v>0</v>
      </c>
      <c r="V552" t="s">
        <v>446</v>
      </c>
    </row>
    <row r="553" spans="1:22" x14ac:dyDescent="0.25">
      <c r="A553" t="s">
        <v>42</v>
      </c>
      <c r="B553">
        <v>69</v>
      </c>
      <c r="C553" t="s">
        <v>1019</v>
      </c>
      <c r="D553" t="s">
        <v>3692</v>
      </c>
      <c r="E553" t="s">
        <v>1018</v>
      </c>
      <c r="F553" t="s">
        <v>3218</v>
      </c>
      <c r="G553" t="s">
        <v>24</v>
      </c>
      <c r="H553" t="s">
        <v>26</v>
      </c>
      <c r="I553" t="s">
        <v>3167</v>
      </c>
      <c r="J553" t="s">
        <v>1021</v>
      </c>
      <c r="K553" t="s">
        <v>3183</v>
      </c>
      <c r="L553" t="s">
        <v>1021</v>
      </c>
      <c r="M553" t="s">
        <v>980</v>
      </c>
      <c r="N553" t="s">
        <v>1020</v>
      </c>
      <c r="O553" t="s">
        <v>1020</v>
      </c>
      <c r="P553" t="s">
        <v>1110</v>
      </c>
      <c r="Q553" t="s">
        <v>3169</v>
      </c>
      <c r="R553" t="s">
        <v>446</v>
      </c>
      <c r="S553" t="s">
        <v>446</v>
      </c>
      <c r="T553" t="s">
        <v>1965</v>
      </c>
      <c r="U553" t="b">
        <v>0</v>
      </c>
      <c r="V553" t="s">
        <v>446</v>
      </c>
    </row>
    <row r="554" spans="1:22" x14ac:dyDescent="0.25">
      <c r="A554" t="s">
        <v>42</v>
      </c>
      <c r="B554">
        <v>69</v>
      </c>
      <c r="C554" t="s">
        <v>1024</v>
      </c>
      <c r="D554" t="s">
        <v>3693</v>
      </c>
      <c r="E554" t="s">
        <v>1023</v>
      </c>
      <c r="F554" t="s">
        <v>3694</v>
      </c>
      <c r="G554" t="s">
        <v>24</v>
      </c>
      <c r="H554" t="s">
        <v>26</v>
      </c>
      <c r="I554" t="s">
        <v>3167</v>
      </c>
      <c r="J554" t="s">
        <v>1026</v>
      </c>
      <c r="K554" t="s">
        <v>3185</v>
      </c>
      <c r="L554" t="s">
        <v>1026</v>
      </c>
      <c r="M554" t="s">
        <v>1000</v>
      </c>
      <c r="N554" t="s">
        <v>1025</v>
      </c>
      <c r="O554" t="s">
        <v>1025</v>
      </c>
      <c r="P554" t="s">
        <v>1110</v>
      </c>
      <c r="Q554" t="s">
        <v>3169</v>
      </c>
      <c r="R554" t="s">
        <v>446</v>
      </c>
      <c r="S554" t="s">
        <v>446</v>
      </c>
      <c r="T554" t="s">
        <v>1965</v>
      </c>
      <c r="U554" t="b">
        <v>0</v>
      </c>
      <c r="V554" t="s">
        <v>446</v>
      </c>
    </row>
    <row r="555" spans="1:22" x14ac:dyDescent="0.25">
      <c r="A555" t="s">
        <v>42</v>
      </c>
      <c r="B555">
        <v>69</v>
      </c>
      <c r="C555" t="s">
        <v>1028</v>
      </c>
      <c r="D555" t="s">
        <v>3695</v>
      </c>
      <c r="E555" t="s">
        <v>1010</v>
      </c>
      <c r="F555" t="s">
        <v>3696</v>
      </c>
      <c r="G555" t="s">
        <v>24</v>
      </c>
      <c r="H555" t="s">
        <v>26</v>
      </c>
      <c r="I555" t="s">
        <v>3167</v>
      </c>
      <c r="J555" t="s">
        <v>1026</v>
      </c>
      <c r="K555" t="s">
        <v>3185</v>
      </c>
      <c r="L555" t="s">
        <v>1026</v>
      </c>
      <c r="M555" t="s">
        <v>1000</v>
      </c>
      <c r="N555" t="s">
        <v>1025</v>
      </c>
      <c r="O555" t="s">
        <v>1025</v>
      </c>
      <c r="P555" t="s">
        <v>1110</v>
      </c>
      <c r="Q555" t="s">
        <v>3169</v>
      </c>
      <c r="R555" t="s">
        <v>446</v>
      </c>
      <c r="S555" t="s">
        <v>446</v>
      </c>
      <c r="T555" t="s">
        <v>1965</v>
      </c>
      <c r="U555" t="b">
        <v>0</v>
      </c>
      <c r="V555" t="s">
        <v>446</v>
      </c>
    </row>
    <row r="556" spans="1:22" x14ac:dyDescent="0.25">
      <c r="A556" t="s">
        <v>42</v>
      </c>
      <c r="B556">
        <v>69</v>
      </c>
      <c r="C556" t="s">
        <v>1030</v>
      </c>
      <c r="D556" t="s">
        <v>3697</v>
      </c>
      <c r="E556" t="s">
        <v>1029</v>
      </c>
      <c r="F556" t="s">
        <v>3218</v>
      </c>
      <c r="G556" t="s">
        <v>24</v>
      </c>
      <c r="H556" t="s">
        <v>26</v>
      </c>
      <c r="I556" t="s">
        <v>3167</v>
      </c>
      <c r="J556" t="s">
        <v>1033</v>
      </c>
      <c r="K556" t="s">
        <v>3189</v>
      </c>
      <c r="L556" t="s">
        <v>1033</v>
      </c>
      <c r="M556" t="s">
        <v>980</v>
      </c>
      <c r="N556" t="s">
        <v>1031</v>
      </c>
      <c r="O556" t="s">
        <v>1031</v>
      </c>
      <c r="P556" t="s">
        <v>1110</v>
      </c>
      <c r="Q556" t="s">
        <v>3169</v>
      </c>
      <c r="R556" t="s">
        <v>446</v>
      </c>
      <c r="S556" t="s">
        <v>446</v>
      </c>
      <c r="T556" t="s">
        <v>1965</v>
      </c>
      <c r="U556" t="b">
        <v>0</v>
      </c>
      <c r="V556" t="s">
        <v>446</v>
      </c>
    </row>
    <row r="557" spans="1:22" x14ac:dyDescent="0.25">
      <c r="A557" t="s">
        <v>42</v>
      </c>
      <c r="B557">
        <v>69</v>
      </c>
      <c r="C557" t="s">
        <v>1036</v>
      </c>
      <c r="D557" t="s">
        <v>3698</v>
      </c>
      <c r="E557" t="s">
        <v>1035</v>
      </c>
      <c r="F557" t="s">
        <v>3218</v>
      </c>
      <c r="G557" t="s">
        <v>24</v>
      </c>
      <c r="H557" t="s">
        <v>26</v>
      </c>
      <c r="I557" t="s">
        <v>3167</v>
      </c>
      <c r="J557" t="s">
        <v>1038</v>
      </c>
      <c r="K557" t="s">
        <v>3191</v>
      </c>
      <c r="L557" t="s">
        <v>1038</v>
      </c>
      <c r="M557" t="s">
        <v>980</v>
      </c>
      <c r="N557" t="s">
        <v>1037</v>
      </c>
      <c r="O557" t="s">
        <v>1037</v>
      </c>
      <c r="P557" t="s">
        <v>1110</v>
      </c>
      <c r="Q557" t="s">
        <v>3169</v>
      </c>
      <c r="R557" t="s">
        <v>446</v>
      </c>
      <c r="S557" t="s">
        <v>446</v>
      </c>
      <c r="T557" t="s">
        <v>1965</v>
      </c>
      <c r="U557" t="b">
        <v>0</v>
      </c>
      <c r="V557" t="s">
        <v>446</v>
      </c>
    </row>
    <row r="558" spans="1:22" x14ac:dyDescent="0.25">
      <c r="A558" t="s">
        <v>42</v>
      </c>
      <c r="B558">
        <v>69</v>
      </c>
      <c r="C558" t="s">
        <v>1041</v>
      </c>
      <c r="D558" t="s">
        <v>3699</v>
      </c>
      <c r="E558" t="s">
        <v>1040</v>
      </c>
      <c r="F558" t="s">
        <v>3218</v>
      </c>
      <c r="G558" t="s">
        <v>24</v>
      </c>
      <c r="H558" t="s">
        <v>26</v>
      </c>
      <c r="I558" t="s">
        <v>3167</v>
      </c>
      <c r="J558" t="s">
        <v>1043</v>
      </c>
      <c r="K558" t="s">
        <v>3193</v>
      </c>
      <c r="L558" t="s">
        <v>1043</v>
      </c>
      <c r="M558" t="s">
        <v>980</v>
      </c>
      <c r="N558" t="s">
        <v>1042</v>
      </c>
      <c r="O558" t="s">
        <v>1042</v>
      </c>
      <c r="P558" t="s">
        <v>1110</v>
      </c>
      <c r="Q558" t="s">
        <v>3169</v>
      </c>
      <c r="R558" t="s">
        <v>446</v>
      </c>
      <c r="S558" t="s">
        <v>446</v>
      </c>
      <c r="T558" t="s">
        <v>1965</v>
      </c>
      <c r="U558" t="b">
        <v>0</v>
      </c>
      <c r="V558" t="s">
        <v>446</v>
      </c>
    </row>
    <row r="559" spans="1:22" x14ac:dyDescent="0.25">
      <c r="A559" t="s">
        <v>42</v>
      </c>
      <c r="B559">
        <v>69</v>
      </c>
      <c r="C559" t="s">
        <v>1046</v>
      </c>
      <c r="D559" t="s">
        <v>3700</v>
      </c>
      <c r="E559" t="s">
        <v>1045</v>
      </c>
      <c r="F559" t="s">
        <v>3701</v>
      </c>
      <c r="G559" t="s">
        <v>24</v>
      </c>
      <c r="H559" t="s">
        <v>26</v>
      </c>
      <c r="I559" t="s">
        <v>3167</v>
      </c>
      <c r="J559" t="s">
        <v>1048</v>
      </c>
      <c r="K559" t="s">
        <v>3195</v>
      </c>
      <c r="L559" t="s">
        <v>1048</v>
      </c>
      <c r="M559" t="s">
        <v>1000</v>
      </c>
      <c r="N559" t="s">
        <v>1047</v>
      </c>
      <c r="O559" t="s">
        <v>1047</v>
      </c>
      <c r="P559" t="s">
        <v>1110</v>
      </c>
      <c r="Q559" t="s">
        <v>3169</v>
      </c>
      <c r="R559" t="s">
        <v>446</v>
      </c>
      <c r="S559" t="s">
        <v>446</v>
      </c>
      <c r="T559" t="s">
        <v>1965</v>
      </c>
      <c r="U559" t="b">
        <v>0</v>
      </c>
      <c r="V559" t="s">
        <v>446</v>
      </c>
    </row>
    <row r="560" spans="1:22" x14ac:dyDescent="0.25">
      <c r="A560" t="s">
        <v>42</v>
      </c>
      <c r="B560">
        <v>69</v>
      </c>
      <c r="C560" t="s">
        <v>1050</v>
      </c>
      <c r="D560" t="s">
        <v>3702</v>
      </c>
      <c r="E560" t="s">
        <v>1032</v>
      </c>
      <c r="F560" t="s">
        <v>3703</v>
      </c>
      <c r="G560" t="s">
        <v>24</v>
      </c>
      <c r="H560" t="s">
        <v>26</v>
      </c>
      <c r="I560" t="s">
        <v>3167</v>
      </c>
      <c r="J560" t="s">
        <v>1048</v>
      </c>
      <c r="K560" t="s">
        <v>3195</v>
      </c>
      <c r="L560" t="s">
        <v>1048</v>
      </c>
      <c r="M560" t="s">
        <v>1000</v>
      </c>
      <c r="N560" t="s">
        <v>1047</v>
      </c>
      <c r="O560" t="s">
        <v>1047</v>
      </c>
      <c r="P560" t="s">
        <v>1110</v>
      </c>
      <c r="Q560" t="s">
        <v>3169</v>
      </c>
      <c r="R560" t="s">
        <v>446</v>
      </c>
      <c r="S560" t="s">
        <v>446</v>
      </c>
      <c r="T560" t="s">
        <v>1965</v>
      </c>
      <c r="U560" t="b">
        <v>0</v>
      </c>
      <c r="V560" t="s">
        <v>446</v>
      </c>
    </row>
    <row r="561" spans="1:22" x14ac:dyDescent="0.25">
      <c r="A561" t="s">
        <v>42</v>
      </c>
      <c r="B561">
        <v>69</v>
      </c>
      <c r="C561" t="s">
        <v>1052</v>
      </c>
      <c r="D561" t="s">
        <v>3704</v>
      </c>
      <c r="E561" t="s">
        <v>1051</v>
      </c>
      <c r="F561" t="s">
        <v>3218</v>
      </c>
      <c r="G561" t="s">
        <v>24</v>
      </c>
      <c r="H561" t="s">
        <v>26</v>
      </c>
      <c r="I561" t="s">
        <v>3167</v>
      </c>
      <c r="J561" t="s">
        <v>1055</v>
      </c>
      <c r="K561" t="s">
        <v>3199</v>
      </c>
      <c r="L561" t="s">
        <v>1055</v>
      </c>
      <c r="M561" t="s">
        <v>980</v>
      </c>
      <c r="N561" t="s">
        <v>1053</v>
      </c>
      <c r="O561" t="s">
        <v>1053</v>
      </c>
      <c r="P561" t="s">
        <v>1110</v>
      </c>
      <c r="Q561" t="s">
        <v>3169</v>
      </c>
      <c r="R561" t="s">
        <v>446</v>
      </c>
      <c r="S561" t="s">
        <v>446</v>
      </c>
      <c r="T561" t="s">
        <v>1965</v>
      </c>
      <c r="U561" t="b">
        <v>0</v>
      </c>
      <c r="V561" t="s">
        <v>446</v>
      </c>
    </row>
    <row r="562" spans="1:22" x14ac:dyDescent="0.25">
      <c r="A562" t="s">
        <v>42</v>
      </c>
      <c r="B562">
        <v>70</v>
      </c>
      <c r="C562" t="s">
        <v>979</v>
      </c>
      <c r="D562" t="s">
        <v>3705</v>
      </c>
      <c r="E562" t="s">
        <v>978</v>
      </c>
      <c r="F562" t="s">
        <v>3706</v>
      </c>
      <c r="G562" t="s">
        <v>24</v>
      </c>
      <c r="H562" t="s">
        <v>26</v>
      </c>
      <c r="I562" t="s">
        <v>3167</v>
      </c>
      <c r="J562" t="s">
        <v>984</v>
      </c>
      <c r="K562" t="s">
        <v>3168</v>
      </c>
      <c r="L562" t="s">
        <v>984</v>
      </c>
      <c r="M562" t="s">
        <v>980</v>
      </c>
      <c r="N562" t="s">
        <v>981</v>
      </c>
      <c r="O562" t="s">
        <v>981</v>
      </c>
      <c r="P562" t="s">
        <v>1110</v>
      </c>
      <c r="Q562" t="s">
        <v>3169</v>
      </c>
      <c r="R562" t="s">
        <v>446</v>
      </c>
      <c r="S562" t="s">
        <v>446</v>
      </c>
      <c r="T562" t="s">
        <v>1965</v>
      </c>
      <c r="U562" t="b">
        <v>0</v>
      </c>
      <c r="V562" t="s">
        <v>446</v>
      </c>
    </row>
    <row r="563" spans="1:22" x14ac:dyDescent="0.25">
      <c r="A563" t="s">
        <v>42</v>
      </c>
      <c r="B563">
        <v>70</v>
      </c>
      <c r="C563" t="s">
        <v>987</v>
      </c>
      <c r="D563" t="s">
        <v>3707</v>
      </c>
      <c r="E563" t="s">
        <v>986</v>
      </c>
      <c r="F563" t="s">
        <v>3708</v>
      </c>
      <c r="G563" t="s">
        <v>24</v>
      </c>
      <c r="H563" t="s">
        <v>26</v>
      </c>
      <c r="I563" t="s">
        <v>3167</v>
      </c>
      <c r="J563" t="s">
        <v>990</v>
      </c>
      <c r="K563" t="s">
        <v>3171</v>
      </c>
      <c r="L563" t="s">
        <v>990</v>
      </c>
      <c r="M563" t="s">
        <v>980</v>
      </c>
      <c r="N563" t="s">
        <v>988</v>
      </c>
      <c r="O563" t="s">
        <v>988</v>
      </c>
      <c r="P563" t="s">
        <v>1110</v>
      </c>
      <c r="Q563" t="s">
        <v>3169</v>
      </c>
      <c r="R563" t="s">
        <v>446</v>
      </c>
      <c r="S563" t="s">
        <v>446</v>
      </c>
      <c r="T563" t="s">
        <v>1965</v>
      </c>
      <c r="U563" t="b">
        <v>0</v>
      </c>
      <c r="V563" t="s">
        <v>446</v>
      </c>
    </row>
    <row r="564" spans="1:22" x14ac:dyDescent="0.25">
      <c r="A564" t="s">
        <v>42</v>
      </c>
      <c r="B564">
        <v>70</v>
      </c>
      <c r="C564" t="s">
        <v>993</v>
      </c>
      <c r="D564" t="s">
        <v>3709</v>
      </c>
      <c r="E564" t="s">
        <v>992</v>
      </c>
      <c r="F564" t="s">
        <v>3710</v>
      </c>
      <c r="G564" t="s">
        <v>24</v>
      </c>
      <c r="H564" t="s">
        <v>26</v>
      </c>
      <c r="I564" t="s">
        <v>3167</v>
      </c>
      <c r="J564" t="s">
        <v>996</v>
      </c>
      <c r="K564" t="s">
        <v>3173</v>
      </c>
      <c r="L564" t="s">
        <v>996</v>
      </c>
      <c r="M564" t="s">
        <v>980</v>
      </c>
      <c r="N564" t="s">
        <v>994</v>
      </c>
      <c r="O564" t="s">
        <v>994</v>
      </c>
      <c r="P564" t="s">
        <v>1110</v>
      </c>
      <c r="Q564" t="s">
        <v>3169</v>
      </c>
      <c r="R564" t="s">
        <v>446</v>
      </c>
      <c r="S564" t="s">
        <v>446</v>
      </c>
      <c r="T564" t="s">
        <v>1965</v>
      </c>
      <c r="U564" t="b">
        <v>0</v>
      </c>
      <c r="V564" t="s">
        <v>446</v>
      </c>
    </row>
    <row r="565" spans="1:22" x14ac:dyDescent="0.25">
      <c r="A565" t="s">
        <v>42</v>
      </c>
      <c r="B565">
        <v>70</v>
      </c>
      <c r="C565" t="s">
        <v>999</v>
      </c>
      <c r="D565" t="s">
        <v>3711</v>
      </c>
      <c r="E565" t="s">
        <v>998</v>
      </c>
      <c r="F565" t="s">
        <v>3712</v>
      </c>
      <c r="G565" t="s">
        <v>24</v>
      </c>
      <c r="H565" t="s">
        <v>26</v>
      </c>
      <c r="I565" t="s">
        <v>3167</v>
      </c>
      <c r="J565" t="s">
        <v>1003</v>
      </c>
      <c r="K565" t="s">
        <v>3175</v>
      </c>
      <c r="L565" t="s">
        <v>1003</v>
      </c>
      <c r="M565" t="s">
        <v>1000</v>
      </c>
      <c r="N565" t="s">
        <v>1001</v>
      </c>
      <c r="O565" t="s">
        <v>1001</v>
      </c>
      <c r="P565" t="s">
        <v>1110</v>
      </c>
      <c r="Q565" t="s">
        <v>3169</v>
      </c>
      <c r="R565" t="s">
        <v>446</v>
      </c>
      <c r="S565" t="s">
        <v>446</v>
      </c>
      <c r="T565" t="s">
        <v>1965</v>
      </c>
      <c r="U565" t="b">
        <v>0</v>
      </c>
      <c r="V565" t="s">
        <v>446</v>
      </c>
    </row>
    <row r="566" spans="1:22" x14ac:dyDescent="0.25">
      <c r="A566" t="s">
        <v>42</v>
      </c>
      <c r="B566">
        <v>70</v>
      </c>
      <c r="C566" t="s">
        <v>1005</v>
      </c>
      <c r="D566" t="s">
        <v>3713</v>
      </c>
      <c r="E566" t="s">
        <v>982</v>
      </c>
      <c r="F566" t="s">
        <v>3714</v>
      </c>
      <c r="G566" t="s">
        <v>24</v>
      </c>
      <c r="H566" t="s">
        <v>26</v>
      </c>
      <c r="I566" t="s">
        <v>3167</v>
      </c>
      <c r="J566" t="s">
        <v>1003</v>
      </c>
      <c r="K566" t="s">
        <v>3175</v>
      </c>
      <c r="L566" t="s">
        <v>1003</v>
      </c>
      <c r="M566" t="s">
        <v>1000</v>
      </c>
      <c r="N566" t="s">
        <v>1001</v>
      </c>
      <c r="O566" t="s">
        <v>1001</v>
      </c>
      <c r="P566" t="s">
        <v>1110</v>
      </c>
      <c r="Q566" t="s">
        <v>3169</v>
      </c>
      <c r="R566" t="s">
        <v>446</v>
      </c>
      <c r="S566" t="s">
        <v>446</v>
      </c>
      <c r="T566" t="s">
        <v>1965</v>
      </c>
      <c r="U566" t="b">
        <v>0</v>
      </c>
      <c r="V566" t="s">
        <v>446</v>
      </c>
    </row>
    <row r="567" spans="1:22" x14ac:dyDescent="0.25">
      <c r="A567" t="s">
        <v>42</v>
      </c>
      <c r="B567">
        <v>70</v>
      </c>
      <c r="C567" t="s">
        <v>1007</v>
      </c>
      <c r="D567" t="s">
        <v>3715</v>
      </c>
      <c r="E567" t="s">
        <v>1006</v>
      </c>
      <c r="F567" t="s">
        <v>3716</v>
      </c>
      <c r="G567" t="s">
        <v>24</v>
      </c>
      <c r="H567" t="s">
        <v>26</v>
      </c>
      <c r="I567" t="s">
        <v>3167</v>
      </c>
      <c r="J567" t="s">
        <v>1011</v>
      </c>
      <c r="K567" t="s">
        <v>3179</v>
      </c>
      <c r="L567" t="s">
        <v>1011</v>
      </c>
      <c r="M567" t="s">
        <v>1008</v>
      </c>
      <c r="N567" t="s">
        <v>1009</v>
      </c>
      <c r="O567" t="s">
        <v>1009</v>
      </c>
      <c r="P567" t="s">
        <v>1110</v>
      </c>
      <c r="Q567" t="s">
        <v>3169</v>
      </c>
      <c r="R567" t="s">
        <v>446</v>
      </c>
      <c r="S567" t="s">
        <v>446</v>
      </c>
      <c r="T567" t="s">
        <v>1965</v>
      </c>
      <c r="U567" t="b">
        <v>0</v>
      </c>
      <c r="V567" t="s">
        <v>446</v>
      </c>
    </row>
    <row r="568" spans="1:22" x14ac:dyDescent="0.25">
      <c r="A568" t="s">
        <v>42</v>
      </c>
      <c r="B568">
        <v>70</v>
      </c>
      <c r="C568" t="s">
        <v>1014</v>
      </c>
      <c r="D568" t="s">
        <v>3717</v>
      </c>
      <c r="E568" t="s">
        <v>1013</v>
      </c>
      <c r="F568" t="s">
        <v>3718</v>
      </c>
      <c r="G568" t="s">
        <v>24</v>
      </c>
      <c r="H568" t="s">
        <v>26</v>
      </c>
      <c r="I568" t="s">
        <v>3167</v>
      </c>
      <c r="J568" t="s">
        <v>1016</v>
      </c>
      <c r="K568" t="s">
        <v>3181</v>
      </c>
      <c r="L568" t="s">
        <v>1016</v>
      </c>
      <c r="M568" t="s">
        <v>980</v>
      </c>
      <c r="N568" t="s">
        <v>1015</v>
      </c>
      <c r="O568" t="s">
        <v>1015</v>
      </c>
      <c r="P568" t="s">
        <v>1110</v>
      </c>
      <c r="Q568" t="s">
        <v>3169</v>
      </c>
      <c r="R568" t="s">
        <v>446</v>
      </c>
      <c r="S568" t="s">
        <v>446</v>
      </c>
      <c r="T568" t="s">
        <v>1965</v>
      </c>
      <c r="U568" t="b">
        <v>0</v>
      </c>
      <c r="V568" t="s">
        <v>446</v>
      </c>
    </row>
    <row r="569" spans="1:22" x14ac:dyDescent="0.25">
      <c r="A569" t="s">
        <v>42</v>
      </c>
      <c r="B569">
        <v>70</v>
      </c>
      <c r="C569" t="s">
        <v>1019</v>
      </c>
      <c r="D569" t="s">
        <v>3719</v>
      </c>
      <c r="E569" t="s">
        <v>1018</v>
      </c>
      <c r="F569" t="s">
        <v>3720</v>
      </c>
      <c r="G569" t="s">
        <v>24</v>
      </c>
      <c r="H569" t="s">
        <v>26</v>
      </c>
      <c r="I569" t="s">
        <v>3167</v>
      </c>
      <c r="J569" t="s">
        <v>1021</v>
      </c>
      <c r="K569" t="s">
        <v>3183</v>
      </c>
      <c r="L569" t="s">
        <v>1021</v>
      </c>
      <c r="M569" t="s">
        <v>980</v>
      </c>
      <c r="N569" t="s">
        <v>1020</v>
      </c>
      <c r="O569" t="s">
        <v>1020</v>
      </c>
      <c r="P569" t="s">
        <v>1110</v>
      </c>
      <c r="Q569" t="s">
        <v>3169</v>
      </c>
      <c r="R569" t="s">
        <v>446</v>
      </c>
      <c r="S569" t="s">
        <v>446</v>
      </c>
      <c r="T569" t="s">
        <v>1965</v>
      </c>
      <c r="U569" t="b">
        <v>0</v>
      </c>
      <c r="V569" t="s">
        <v>446</v>
      </c>
    </row>
    <row r="570" spans="1:22" x14ac:dyDescent="0.25">
      <c r="A570" t="s">
        <v>42</v>
      </c>
      <c r="B570">
        <v>70</v>
      </c>
      <c r="C570" t="s">
        <v>1024</v>
      </c>
      <c r="D570" t="s">
        <v>3721</v>
      </c>
      <c r="E570" t="s">
        <v>1023</v>
      </c>
      <c r="F570" t="s">
        <v>3722</v>
      </c>
      <c r="G570" t="s">
        <v>24</v>
      </c>
      <c r="H570" t="s">
        <v>26</v>
      </c>
      <c r="I570" t="s">
        <v>3167</v>
      </c>
      <c r="J570" t="s">
        <v>1026</v>
      </c>
      <c r="K570" t="s">
        <v>3185</v>
      </c>
      <c r="L570" t="s">
        <v>1026</v>
      </c>
      <c r="M570" t="s">
        <v>1000</v>
      </c>
      <c r="N570" t="s">
        <v>1025</v>
      </c>
      <c r="O570" t="s">
        <v>1025</v>
      </c>
      <c r="P570" t="s">
        <v>1110</v>
      </c>
      <c r="Q570" t="s">
        <v>3169</v>
      </c>
      <c r="R570" t="s">
        <v>446</v>
      </c>
      <c r="S570" t="s">
        <v>446</v>
      </c>
      <c r="T570" t="s">
        <v>1965</v>
      </c>
      <c r="U570" t="b">
        <v>0</v>
      </c>
      <c r="V570" t="s">
        <v>446</v>
      </c>
    </row>
    <row r="571" spans="1:22" x14ac:dyDescent="0.25">
      <c r="A571" t="s">
        <v>42</v>
      </c>
      <c r="B571">
        <v>70</v>
      </c>
      <c r="C571" t="s">
        <v>1028</v>
      </c>
      <c r="D571" t="s">
        <v>3723</v>
      </c>
      <c r="E571" t="s">
        <v>1010</v>
      </c>
      <c r="F571" t="s">
        <v>3724</v>
      </c>
      <c r="G571" t="s">
        <v>24</v>
      </c>
      <c r="H571" t="s">
        <v>26</v>
      </c>
      <c r="I571" t="s">
        <v>3167</v>
      </c>
      <c r="J571" t="s">
        <v>1026</v>
      </c>
      <c r="K571" t="s">
        <v>3185</v>
      </c>
      <c r="L571" t="s">
        <v>1026</v>
      </c>
      <c r="M571" t="s">
        <v>1000</v>
      </c>
      <c r="N571" t="s">
        <v>1025</v>
      </c>
      <c r="O571" t="s">
        <v>1025</v>
      </c>
      <c r="P571" t="s">
        <v>1110</v>
      </c>
      <c r="Q571" t="s">
        <v>3169</v>
      </c>
      <c r="R571" t="s">
        <v>446</v>
      </c>
      <c r="S571" t="s">
        <v>446</v>
      </c>
      <c r="T571" t="s">
        <v>1965</v>
      </c>
      <c r="U571" t="b">
        <v>0</v>
      </c>
      <c r="V571" t="s">
        <v>446</v>
      </c>
    </row>
    <row r="572" spans="1:22" x14ac:dyDescent="0.25">
      <c r="A572" t="s">
        <v>42</v>
      </c>
      <c r="B572">
        <v>70</v>
      </c>
      <c r="C572" t="s">
        <v>1030</v>
      </c>
      <c r="D572" t="s">
        <v>3725</v>
      </c>
      <c r="E572" t="s">
        <v>1029</v>
      </c>
      <c r="F572" t="s">
        <v>3726</v>
      </c>
      <c r="G572" t="s">
        <v>24</v>
      </c>
      <c r="H572" t="s">
        <v>26</v>
      </c>
      <c r="I572" t="s">
        <v>3167</v>
      </c>
      <c r="J572" t="s">
        <v>1033</v>
      </c>
      <c r="K572" t="s">
        <v>3189</v>
      </c>
      <c r="L572" t="s">
        <v>1033</v>
      </c>
      <c r="M572" t="s">
        <v>980</v>
      </c>
      <c r="N572" t="s">
        <v>1031</v>
      </c>
      <c r="O572" t="s">
        <v>1031</v>
      </c>
      <c r="P572" t="s">
        <v>1110</v>
      </c>
      <c r="Q572" t="s">
        <v>3169</v>
      </c>
      <c r="R572" t="s">
        <v>446</v>
      </c>
      <c r="S572" t="s">
        <v>446</v>
      </c>
      <c r="T572" t="s">
        <v>1965</v>
      </c>
      <c r="U572" t="b">
        <v>0</v>
      </c>
      <c r="V572" t="s">
        <v>446</v>
      </c>
    </row>
    <row r="573" spans="1:22" x14ac:dyDescent="0.25">
      <c r="A573" t="s">
        <v>42</v>
      </c>
      <c r="B573">
        <v>70</v>
      </c>
      <c r="C573" t="s">
        <v>1036</v>
      </c>
      <c r="D573" t="s">
        <v>3727</v>
      </c>
      <c r="E573" t="s">
        <v>1035</v>
      </c>
      <c r="F573" t="s">
        <v>3728</v>
      </c>
      <c r="G573" t="s">
        <v>24</v>
      </c>
      <c r="H573" t="s">
        <v>26</v>
      </c>
      <c r="I573" t="s">
        <v>3167</v>
      </c>
      <c r="J573" t="s">
        <v>1038</v>
      </c>
      <c r="K573" t="s">
        <v>3191</v>
      </c>
      <c r="L573" t="s">
        <v>1038</v>
      </c>
      <c r="M573" t="s">
        <v>980</v>
      </c>
      <c r="N573" t="s">
        <v>1037</v>
      </c>
      <c r="O573" t="s">
        <v>1037</v>
      </c>
      <c r="P573" t="s">
        <v>1110</v>
      </c>
      <c r="Q573" t="s">
        <v>3169</v>
      </c>
      <c r="R573" t="s">
        <v>446</v>
      </c>
      <c r="S573" t="s">
        <v>446</v>
      </c>
      <c r="T573" t="s">
        <v>1965</v>
      </c>
      <c r="U573" t="b">
        <v>0</v>
      </c>
      <c r="V573" t="s">
        <v>446</v>
      </c>
    </row>
    <row r="574" spans="1:22" x14ac:dyDescent="0.25">
      <c r="A574" t="s">
        <v>42</v>
      </c>
      <c r="B574">
        <v>70</v>
      </c>
      <c r="C574" t="s">
        <v>1041</v>
      </c>
      <c r="D574" t="s">
        <v>3729</v>
      </c>
      <c r="E574" t="s">
        <v>1040</v>
      </c>
      <c r="F574" t="s">
        <v>3730</v>
      </c>
      <c r="G574" t="s">
        <v>24</v>
      </c>
      <c r="H574" t="s">
        <v>26</v>
      </c>
      <c r="I574" t="s">
        <v>3167</v>
      </c>
      <c r="J574" t="s">
        <v>1043</v>
      </c>
      <c r="K574" t="s">
        <v>3193</v>
      </c>
      <c r="L574" t="s">
        <v>1043</v>
      </c>
      <c r="M574" t="s">
        <v>980</v>
      </c>
      <c r="N574" t="s">
        <v>1042</v>
      </c>
      <c r="O574" t="s">
        <v>1042</v>
      </c>
      <c r="P574" t="s">
        <v>1110</v>
      </c>
      <c r="Q574" t="s">
        <v>3169</v>
      </c>
      <c r="R574" t="s">
        <v>446</v>
      </c>
      <c r="S574" t="s">
        <v>446</v>
      </c>
      <c r="T574" t="s">
        <v>1965</v>
      </c>
      <c r="U574" t="b">
        <v>0</v>
      </c>
      <c r="V574" t="s">
        <v>446</v>
      </c>
    </row>
    <row r="575" spans="1:22" x14ac:dyDescent="0.25">
      <c r="A575" t="s">
        <v>42</v>
      </c>
      <c r="B575">
        <v>70</v>
      </c>
      <c r="C575" t="s">
        <v>1046</v>
      </c>
      <c r="D575" t="s">
        <v>3731</v>
      </c>
      <c r="E575" t="s">
        <v>1045</v>
      </c>
      <c r="F575" t="s">
        <v>3732</v>
      </c>
      <c r="G575" t="s">
        <v>24</v>
      </c>
      <c r="H575" t="s">
        <v>26</v>
      </c>
      <c r="I575" t="s">
        <v>3167</v>
      </c>
      <c r="J575" t="s">
        <v>1048</v>
      </c>
      <c r="K575" t="s">
        <v>3195</v>
      </c>
      <c r="L575" t="s">
        <v>1048</v>
      </c>
      <c r="M575" t="s">
        <v>1000</v>
      </c>
      <c r="N575" t="s">
        <v>1047</v>
      </c>
      <c r="O575" t="s">
        <v>1047</v>
      </c>
      <c r="P575" t="s">
        <v>1110</v>
      </c>
      <c r="Q575" t="s">
        <v>3169</v>
      </c>
      <c r="R575" t="s">
        <v>446</v>
      </c>
      <c r="S575" t="s">
        <v>446</v>
      </c>
      <c r="T575" t="s">
        <v>1965</v>
      </c>
      <c r="U575" t="b">
        <v>0</v>
      </c>
      <c r="V575" t="s">
        <v>446</v>
      </c>
    </row>
    <row r="576" spans="1:22" x14ac:dyDescent="0.25">
      <c r="A576" t="s">
        <v>42</v>
      </c>
      <c r="B576">
        <v>70</v>
      </c>
      <c r="C576" t="s">
        <v>1050</v>
      </c>
      <c r="D576" t="s">
        <v>3733</v>
      </c>
      <c r="E576" t="s">
        <v>1032</v>
      </c>
      <c r="F576" t="s">
        <v>3734</v>
      </c>
      <c r="G576" t="s">
        <v>24</v>
      </c>
      <c r="H576" t="s">
        <v>26</v>
      </c>
      <c r="I576" t="s">
        <v>3167</v>
      </c>
      <c r="J576" t="s">
        <v>1048</v>
      </c>
      <c r="K576" t="s">
        <v>3195</v>
      </c>
      <c r="L576" t="s">
        <v>1048</v>
      </c>
      <c r="M576" t="s">
        <v>1000</v>
      </c>
      <c r="N576" t="s">
        <v>1047</v>
      </c>
      <c r="O576" t="s">
        <v>1047</v>
      </c>
      <c r="P576" t="s">
        <v>1110</v>
      </c>
      <c r="Q576" t="s">
        <v>3169</v>
      </c>
      <c r="R576" t="s">
        <v>446</v>
      </c>
      <c r="S576" t="s">
        <v>446</v>
      </c>
      <c r="T576" t="s">
        <v>1965</v>
      </c>
      <c r="U576" t="b">
        <v>0</v>
      </c>
      <c r="V576" t="s">
        <v>446</v>
      </c>
    </row>
    <row r="577" spans="1:22" x14ac:dyDescent="0.25">
      <c r="A577" t="s">
        <v>42</v>
      </c>
      <c r="B577">
        <v>70</v>
      </c>
      <c r="C577" t="s">
        <v>1052</v>
      </c>
      <c r="D577" t="s">
        <v>3735</v>
      </c>
      <c r="E577" t="s">
        <v>1051</v>
      </c>
      <c r="F577" t="s">
        <v>3736</v>
      </c>
      <c r="G577" t="s">
        <v>24</v>
      </c>
      <c r="H577" t="s">
        <v>26</v>
      </c>
      <c r="I577" t="s">
        <v>3167</v>
      </c>
      <c r="J577" t="s">
        <v>1055</v>
      </c>
      <c r="K577" t="s">
        <v>3199</v>
      </c>
      <c r="L577" t="s">
        <v>1055</v>
      </c>
      <c r="M577" t="s">
        <v>980</v>
      </c>
      <c r="N577" t="s">
        <v>1053</v>
      </c>
      <c r="O577" t="s">
        <v>1053</v>
      </c>
      <c r="P577" t="s">
        <v>1110</v>
      </c>
      <c r="Q577" t="s">
        <v>3169</v>
      </c>
      <c r="R577" t="s">
        <v>446</v>
      </c>
      <c r="S577" t="s">
        <v>446</v>
      </c>
      <c r="T577" t="s">
        <v>1965</v>
      </c>
      <c r="U577" t="b">
        <v>0</v>
      </c>
      <c r="V577" t="s">
        <v>446</v>
      </c>
    </row>
    <row r="578" spans="1:22" x14ac:dyDescent="0.25">
      <c r="A578" t="s">
        <v>42</v>
      </c>
      <c r="B578">
        <v>71</v>
      </c>
      <c r="C578" t="s">
        <v>979</v>
      </c>
      <c r="D578" t="s">
        <v>3737</v>
      </c>
      <c r="E578" t="s">
        <v>978</v>
      </c>
      <c r="F578" t="s">
        <v>3738</v>
      </c>
      <c r="G578" t="s">
        <v>24</v>
      </c>
      <c r="H578" t="s">
        <v>26</v>
      </c>
      <c r="I578" t="s">
        <v>3167</v>
      </c>
      <c r="J578" t="s">
        <v>984</v>
      </c>
      <c r="K578" t="s">
        <v>3168</v>
      </c>
      <c r="L578" t="s">
        <v>984</v>
      </c>
      <c r="M578" t="s">
        <v>980</v>
      </c>
      <c r="N578" t="s">
        <v>981</v>
      </c>
      <c r="O578" t="s">
        <v>981</v>
      </c>
      <c r="P578" t="s">
        <v>1110</v>
      </c>
      <c r="Q578" t="s">
        <v>3169</v>
      </c>
      <c r="R578" t="s">
        <v>446</v>
      </c>
      <c r="S578" t="s">
        <v>446</v>
      </c>
      <c r="T578" t="s">
        <v>1965</v>
      </c>
      <c r="U578" t="b">
        <v>0</v>
      </c>
      <c r="V578" t="s">
        <v>446</v>
      </c>
    </row>
    <row r="579" spans="1:22" x14ac:dyDescent="0.25">
      <c r="A579" t="s">
        <v>42</v>
      </c>
      <c r="B579">
        <v>71</v>
      </c>
      <c r="C579" t="s">
        <v>987</v>
      </c>
      <c r="D579" t="s">
        <v>3739</v>
      </c>
      <c r="E579" t="s">
        <v>986</v>
      </c>
      <c r="F579" t="s">
        <v>3740</v>
      </c>
      <c r="G579" t="s">
        <v>24</v>
      </c>
      <c r="H579" t="s">
        <v>26</v>
      </c>
      <c r="I579" t="s">
        <v>3167</v>
      </c>
      <c r="J579" t="s">
        <v>990</v>
      </c>
      <c r="K579" t="s">
        <v>3171</v>
      </c>
      <c r="L579" t="s">
        <v>990</v>
      </c>
      <c r="M579" t="s">
        <v>980</v>
      </c>
      <c r="N579" t="s">
        <v>988</v>
      </c>
      <c r="O579" t="s">
        <v>988</v>
      </c>
      <c r="P579" t="s">
        <v>1110</v>
      </c>
      <c r="Q579" t="s">
        <v>3169</v>
      </c>
      <c r="R579" t="s">
        <v>446</v>
      </c>
      <c r="S579" t="s">
        <v>446</v>
      </c>
      <c r="T579" t="s">
        <v>1965</v>
      </c>
      <c r="U579" t="b">
        <v>0</v>
      </c>
      <c r="V579" t="s">
        <v>446</v>
      </c>
    </row>
    <row r="580" spans="1:22" x14ac:dyDescent="0.25">
      <c r="A580" t="s">
        <v>42</v>
      </c>
      <c r="B580">
        <v>71</v>
      </c>
      <c r="C580" t="s">
        <v>993</v>
      </c>
      <c r="D580" t="s">
        <v>3741</v>
      </c>
      <c r="E580" t="s">
        <v>992</v>
      </c>
      <c r="F580" t="s">
        <v>3742</v>
      </c>
      <c r="G580" t="s">
        <v>24</v>
      </c>
      <c r="H580" t="s">
        <v>26</v>
      </c>
      <c r="I580" t="s">
        <v>3167</v>
      </c>
      <c r="J580" t="s">
        <v>996</v>
      </c>
      <c r="K580" t="s">
        <v>3173</v>
      </c>
      <c r="L580" t="s">
        <v>996</v>
      </c>
      <c r="M580" t="s">
        <v>980</v>
      </c>
      <c r="N580" t="s">
        <v>994</v>
      </c>
      <c r="O580" t="s">
        <v>994</v>
      </c>
      <c r="P580" t="s">
        <v>1110</v>
      </c>
      <c r="Q580" t="s">
        <v>3169</v>
      </c>
      <c r="R580" t="s">
        <v>446</v>
      </c>
      <c r="S580" t="s">
        <v>446</v>
      </c>
      <c r="T580" t="s">
        <v>1965</v>
      </c>
      <c r="U580" t="b">
        <v>0</v>
      </c>
      <c r="V580" t="s">
        <v>446</v>
      </c>
    </row>
    <row r="581" spans="1:22" x14ac:dyDescent="0.25">
      <c r="A581" t="s">
        <v>42</v>
      </c>
      <c r="B581">
        <v>71</v>
      </c>
      <c r="C581" t="s">
        <v>999</v>
      </c>
      <c r="D581" t="s">
        <v>3743</v>
      </c>
      <c r="E581" t="s">
        <v>998</v>
      </c>
      <c r="F581" t="s">
        <v>3744</v>
      </c>
      <c r="G581" t="s">
        <v>24</v>
      </c>
      <c r="H581" t="s">
        <v>26</v>
      </c>
      <c r="I581" t="s">
        <v>3167</v>
      </c>
      <c r="J581" t="s">
        <v>1003</v>
      </c>
      <c r="K581" t="s">
        <v>3175</v>
      </c>
      <c r="L581" t="s">
        <v>1003</v>
      </c>
      <c r="M581" t="s">
        <v>1000</v>
      </c>
      <c r="N581" t="s">
        <v>1001</v>
      </c>
      <c r="O581" t="s">
        <v>1001</v>
      </c>
      <c r="P581" t="s">
        <v>1110</v>
      </c>
      <c r="Q581" t="s">
        <v>3169</v>
      </c>
      <c r="R581" t="s">
        <v>446</v>
      </c>
      <c r="S581" t="s">
        <v>446</v>
      </c>
      <c r="T581" t="s">
        <v>1965</v>
      </c>
      <c r="U581" t="b">
        <v>0</v>
      </c>
      <c r="V581" t="s">
        <v>446</v>
      </c>
    </row>
    <row r="582" spans="1:22" x14ac:dyDescent="0.25">
      <c r="A582" t="s">
        <v>42</v>
      </c>
      <c r="B582">
        <v>71</v>
      </c>
      <c r="C582" t="s">
        <v>1005</v>
      </c>
      <c r="D582" t="s">
        <v>3745</v>
      </c>
      <c r="E582" t="s">
        <v>982</v>
      </c>
      <c r="F582" t="s">
        <v>3746</v>
      </c>
      <c r="G582" t="s">
        <v>24</v>
      </c>
      <c r="H582" t="s">
        <v>26</v>
      </c>
      <c r="I582" t="s">
        <v>3167</v>
      </c>
      <c r="J582" t="s">
        <v>1003</v>
      </c>
      <c r="K582" t="s">
        <v>3175</v>
      </c>
      <c r="L582" t="s">
        <v>1003</v>
      </c>
      <c r="M582" t="s">
        <v>1000</v>
      </c>
      <c r="N582" t="s">
        <v>1001</v>
      </c>
      <c r="O582" t="s">
        <v>1001</v>
      </c>
      <c r="P582" t="s">
        <v>1110</v>
      </c>
      <c r="Q582" t="s">
        <v>3169</v>
      </c>
      <c r="R582" t="s">
        <v>446</v>
      </c>
      <c r="S582" t="s">
        <v>446</v>
      </c>
      <c r="T582" t="s">
        <v>1965</v>
      </c>
      <c r="U582" t="b">
        <v>0</v>
      </c>
      <c r="V582" t="s">
        <v>446</v>
      </c>
    </row>
    <row r="583" spans="1:22" x14ac:dyDescent="0.25">
      <c r="A583" t="s">
        <v>42</v>
      </c>
      <c r="B583">
        <v>71</v>
      </c>
      <c r="C583" t="s">
        <v>1007</v>
      </c>
      <c r="D583" t="s">
        <v>3747</v>
      </c>
      <c r="E583" t="s">
        <v>1006</v>
      </c>
      <c r="F583" t="s">
        <v>3748</v>
      </c>
      <c r="G583" t="s">
        <v>24</v>
      </c>
      <c r="H583" t="s">
        <v>26</v>
      </c>
      <c r="I583" t="s">
        <v>3167</v>
      </c>
      <c r="J583" t="s">
        <v>1011</v>
      </c>
      <c r="K583" t="s">
        <v>3179</v>
      </c>
      <c r="L583" t="s">
        <v>1011</v>
      </c>
      <c r="M583" t="s">
        <v>1008</v>
      </c>
      <c r="N583" t="s">
        <v>1009</v>
      </c>
      <c r="O583" t="s">
        <v>1009</v>
      </c>
      <c r="P583" t="s">
        <v>1110</v>
      </c>
      <c r="Q583" t="s">
        <v>3169</v>
      </c>
      <c r="R583" t="s">
        <v>446</v>
      </c>
      <c r="S583" t="s">
        <v>446</v>
      </c>
      <c r="T583" t="s">
        <v>1965</v>
      </c>
      <c r="U583" t="b">
        <v>0</v>
      </c>
      <c r="V583" t="s">
        <v>446</v>
      </c>
    </row>
    <row r="584" spans="1:22" x14ac:dyDescent="0.25">
      <c r="A584" t="s">
        <v>42</v>
      </c>
      <c r="B584">
        <v>71</v>
      </c>
      <c r="C584" t="s">
        <v>1014</v>
      </c>
      <c r="D584" t="s">
        <v>3749</v>
      </c>
      <c r="E584" t="s">
        <v>1013</v>
      </c>
      <c r="F584" t="s">
        <v>3750</v>
      </c>
      <c r="G584" t="s">
        <v>24</v>
      </c>
      <c r="H584" t="s">
        <v>26</v>
      </c>
      <c r="I584" t="s">
        <v>3167</v>
      </c>
      <c r="J584" t="s">
        <v>1016</v>
      </c>
      <c r="K584" t="s">
        <v>3181</v>
      </c>
      <c r="L584" t="s">
        <v>1016</v>
      </c>
      <c r="M584" t="s">
        <v>980</v>
      </c>
      <c r="N584" t="s">
        <v>1015</v>
      </c>
      <c r="O584" t="s">
        <v>1015</v>
      </c>
      <c r="P584" t="s">
        <v>1110</v>
      </c>
      <c r="Q584" t="s">
        <v>3169</v>
      </c>
      <c r="R584" t="s">
        <v>446</v>
      </c>
      <c r="S584" t="s">
        <v>446</v>
      </c>
      <c r="T584" t="s">
        <v>1965</v>
      </c>
      <c r="U584" t="b">
        <v>0</v>
      </c>
      <c r="V584" t="s">
        <v>446</v>
      </c>
    </row>
    <row r="585" spans="1:22" x14ac:dyDescent="0.25">
      <c r="A585" t="s">
        <v>42</v>
      </c>
      <c r="B585">
        <v>71</v>
      </c>
      <c r="C585" t="s">
        <v>1019</v>
      </c>
      <c r="D585" t="s">
        <v>3751</v>
      </c>
      <c r="E585" t="s">
        <v>1018</v>
      </c>
      <c r="F585" t="s">
        <v>3752</v>
      </c>
      <c r="G585" t="s">
        <v>24</v>
      </c>
      <c r="H585" t="s">
        <v>26</v>
      </c>
      <c r="I585" t="s">
        <v>3167</v>
      </c>
      <c r="J585" t="s">
        <v>1021</v>
      </c>
      <c r="K585" t="s">
        <v>3183</v>
      </c>
      <c r="L585" t="s">
        <v>1021</v>
      </c>
      <c r="M585" t="s">
        <v>980</v>
      </c>
      <c r="N585" t="s">
        <v>1020</v>
      </c>
      <c r="O585" t="s">
        <v>1020</v>
      </c>
      <c r="P585" t="s">
        <v>1110</v>
      </c>
      <c r="Q585" t="s">
        <v>3169</v>
      </c>
      <c r="R585" t="s">
        <v>446</v>
      </c>
      <c r="S585" t="s">
        <v>446</v>
      </c>
      <c r="T585" t="s">
        <v>1965</v>
      </c>
      <c r="U585" t="b">
        <v>0</v>
      </c>
      <c r="V585" t="s">
        <v>446</v>
      </c>
    </row>
    <row r="586" spans="1:22" x14ac:dyDescent="0.25">
      <c r="A586" t="s">
        <v>42</v>
      </c>
      <c r="B586">
        <v>71</v>
      </c>
      <c r="C586" t="s">
        <v>1024</v>
      </c>
      <c r="D586" t="s">
        <v>3753</v>
      </c>
      <c r="E586" t="s">
        <v>1023</v>
      </c>
      <c r="F586" t="s">
        <v>3754</v>
      </c>
      <c r="G586" t="s">
        <v>24</v>
      </c>
      <c r="H586" t="s">
        <v>26</v>
      </c>
      <c r="I586" t="s">
        <v>3167</v>
      </c>
      <c r="J586" t="s">
        <v>1026</v>
      </c>
      <c r="K586" t="s">
        <v>3185</v>
      </c>
      <c r="L586" t="s">
        <v>1026</v>
      </c>
      <c r="M586" t="s">
        <v>1000</v>
      </c>
      <c r="N586" t="s">
        <v>1025</v>
      </c>
      <c r="O586" t="s">
        <v>1025</v>
      </c>
      <c r="P586" t="s">
        <v>1110</v>
      </c>
      <c r="Q586" t="s">
        <v>3169</v>
      </c>
      <c r="R586" t="s">
        <v>446</v>
      </c>
      <c r="S586" t="s">
        <v>446</v>
      </c>
      <c r="T586" t="s">
        <v>1965</v>
      </c>
      <c r="U586" t="b">
        <v>0</v>
      </c>
      <c r="V586" t="s">
        <v>446</v>
      </c>
    </row>
    <row r="587" spans="1:22" x14ac:dyDescent="0.25">
      <c r="A587" t="s">
        <v>42</v>
      </c>
      <c r="B587">
        <v>71</v>
      </c>
      <c r="C587" t="s">
        <v>1028</v>
      </c>
      <c r="D587" t="s">
        <v>3755</v>
      </c>
      <c r="E587" t="s">
        <v>1010</v>
      </c>
      <c r="F587" t="s">
        <v>3756</v>
      </c>
      <c r="G587" t="s">
        <v>24</v>
      </c>
      <c r="H587" t="s">
        <v>26</v>
      </c>
      <c r="I587" t="s">
        <v>3167</v>
      </c>
      <c r="J587" t="s">
        <v>1026</v>
      </c>
      <c r="K587" t="s">
        <v>3185</v>
      </c>
      <c r="L587" t="s">
        <v>1026</v>
      </c>
      <c r="M587" t="s">
        <v>1000</v>
      </c>
      <c r="N587" t="s">
        <v>1025</v>
      </c>
      <c r="O587" t="s">
        <v>1025</v>
      </c>
      <c r="P587" t="s">
        <v>1110</v>
      </c>
      <c r="Q587" t="s">
        <v>3169</v>
      </c>
      <c r="R587" t="s">
        <v>446</v>
      </c>
      <c r="S587" t="s">
        <v>446</v>
      </c>
      <c r="T587" t="s">
        <v>1965</v>
      </c>
      <c r="U587" t="b">
        <v>0</v>
      </c>
      <c r="V587" t="s">
        <v>446</v>
      </c>
    </row>
    <row r="588" spans="1:22" x14ac:dyDescent="0.25">
      <c r="A588" t="s">
        <v>42</v>
      </c>
      <c r="B588">
        <v>71</v>
      </c>
      <c r="C588" t="s">
        <v>1030</v>
      </c>
      <c r="D588" t="s">
        <v>3757</v>
      </c>
      <c r="E588" t="s">
        <v>1029</v>
      </c>
      <c r="F588" t="s">
        <v>3758</v>
      </c>
      <c r="G588" t="s">
        <v>24</v>
      </c>
      <c r="H588" t="s">
        <v>26</v>
      </c>
      <c r="I588" t="s">
        <v>3167</v>
      </c>
      <c r="J588" t="s">
        <v>1033</v>
      </c>
      <c r="K588" t="s">
        <v>3189</v>
      </c>
      <c r="L588" t="s">
        <v>1033</v>
      </c>
      <c r="M588" t="s">
        <v>980</v>
      </c>
      <c r="N588" t="s">
        <v>1031</v>
      </c>
      <c r="O588" t="s">
        <v>1031</v>
      </c>
      <c r="P588" t="s">
        <v>1110</v>
      </c>
      <c r="Q588" t="s">
        <v>3169</v>
      </c>
      <c r="R588" t="s">
        <v>446</v>
      </c>
      <c r="S588" t="s">
        <v>446</v>
      </c>
      <c r="T588" t="s">
        <v>1965</v>
      </c>
      <c r="U588" t="b">
        <v>0</v>
      </c>
      <c r="V588" t="s">
        <v>446</v>
      </c>
    </row>
    <row r="589" spans="1:22" x14ac:dyDescent="0.25">
      <c r="A589" t="s">
        <v>42</v>
      </c>
      <c r="B589">
        <v>71</v>
      </c>
      <c r="C589" t="s">
        <v>1036</v>
      </c>
      <c r="D589" t="s">
        <v>3759</v>
      </c>
      <c r="E589" t="s">
        <v>1035</v>
      </c>
      <c r="F589" t="s">
        <v>3760</v>
      </c>
      <c r="G589" t="s">
        <v>24</v>
      </c>
      <c r="H589" t="s">
        <v>26</v>
      </c>
      <c r="I589" t="s">
        <v>3167</v>
      </c>
      <c r="J589" t="s">
        <v>1038</v>
      </c>
      <c r="K589" t="s">
        <v>3191</v>
      </c>
      <c r="L589" t="s">
        <v>1038</v>
      </c>
      <c r="M589" t="s">
        <v>980</v>
      </c>
      <c r="N589" t="s">
        <v>1037</v>
      </c>
      <c r="O589" t="s">
        <v>1037</v>
      </c>
      <c r="P589" t="s">
        <v>1110</v>
      </c>
      <c r="Q589" t="s">
        <v>3169</v>
      </c>
      <c r="R589" t="s">
        <v>446</v>
      </c>
      <c r="S589" t="s">
        <v>446</v>
      </c>
      <c r="T589" t="s">
        <v>1965</v>
      </c>
      <c r="U589" t="b">
        <v>0</v>
      </c>
      <c r="V589" t="s">
        <v>446</v>
      </c>
    </row>
    <row r="590" spans="1:22" x14ac:dyDescent="0.25">
      <c r="A590" t="s">
        <v>42</v>
      </c>
      <c r="B590">
        <v>71</v>
      </c>
      <c r="C590" t="s">
        <v>1041</v>
      </c>
      <c r="D590" t="s">
        <v>3761</v>
      </c>
      <c r="E590" t="s">
        <v>1040</v>
      </c>
      <c r="F590" t="s">
        <v>3762</v>
      </c>
      <c r="G590" t="s">
        <v>24</v>
      </c>
      <c r="H590" t="s">
        <v>26</v>
      </c>
      <c r="I590" t="s">
        <v>3167</v>
      </c>
      <c r="J590" t="s">
        <v>1043</v>
      </c>
      <c r="K590" t="s">
        <v>3193</v>
      </c>
      <c r="L590" t="s">
        <v>1043</v>
      </c>
      <c r="M590" t="s">
        <v>980</v>
      </c>
      <c r="N590" t="s">
        <v>1042</v>
      </c>
      <c r="O590" t="s">
        <v>1042</v>
      </c>
      <c r="P590" t="s">
        <v>1110</v>
      </c>
      <c r="Q590" t="s">
        <v>3169</v>
      </c>
      <c r="R590" t="s">
        <v>446</v>
      </c>
      <c r="S590" t="s">
        <v>446</v>
      </c>
      <c r="T590" t="s">
        <v>1965</v>
      </c>
      <c r="U590" t="b">
        <v>0</v>
      </c>
      <c r="V590" t="s">
        <v>446</v>
      </c>
    </row>
    <row r="591" spans="1:22" x14ac:dyDescent="0.25">
      <c r="A591" t="s">
        <v>42</v>
      </c>
      <c r="B591">
        <v>71</v>
      </c>
      <c r="C591" t="s">
        <v>1046</v>
      </c>
      <c r="D591" t="s">
        <v>3763</v>
      </c>
      <c r="E591" t="s">
        <v>1045</v>
      </c>
      <c r="F591" t="s">
        <v>3764</v>
      </c>
      <c r="G591" t="s">
        <v>24</v>
      </c>
      <c r="H591" t="s">
        <v>26</v>
      </c>
      <c r="I591" t="s">
        <v>3167</v>
      </c>
      <c r="J591" t="s">
        <v>1048</v>
      </c>
      <c r="K591" t="s">
        <v>3195</v>
      </c>
      <c r="L591" t="s">
        <v>1048</v>
      </c>
      <c r="M591" t="s">
        <v>1000</v>
      </c>
      <c r="N591" t="s">
        <v>1047</v>
      </c>
      <c r="O591" t="s">
        <v>1047</v>
      </c>
      <c r="P591" t="s">
        <v>1110</v>
      </c>
      <c r="Q591" t="s">
        <v>3169</v>
      </c>
      <c r="R591" t="s">
        <v>446</v>
      </c>
      <c r="S591" t="s">
        <v>446</v>
      </c>
      <c r="T591" t="s">
        <v>1965</v>
      </c>
      <c r="U591" t="b">
        <v>0</v>
      </c>
      <c r="V591" t="s">
        <v>446</v>
      </c>
    </row>
    <row r="592" spans="1:22" x14ac:dyDescent="0.25">
      <c r="A592" t="s">
        <v>42</v>
      </c>
      <c r="B592">
        <v>71</v>
      </c>
      <c r="C592" t="s">
        <v>1050</v>
      </c>
      <c r="D592" t="s">
        <v>3765</v>
      </c>
      <c r="E592" t="s">
        <v>1032</v>
      </c>
      <c r="F592" t="s">
        <v>3766</v>
      </c>
      <c r="G592" t="s">
        <v>24</v>
      </c>
      <c r="H592" t="s">
        <v>26</v>
      </c>
      <c r="I592" t="s">
        <v>3167</v>
      </c>
      <c r="J592" t="s">
        <v>1048</v>
      </c>
      <c r="K592" t="s">
        <v>3195</v>
      </c>
      <c r="L592" t="s">
        <v>1048</v>
      </c>
      <c r="M592" t="s">
        <v>1000</v>
      </c>
      <c r="N592" t="s">
        <v>1047</v>
      </c>
      <c r="O592" t="s">
        <v>1047</v>
      </c>
      <c r="P592" t="s">
        <v>1110</v>
      </c>
      <c r="Q592" t="s">
        <v>3169</v>
      </c>
      <c r="R592" t="s">
        <v>446</v>
      </c>
      <c r="S592" t="s">
        <v>446</v>
      </c>
      <c r="T592" t="s">
        <v>1965</v>
      </c>
      <c r="U592" t="b">
        <v>0</v>
      </c>
      <c r="V592" t="s">
        <v>446</v>
      </c>
    </row>
    <row r="593" spans="1:22" x14ac:dyDescent="0.25">
      <c r="A593" t="s">
        <v>42</v>
      </c>
      <c r="B593">
        <v>71</v>
      </c>
      <c r="C593" t="s">
        <v>1052</v>
      </c>
      <c r="D593" t="s">
        <v>3767</v>
      </c>
      <c r="E593" t="s">
        <v>1051</v>
      </c>
      <c r="F593" t="s">
        <v>3768</v>
      </c>
      <c r="G593" t="s">
        <v>24</v>
      </c>
      <c r="H593" t="s">
        <v>26</v>
      </c>
      <c r="I593" t="s">
        <v>3167</v>
      </c>
      <c r="J593" t="s">
        <v>1055</v>
      </c>
      <c r="K593" t="s">
        <v>3199</v>
      </c>
      <c r="L593" t="s">
        <v>1055</v>
      </c>
      <c r="M593" t="s">
        <v>980</v>
      </c>
      <c r="N593" t="s">
        <v>1053</v>
      </c>
      <c r="O593" t="s">
        <v>1053</v>
      </c>
      <c r="P593" t="s">
        <v>1110</v>
      </c>
      <c r="Q593" t="s">
        <v>3169</v>
      </c>
      <c r="R593" t="s">
        <v>446</v>
      </c>
      <c r="S593" t="s">
        <v>446</v>
      </c>
      <c r="T593" t="s">
        <v>1965</v>
      </c>
      <c r="U593" t="b">
        <v>0</v>
      </c>
      <c r="V593" t="s">
        <v>446</v>
      </c>
    </row>
    <row r="594" spans="1:22" x14ac:dyDescent="0.25">
      <c r="A594" t="s">
        <v>42</v>
      </c>
      <c r="B594">
        <v>108</v>
      </c>
      <c r="C594" t="s">
        <v>979</v>
      </c>
      <c r="D594" t="s">
        <v>3769</v>
      </c>
      <c r="E594" t="s">
        <v>978</v>
      </c>
      <c r="F594" t="s">
        <v>3770</v>
      </c>
      <c r="G594" t="s">
        <v>24</v>
      </c>
      <c r="H594" t="s">
        <v>26</v>
      </c>
      <c r="I594" t="s">
        <v>3167</v>
      </c>
      <c r="J594" t="s">
        <v>984</v>
      </c>
      <c r="K594" t="s">
        <v>3168</v>
      </c>
      <c r="L594" t="s">
        <v>984</v>
      </c>
      <c r="M594" t="s">
        <v>980</v>
      </c>
      <c r="N594" t="s">
        <v>981</v>
      </c>
      <c r="O594" t="s">
        <v>981</v>
      </c>
      <c r="P594" t="s">
        <v>1746</v>
      </c>
      <c r="Q594" t="s">
        <v>3771</v>
      </c>
      <c r="R594" t="s">
        <v>446</v>
      </c>
      <c r="S594" t="s">
        <v>446</v>
      </c>
      <c r="T594" t="s">
        <v>1965</v>
      </c>
      <c r="U594" t="b">
        <v>0</v>
      </c>
      <c r="V594" t="s">
        <v>446</v>
      </c>
    </row>
    <row r="595" spans="1:22" x14ac:dyDescent="0.25">
      <c r="A595" t="s">
        <v>42</v>
      </c>
      <c r="B595">
        <v>108</v>
      </c>
      <c r="C595" t="s">
        <v>987</v>
      </c>
      <c r="D595" t="s">
        <v>3772</v>
      </c>
      <c r="E595" t="s">
        <v>986</v>
      </c>
      <c r="F595" t="s">
        <v>3773</v>
      </c>
      <c r="G595" t="s">
        <v>24</v>
      </c>
      <c r="H595" t="s">
        <v>26</v>
      </c>
      <c r="I595" t="s">
        <v>3167</v>
      </c>
      <c r="J595" t="s">
        <v>990</v>
      </c>
      <c r="K595" t="s">
        <v>3171</v>
      </c>
      <c r="L595" t="s">
        <v>990</v>
      </c>
      <c r="M595" t="s">
        <v>980</v>
      </c>
      <c r="N595" t="s">
        <v>988</v>
      </c>
      <c r="O595" t="s">
        <v>988</v>
      </c>
      <c r="P595" t="s">
        <v>1746</v>
      </c>
      <c r="Q595" t="s">
        <v>3771</v>
      </c>
      <c r="R595" t="s">
        <v>446</v>
      </c>
      <c r="S595" t="s">
        <v>446</v>
      </c>
      <c r="T595" t="s">
        <v>1965</v>
      </c>
      <c r="U595" t="b">
        <v>0</v>
      </c>
      <c r="V595" t="s">
        <v>446</v>
      </c>
    </row>
    <row r="596" spans="1:22" x14ac:dyDescent="0.25">
      <c r="A596" t="s">
        <v>42</v>
      </c>
      <c r="B596">
        <v>108</v>
      </c>
      <c r="C596" t="s">
        <v>993</v>
      </c>
      <c r="D596" t="s">
        <v>3774</v>
      </c>
      <c r="E596" t="s">
        <v>992</v>
      </c>
      <c r="F596" t="s">
        <v>3775</v>
      </c>
      <c r="G596" t="s">
        <v>24</v>
      </c>
      <c r="H596" t="s">
        <v>26</v>
      </c>
      <c r="I596" t="s">
        <v>3167</v>
      </c>
      <c r="J596" t="s">
        <v>996</v>
      </c>
      <c r="K596" t="s">
        <v>3173</v>
      </c>
      <c r="L596" t="s">
        <v>996</v>
      </c>
      <c r="M596" t="s">
        <v>980</v>
      </c>
      <c r="N596" t="s">
        <v>994</v>
      </c>
      <c r="O596" t="s">
        <v>994</v>
      </c>
      <c r="P596" t="s">
        <v>1746</v>
      </c>
      <c r="Q596" t="s">
        <v>3771</v>
      </c>
      <c r="R596" t="s">
        <v>446</v>
      </c>
      <c r="S596" t="s">
        <v>446</v>
      </c>
      <c r="T596" t="s">
        <v>1965</v>
      </c>
      <c r="U596" t="b">
        <v>0</v>
      </c>
      <c r="V596" t="s">
        <v>446</v>
      </c>
    </row>
    <row r="597" spans="1:22" x14ac:dyDescent="0.25">
      <c r="A597" t="s">
        <v>42</v>
      </c>
      <c r="B597">
        <v>108</v>
      </c>
      <c r="C597" t="s">
        <v>999</v>
      </c>
      <c r="D597" t="s">
        <v>3776</v>
      </c>
      <c r="E597" t="s">
        <v>998</v>
      </c>
      <c r="F597" t="s">
        <v>3777</v>
      </c>
      <c r="G597" t="s">
        <v>24</v>
      </c>
      <c r="H597" t="s">
        <v>26</v>
      </c>
      <c r="I597" t="s">
        <v>3167</v>
      </c>
      <c r="J597" t="s">
        <v>1003</v>
      </c>
      <c r="K597" t="s">
        <v>3175</v>
      </c>
      <c r="L597" t="s">
        <v>1003</v>
      </c>
      <c r="M597" t="s">
        <v>1000</v>
      </c>
      <c r="N597" t="s">
        <v>1001</v>
      </c>
      <c r="O597" t="s">
        <v>1001</v>
      </c>
      <c r="P597" t="s">
        <v>1746</v>
      </c>
      <c r="Q597" t="s">
        <v>3771</v>
      </c>
      <c r="R597" t="s">
        <v>446</v>
      </c>
      <c r="S597" t="s">
        <v>446</v>
      </c>
      <c r="T597" t="s">
        <v>1965</v>
      </c>
      <c r="U597" t="b">
        <v>0</v>
      </c>
      <c r="V597" t="s">
        <v>446</v>
      </c>
    </row>
    <row r="598" spans="1:22" x14ac:dyDescent="0.25">
      <c r="A598" t="s">
        <v>42</v>
      </c>
      <c r="B598">
        <v>108</v>
      </c>
      <c r="C598" t="s">
        <v>1005</v>
      </c>
      <c r="D598" t="s">
        <v>3778</v>
      </c>
      <c r="E598" t="s">
        <v>982</v>
      </c>
      <c r="F598" t="s">
        <v>3779</v>
      </c>
      <c r="G598" t="s">
        <v>24</v>
      </c>
      <c r="H598" t="s">
        <v>26</v>
      </c>
      <c r="I598" t="s">
        <v>3167</v>
      </c>
      <c r="J598" t="s">
        <v>1003</v>
      </c>
      <c r="K598" t="s">
        <v>3175</v>
      </c>
      <c r="L598" t="s">
        <v>1003</v>
      </c>
      <c r="M598" t="s">
        <v>1000</v>
      </c>
      <c r="N598" t="s">
        <v>1001</v>
      </c>
      <c r="O598" t="s">
        <v>1001</v>
      </c>
      <c r="P598" t="s">
        <v>1746</v>
      </c>
      <c r="Q598" t="s">
        <v>3771</v>
      </c>
      <c r="R598" t="s">
        <v>446</v>
      </c>
      <c r="S598" t="s">
        <v>446</v>
      </c>
      <c r="T598" t="s">
        <v>1965</v>
      </c>
      <c r="U598" t="b">
        <v>0</v>
      </c>
      <c r="V598" t="s">
        <v>446</v>
      </c>
    </row>
    <row r="599" spans="1:22" x14ac:dyDescent="0.25">
      <c r="A599" t="s">
        <v>42</v>
      </c>
      <c r="B599">
        <v>108</v>
      </c>
      <c r="C599" t="s">
        <v>1007</v>
      </c>
      <c r="D599" t="s">
        <v>3780</v>
      </c>
      <c r="E599" t="s">
        <v>1006</v>
      </c>
      <c r="F599" t="s">
        <v>3781</v>
      </c>
      <c r="G599" t="s">
        <v>24</v>
      </c>
      <c r="H599" t="s">
        <v>26</v>
      </c>
      <c r="I599" t="s">
        <v>3167</v>
      </c>
      <c r="J599" t="s">
        <v>1011</v>
      </c>
      <c r="K599" t="s">
        <v>3179</v>
      </c>
      <c r="L599" t="s">
        <v>1011</v>
      </c>
      <c r="M599" t="s">
        <v>1008</v>
      </c>
      <c r="N599" t="s">
        <v>1009</v>
      </c>
      <c r="O599" t="s">
        <v>1009</v>
      </c>
      <c r="P599" t="s">
        <v>1746</v>
      </c>
      <c r="Q599" t="s">
        <v>3771</v>
      </c>
      <c r="R599" t="s">
        <v>446</v>
      </c>
      <c r="S599" t="s">
        <v>446</v>
      </c>
      <c r="T599" t="s">
        <v>1965</v>
      </c>
      <c r="U599" t="b">
        <v>0</v>
      </c>
      <c r="V599" t="s">
        <v>446</v>
      </c>
    </row>
    <row r="600" spans="1:22" x14ac:dyDescent="0.25">
      <c r="A600" t="s">
        <v>42</v>
      </c>
      <c r="B600">
        <v>108</v>
      </c>
      <c r="C600" t="s">
        <v>1014</v>
      </c>
      <c r="D600" t="s">
        <v>3782</v>
      </c>
      <c r="E600" t="s">
        <v>1013</v>
      </c>
      <c r="F600" t="s">
        <v>3783</v>
      </c>
      <c r="G600" t="s">
        <v>24</v>
      </c>
      <c r="H600" t="s">
        <v>26</v>
      </c>
      <c r="I600" t="s">
        <v>3167</v>
      </c>
      <c r="J600" t="s">
        <v>1016</v>
      </c>
      <c r="K600" t="s">
        <v>3181</v>
      </c>
      <c r="L600" t="s">
        <v>1016</v>
      </c>
      <c r="M600" t="s">
        <v>980</v>
      </c>
      <c r="N600" t="s">
        <v>1015</v>
      </c>
      <c r="O600" t="s">
        <v>1015</v>
      </c>
      <c r="P600" t="s">
        <v>1746</v>
      </c>
      <c r="Q600" t="s">
        <v>3771</v>
      </c>
      <c r="R600" t="s">
        <v>446</v>
      </c>
      <c r="S600" t="s">
        <v>446</v>
      </c>
      <c r="T600" t="s">
        <v>1965</v>
      </c>
      <c r="U600" t="b">
        <v>0</v>
      </c>
      <c r="V600" t="s">
        <v>446</v>
      </c>
    </row>
    <row r="601" spans="1:22" x14ac:dyDescent="0.25">
      <c r="A601" t="s">
        <v>42</v>
      </c>
      <c r="B601">
        <v>108</v>
      </c>
      <c r="C601" t="s">
        <v>1019</v>
      </c>
      <c r="D601" t="s">
        <v>3784</v>
      </c>
      <c r="E601" t="s">
        <v>1018</v>
      </c>
      <c r="F601" t="s">
        <v>3785</v>
      </c>
      <c r="G601" t="s">
        <v>24</v>
      </c>
      <c r="H601" t="s">
        <v>26</v>
      </c>
      <c r="I601" t="s">
        <v>3167</v>
      </c>
      <c r="J601" t="s">
        <v>1021</v>
      </c>
      <c r="K601" t="s">
        <v>3183</v>
      </c>
      <c r="L601" t="s">
        <v>1021</v>
      </c>
      <c r="M601" t="s">
        <v>980</v>
      </c>
      <c r="N601" t="s">
        <v>1020</v>
      </c>
      <c r="O601" t="s">
        <v>1020</v>
      </c>
      <c r="P601" t="s">
        <v>1746</v>
      </c>
      <c r="Q601" t="s">
        <v>3771</v>
      </c>
      <c r="R601" t="s">
        <v>446</v>
      </c>
      <c r="S601" t="s">
        <v>446</v>
      </c>
      <c r="T601" t="s">
        <v>1965</v>
      </c>
      <c r="U601" t="b">
        <v>0</v>
      </c>
      <c r="V601" t="s">
        <v>446</v>
      </c>
    </row>
    <row r="602" spans="1:22" x14ac:dyDescent="0.25">
      <c r="A602" t="s">
        <v>42</v>
      </c>
      <c r="B602">
        <v>108</v>
      </c>
      <c r="C602" t="s">
        <v>1024</v>
      </c>
      <c r="D602" t="s">
        <v>3786</v>
      </c>
      <c r="E602" t="s">
        <v>1023</v>
      </c>
      <c r="F602" t="s">
        <v>3787</v>
      </c>
      <c r="G602" t="s">
        <v>24</v>
      </c>
      <c r="H602" t="s">
        <v>26</v>
      </c>
      <c r="I602" t="s">
        <v>3167</v>
      </c>
      <c r="J602" t="s">
        <v>1026</v>
      </c>
      <c r="K602" t="s">
        <v>3185</v>
      </c>
      <c r="L602" t="s">
        <v>1026</v>
      </c>
      <c r="M602" t="s">
        <v>1000</v>
      </c>
      <c r="N602" t="s">
        <v>1025</v>
      </c>
      <c r="O602" t="s">
        <v>1025</v>
      </c>
      <c r="P602" t="s">
        <v>1746</v>
      </c>
      <c r="Q602" t="s">
        <v>3771</v>
      </c>
      <c r="R602" t="s">
        <v>446</v>
      </c>
      <c r="S602" t="s">
        <v>446</v>
      </c>
      <c r="T602" t="s">
        <v>1965</v>
      </c>
      <c r="U602" t="b">
        <v>0</v>
      </c>
      <c r="V602" t="s">
        <v>446</v>
      </c>
    </row>
    <row r="603" spans="1:22" x14ac:dyDescent="0.25">
      <c r="A603" t="s">
        <v>42</v>
      </c>
      <c r="B603">
        <v>108</v>
      </c>
      <c r="C603" t="s">
        <v>1028</v>
      </c>
      <c r="D603" t="s">
        <v>3788</v>
      </c>
      <c r="E603" t="s">
        <v>1010</v>
      </c>
      <c r="F603" t="s">
        <v>3789</v>
      </c>
      <c r="G603" t="s">
        <v>24</v>
      </c>
      <c r="H603" t="s">
        <v>26</v>
      </c>
      <c r="I603" t="s">
        <v>3167</v>
      </c>
      <c r="J603" t="s">
        <v>1026</v>
      </c>
      <c r="K603" t="s">
        <v>3185</v>
      </c>
      <c r="L603" t="s">
        <v>1026</v>
      </c>
      <c r="M603" t="s">
        <v>1000</v>
      </c>
      <c r="N603" t="s">
        <v>1025</v>
      </c>
      <c r="O603" t="s">
        <v>1025</v>
      </c>
      <c r="P603" t="s">
        <v>1746</v>
      </c>
      <c r="Q603" t="s">
        <v>3771</v>
      </c>
      <c r="R603" t="s">
        <v>446</v>
      </c>
      <c r="S603" t="s">
        <v>446</v>
      </c>
      <c r="T603" t="s">
        <v>1965</v>
      </c>
      <c r="U603" t="b">
        <v>0</v>
      </c>
      <c r="V603" t="s">
        <v>446</v>
      </c>
    </row>
    <row r="604" spans="1:22" x14ac:dyDescent="0.25">
      <c r="A604" t="s">
        <v>42</v>
      </c>
      <c r="B604">
        <v>108</v>
      </c>
      <c r="C604" t="s">
        <v>1030</v>
      </c>
      <c r="D604" t="s">
        <v>3790</v>
      </c>
      <c r="E604" t="s">
        <v>1029</v>
      </c>
      <c r="F604" t="s">
        <v>3791</v>
      </c>
      <c r="G604" t="s">
        <v>24</v>
      </c>
      <c r="H604" t="s">
        <v>26</v>
      </c>
      <c r="I604" t="s">
        <v>3167</v>
      </c>
      <c r="J604" t="s">
        <v>1033</v>
      </c>
      <c r="K604" t="s">
        <v>3189</v>
      </c>
      <c r="L604" t="s">
        <v>1033</v>
      </c>
      <c r="M604" t="s">
        <v>980</v>
      </c>
      <c r="N604" t="s">
        <v>1031</v>
      </c>
      <c r="O604" t="s">
        <v>1031</v>
      </c>
      <c r="P604" t="s">
        <v>1746</v>
      </c>
      <c r="Q604" t="s">
        <v>3771</v>
      </c>
      <c r="R604" t="s">
        <v>446</v>
      </c>
      <c r="S604" t="s">
        <v>446</v>
      </c>
      <c r="T604" t="s">
        <v>1965</v>
      </c>
      <c r="U604" t="b">
        <v>0</v>
      </c>
      <c r="V604" t="s">
        <v>446</v>
      </c>
    </row>
    <row r="605" spans="1:22" x14ac:dyDescent="0.25">
      <c r="A605" t="s">
        <v>42</v>
      </c>
      <c r="B605">
        <v>108</v>
      </c>
      <c r="C605" t="s">
        <v>1036</v>
      </c>
      <c r="D605" t="s">
        <v>3792</v>
      </c>
      <c r="E605" t="s">
        <v>1035</v>
      </c>
      <c r="F605" t="s">
        <v>3793</v>
      </c>
      <c r="G605" t="s">
        <v>24</v>
      </c>
      <c r="H605" t="s">
        <v>26</v>
      </c>
      <c r="I605" t="s">
        <v>3167</v>
      </c>
      <c r="J605" t="s">
        <v>1038</v>
      </c>
      <c r="K605" t="s">
        <v>3191</v>
      </c>
      <c r="L605" t="s">
        <v>1038</v>
      </c>
      <c r="M605" t="s">
        <v>980</v>
      </c>
      <c r="N605" t="s">
        <v>1037</v>
      </c>
      <c r="O605" t="s">
        <v>1037</v>
      </c>
      <c r="P605" t="s">
        <v>1746</v>
      </c>
      <c r="Q605" t="s">
        <v>3771</v>
      </c>
      <c r="R605" t="s">
        <v>446</v>
      </c>
      <c r="S605" t="s">
        <v>446</v>
      </c>
      <c r="T605" t="s">
        <v>1965</v>
      </c>
      <c r="U605" t="b">
        <v>0</v>
      </c>
      <c r="V605" t="s">
        <v>446</v>
      </c>
    </row>
    <row r="606" spans="1:22" x14ac:dyDescent="0.25">
      <c r="A606" t="s">
        <v>42</v>
      </c>
      <c r="B606">
        <v>108</v>
      </c>
      <c r="C606" t="s">
        <v>1041</v>
      </c>
      <c r="D606" t="s">
        <v>3794</v>
      </c>
      <c r="E606" t="s">
        <v>1040</v>
      </c>
      <c r="F606" t="s">
        <v>3795</v>
      </c>
      <c r="G606" t="s">
        <v>24</v>
      </c>
      <c r="H606" t="s">
        <v>26</v>
      </c>
      <c r="I606" t="s">
        <v>3167</v>
      </c>
      <c r="J606" t="s">
        <v>1043</v>
      </c>
      <c r="K606" t="s">
        <v>3193</v>
      </c>
      <c r="L606" t="s">
        <v>1043</v>
      </c>
      <c r="M606" t="s">
        <v>980</v>
      </c>
      <c r="N606" t="s">
        <v>1042</v>
      </c>
      <c r="O606" t="s">
        <v>1042</v>
      </c>
      <c r="P606" t="s">
        <v>1746</v>
      </c>
      <c r="Q606" t="s">
        <v>3771</v>
      </c>
      <c r="R606" t="s">
        <v>446</v>
      </c>
      <c r="S606" t="s">
        <v>446</v>
      </c>
      <c r="T606" t="s">
        <v>1965</v>
      </c>
      <c r="U606" t="b">
        <v>0</v>
      </c>
      <c r="V606" t="s">
        <v>446</v>
      </c>
    </row>
    <row r="607" spans="1:22" x14ac:dyDescent="0.25">
      <c r="A607" t="s">
        <v>42</v>
      </c>
      <c r="B607">
        <v>108</v>
      </c>
      <c r="C607" t="s">
        <v>1046</v>
      </c>
      <c r="D607" t="s">
        <v>3796</v>
      </c>
      <c r="E607" t="s">
        <v>1045</v>
      </c>
      <c r="F607" t="s">
        <v>3797</v>
      </c>
      <c r="G607" t="s">
        <v>24</v>
      </c>
      <c r="H607" t="s">
        <v>26</v>
      </c>
      <c r="I607" t="s">
        <v>3167</v>
      </c>
      <c r="J607" t="s">
        <v>1048</v>
      </c>
      <c r="K607" t="s">
        <v>3195</v>
      </c>
      <c r="L607" t="s">
        <v>1048</v>
      </c>
      <c r="M607" t="s">
        <v>1000</v>
      </c>
      <c r="N607" t="s">
        <v>1047</v>
      </c>
      <c r="O607" t="s">
        <v>1047</v>
      </c>
      <c r="P607" t="s">
        <v>1746</v>
      </c>
      <c r="Q607" t="s">
        <v>3771</v>
      </c>
      <c r="R607" t="s">
        <v>446</v>
      </c>
      <c r="S607" t="s">
        <v>446</v>
      </c>
      <c r="T607" t="s">
        <v>1965</v>
      </c>
      <c r="U607" t="b">
        <v>0</v>
      </c>
      <c r="V607" t="s">
        <v>446</v>
      </c>
    </row>
    <row r="608" spans="1:22" x14ac:dyDescent="0.25">
      <c r="A608" t="s">
        <v>42</v>
      </c>
      <c r="B608">
        <v>108</v>
      </c>
      <c r="C608" t="s">
        <v>1050</v>
      </c>
      <c r="D608" t="s">
        <v>3798</v>
      </c>
      <c r="E608" t="s">
        <v>1032</v>
      </c>
      <c r="F608" t="s">
        <v>3799</v>
      </c>
      <c r="G608" t="s">
        <v>24</v>
      </c>
      <c r="H608" t="s">
        <v>26</v>
      </c>
      <c r="I608" t="s">
        <v>3167</v>
      </c>
      <c r="J608" t="s">
        <v>1048</v>
      </c>
      <c r="K608" t="s">
        <v>3195</v>
      </c>
      <c r="L608" t="s">
        <v>1048</v>
      </c>
      <c r="M608" t="s">
        <v>1000</v>
      </c>
      <c r="N608" t="s">
        <v>1047</v>
      </c>
      <c r="O608" t="s">
        <v>1047</v>
      </c>
      <c r="P608" t="s">
        <v>1746</v>
      </c>
      <c r="Q608" t="s">
        <v>3771</v>
      </c>
      <c r="R608" t="s">
        <v>446</v>
      </c>
      <c r="S608" t="s">
        <v>446</v>
      </c>
      <c r="T608" t="s">
        <v>1965</v>
      </c>
      <c r="U608" t="b">
        <v>0</v>
      </c>
      <c r="V608" t="s">
        <v>446</v>
      </c>
    </row>
    <row r="609" spans="1:22" x14ac:dyDescent="0.25">
      <c r="A609" t="s">
        <v>42</v>
      </c>
      <c r="B609">
        <v>108</v>
      </c>
      <c r="C609" t="s">
        <v>1052</v>
      </c>
      <c r="D609" t="s">
        <v>3800</v>
      </c>
      <c r="E609" t="s">
        <v>1051</v>
      </c>
      <c r="F609" t="s">
        <v>3801</v>
      </c>
      <c r="G609" t="s">
        <v>24</v>
      </c>
      <c r="H609" t="s">
        <v>26</v>
      </c>
      <c r="I609" t="s">
        <v>3167</v>
      </c>
      <c r="J609" t="s">
        <v>1055</v>
      </c>
      <c r="K609" t="s">
        <v>3199</v>
      </c>
      <c r="L609" t="s">
        <v>1055</v>
      </c>
      <c r="M609" t="s">
        <v>980</v>
      </c>
      <c r="N609" t="s">
        <v>1053</v>
      </c>
      <c r="O609" t="s">
        <v>1053</v>
      </c>
      <c r="P609" t="s">
        <v>1746</v>
      </c>
      <c r="Q609" t="s">
        <v>3771</v>
      </c>
      <c r="R609" t="s">
        <v>446</v>
      </c>
      <c r="S609" t="s">
        <v>446</v>
      </c>
      <c r="T609" t="s">
        <v>1965</v>
      </c>
      <c r="U609" t="b">
        <v>0</v>
      </c>
      <c r="V609" t="s">
        <v>446</v>
      </c>
    </row>
    <row r="610" spans="1:22" x14ac:dyDescent="0.25">
      <c r="A610" t="s">
        <v>42</v>
      </c>
      <c r="B610">
        <v>109</v>
      </c>
      <c r="C610" t="s">
        <v>979</v>
      </c>
      <c r="D610" t="s">
        <v>3802</v>
      </c>
      <c r="E610" t="s">
        <v>978</v>
      </c>
      <c r="F610" t="s">
        <v>3218</v>
      </c>
      <c r="G610" t="s">
        <v>24</v>
      </c>
      <c r="H610" t="s">
        <v>26</v>
      </c>
      <c r="I610" t="s">
        <v>3167</v>
      </c>
      <c r="J610" t="s">
        <v>984</v>
      </c>
      <c r="K610" t="s">
        <v>3168</v>
      </c>
      <c r="L610" t="s">
        <v>984</v>
      </c>
      <c r="M610" t="s">
        <v>980</v>
      </c>
      <c r="N610" t="s">
        <v>981</v>
      </c>
      <c r="O610" t="s">
        <v>981</v>
      </c>
      <c r="P610" t="s">
        <v>1746</v>
      </c>
      <c r="Q610" t="s">
        <v>3771</v>
      </c>
      <c r="R610" t="s">
        <v>446</v>
      </c>
      <c r="S610" t="s">
        <v>446</v>
      </c>
      <c r="T610" t="s">
        <v>1965</v>
      </c>
      <c r="U610" t="b">
        <v>0</v>
      </c>
      <c r="V610" t="s">
        <v>446</v>
      </c>
    </row>
    <row r="611" spans="1:22" x14ac:dyDescent="0.25">
      <c r="A611" t="s">
        <v>42</v>
      </c>
      <c r="B611">
        <v>109</v>
      </c>
      <c r="C611" t="s">
        <v>987</v>
      </c>
      <c r="D611" t="s">
        <v>3803</v>
      </c>
      <c r="E611" t="s">
        <v>986</v>
      </c>
      <c r="F611" t="s">
        <v>3218</v>
      </c>
      <c r="G611" t="s">
        <v>24</v>
      </c>
      <c r="H611" t="s">
        <v>26</v>
      </c>
      <c r="I611" t="s">
        <v>3167</v>
      </c>
      <c r="J611" t="s">
        <v>990</v>
      </c>
      <c r="K611" t="s">
        <v>3171</v>
      </c>
      <c r="L611" t="s">
        <v>990</v>
      </c>
      <c r="M611" t="s">
        <v>980</v>
      </c>
      <c r="N611" t="s">
        <v>988</v>
      </c>
      <c r="O611" t="s">
        <v>988</v>
      </c>
      <c r="P611" t="s">
        <v>1746</v>
      </c>
      <c r="Q611" t="s">
        <v>3771</v>
      </c>
      <c r="R611" t="s">
        <v>446</v>
      </c>
      <c r="S611" t="s">
        <v>446</v>
      </c>
      <c r="T611" t="s">
        <v>1965</v>
      </c>
      <c r="U611" t="b">
        <v>0</v>
      </c>
      <c r="V611" t="s">
        <v>446</v>
      </c>
    </row>
    <row r="612" spans="1:22" x14ac:dyDescent="0.25">
      <c r="A612" t="s">
        <v>42</v>
      </c>
      <c r="B612">
        <v>109</v>
      </c>
      <c r="C612" t="s">
        <v>993</v>
      </c>
      <c r="D612" t="s">
        <v>3804</v>
      </c>
      <c r="E612" t="s">
        <v>992</v>
      </c>
      <c r="F612" t="s">
        <v>3218</v>
      </c>
      <c r="G612" t="s">
        <v>24</v>
      </c>
      <c r="H612" t="s">
        <v>26</v>
      </c>
      <c r="I612" t="s">
        <v>3167</v>
      </c>
      <c r="J612" t="s">
        <v>996</v>
      </c>
      <c r="K612" t="s">
        <v>3173</v>
      </c>
      <c r="L612" t="s">
        <v>996</v>
      </c>
      <c r="M612" t="s">
        <v>980</v>
      </c>
      <c r="N612" t="s">
        <v>994</v>
      </c>
      <c r="O612" t="s">
        <v>994</v>
      </c>
      <c r="P612" t="s">
        <v>1746</v>
      </c>
      <c r="Q612" t="s">
        <v>3771</v>
      </c>
      <c r="R612" t="s">
        <v>446</v>
      </c>
      <c r="S612" t="s">
        <v>446</v>
      </c>
      <c r="T612" t="s">
        <v>1965</v>
      </c>
      <c r="U612" t="b">
        <v>0</v>
      </c>
      <c r="V612" t="s">
        <v>446</v>
      </c>
    </row>
    <row r="613" spans="1:22" x14ac:dyDescent="0.25">
      <c r="A613" t="s">
        <v>42</v>
      </c>
      <c r="B613">
        <v>109</v>
      </c>
      <c r="C613" t="s">
        <v>999</v>
      </c>
      <c r="D613" t="s">
        <v>3805</v>
      </c>
      <c r="E613" t="s">
        <v>998</v>
      </c>
      <c r="F613" t="s">
        <v>3552</v>
      </c>
      <c r="G613" t="s">
        <v>24</v>
      </c>
      <c r="H613" t="s">
        <v>26</v>
      </c>
      <c r="I613" t="s">
        <v>3167</v>
      </c>
      <c r="J613" t="s">
        <v>1003</v>
      </c>
      <c r="K613" t="s">
        <v>3175</v>
      </c>
      <c r="L613" t="s">
        <v>1003</v>
      </c>
      <c r="M613" t="s">
        <v>1000</v>
      </c>
      <c r="N613" t="s">
        <v>1001</v>
      </c>
      <c r="O613" t="s">
        <v>1001</v>
      </c>
      <c r="P613" t="s">
        <v>1746</v>
      </c>
      <c r="Q613" t="s">
        <v>3771</v>
      </c>
      <c r="R613" t="s">
        <v>446</v>
      </c>
      <c r="S613" t="s">
        <v>446</v>
      </c>
      <c r="T613" t="s">
        <v>1965</v>
      </c>
      <c r="U613" t="b">
        <v>0</v>
      </c>
      <c r="V613" t="s">
        <v>446</v>
      </c>
    </row>
    <row r="614" spans="1:22" x14ac:dyDescent="0.25">
      <c r="A614" t="s">
        <v>42</v>
      </c>
      <c r="B614">
        <v>109</v>
      </c>
      <c r="C614" t="s">
        <v>1005</v>
      </c>
      <c r="D614" t="s">
        <v>3806</v>
      </c>
      <c r="E614" t="s">
        <v>982</v>
      </c>
      <c r="F614" t="s">
        <v>3552</v>
      </c>
      <c r="G614" t="s">
        <v>24</v>
      </c>
      <c r="H614" t="s">
        <v>26</v>
      </c>
      <c r="I614" t="s">
        <v>3167</v>
      </c>
      <c r="J614" t="s">
        <v>1003</v>
      </c>
      <c r="K614" t="s">
        <v>3175</v>
      </c>
      <c r="L614" t="s">
        <v>1003</v>
      </c>
      <c r="M614" t="s">
        <v>1000</v>
      </c>
      <c r="N614" t="s">
        <v>1001</v>
      </c>
      <c r="O614" t="s">
        <v>1001</v>
      </c>
      <c r="P614" t="s">
        <v>1746</v>
      </c>
      <c r="Q614" t="s">
        <v>3771</v>
      </c>
      <c r="R614" t="s">
        <v>446</v>
      </c>
      <c r="S614" t="s">
        <v>446</v>
      </c>
      <c r="T614" t="s">
        <v>1965</v>
      </c>
      <c r="U614" t="b">
        <v>0</v>
      </c>
      <c r="V614" t="s">
        <v>446</v>
      </c>
    </row>
    <row r="615" spans="1:22" x14ac:dyDescent="0.25">
      <c r="A615" t="s">
        <v>42</v>
      </c>
      <c r="B615">
        <v>109</v>
      </c>
      <c r="C615" t="s">
        <v>1007</v>
      </c>
      <c r="D615" t="s">
        <v>3807</v>
      </c>
      <c r="E615" t="s">
        <v>1006</v>
      </c>
      <c r="F615" t="s">
        <v>3218</v>
      </c>
      <c r="G615" t="s">
        <v>24</v>
      </c>
      <c r="H615" t="s">
        <v>26</v>
      </c>
      <c r="I615" t="s">
        <v>3167</v>
      </c>
      <c r="J615" t="s">
        <v>1011</v>
      </c>
      <c r="K615" t="s">
        <v>3179</v>
      </c>
      <c r="L615" t="s">
        <v>1011</v>
      </c>
      <c r="M615" t="s">
        <v>1008</v>
      </c>
      <c r="N615" t="s">
        <v>1009</v>
      </c>
      <c r="O615" t="s">
        <v>1009</v>
      </c>
      <c r="P615" t="s">
        <v>1746</v>
      </c>
      <c r="Q615" t="s">
        <v>3771</v>
      </c>
      <c r="R615" t="s">
        <v>446</v>
      </c>
      <c r="S615" t="s">
        <v>446</v>
      </c>
      <c r="T615" t="s">
        <v>1965</v>
      </c>
      <c r="U615" t="b">
        <v>0</v>
      </c>
      <c r="V615" t="s">
        <v>446</v>
      </c>
    </row>
    <row r="616" spans="1:22" x14ac:dyDescent="0.25">
      <c r="A616" t="s">
        <v>42</v>
      </c>
      <c r="B616">
        <v>109</v>
      </c>
      <c r="C616" t="s">
        <v>1014</v>
      </c>
      <c r="D616" t="s">
        <v>3808</v>
      </c>
      <c r="E616" t="s">
        <v>1013</v>
      </c>
      <c r="F616" t="s">
        <v>3218</v>
      </c>
      <c r="G616" t="s">
        <v>24</v>
      </c>
      <c r="H616" t="s">
        <v>26</v>
      </c>
      <c r="I616" t="s">
        <v>3167</v>
      </c>
      <c r="J616" t="s">
        <v>1016</v>
      </c>
      <c r="K616" t="s">
        <v>3181</v>
      </c>
      <c r="L616" t="s">
        <v>1016</v>
      </c>
      <c r="M616" t="s">
        <v>980</v>
      </c>
      <c r="N616" t="s">
        <v>1015</v>
      </c>
      <c r="O616" t="s">
        <v>1015</v>
      </c>
      <c r="P616" t="s">
        <v>1746</v>
      </c>
      <c r="Q616" t="s">
        <v>3771</v>
      </c>
      <c r="R616" t="s">
        <v>446</v>
      </c>
      <c r="S616" t="s">
        <v>446</v>
      </c>
      <c r="T616" t="s">
        <v>1965</v>
      </c>
      <c r="U616" t="b">
        <v>0</v>
      </c>
      <c r="V616" t="s">
        <v>446</v>
      </c>
    </row>
    <row r="617" spans="1:22" x14ac:dyDescent="0.25">
      <c r="A617" t="s">
        <v>42</v>
      </c>
      <c r="B617">
        <v>109</v>
      </c>
      <c r="C617" t="s">
        <v>1019</v>
      </c>
      <c r="D617" t="s">
        <v>3809</v>
      </c>
      <c r="E617" t="s">
        <v>1018</v>
      </c>
      <c r="F617" t="s">
        <v>3218</v>
      </c>
      <c r="G617" t="s">
        <v>24</v>
      </c>
      <c r="H617" t="s">
        <v>26</v>
      </c>
      <c r="I617" t="s">
        <v>3167</v>
      </c>
      <c r="J617" t="s">
        <v>1021</v>
      </c>
      <c r="K617" t="s">
        <v>3183</v>
      </c>
      <c r="L617" t="s">
        <v>1021</v>
      </c>
      <c r="M617" t="s">
        <v>980</v>
      </c>
      <c r="N617" t="s">
        <v>1020</v>
      </c>
      <c r="O617" t="s">
        <v>1020</v>
      </c>
      <c r="P617" t="s">
        <v>1746</v>
      </c>
      <c r="Q617" t="s">
        <v>3771</v>
      </c>
      <c r="R617" t="s">
        <v>446</v>
      </c>
      <c r="S617" t="s">
        <v>446</v>
      </c>
      <c r="T617" t="s">
        <v>1965</v>
      </c>
      <c r="U617" t="b">
        <v>0</v>
      </c>
      <c r="V617" t="s">
        <v>446</v>
      </c>
    </row>
    <row r="618" spans="1:22" x14ac:dyDescent="0.25">
      <c r="A618" t="s">
        <v>42</v>
      </c>
      <c r="B618">
        <v>109</v>
      </c>
      <c r="C618" t="s">
        <v>1024</v>
      </c>
      <c r="D618" t="s">
        <v>3810</v>
      </c>
      <c r="E618" t="s">
        <v>1023</v>
      </c>
      <c r="F618" t="s">
        <v>3218</v>
      </c>
      <c r="G618" t="s">
        <v>24</v>
      </c>
      <c r="H618" t="s">
        <v>26</v>
      </c>
      <c r="I618" t="s">
        <v>3167</v>
      </c>
      <c r="J618" t="s">
        <v>1026</v>
      </c>
      <c r="K618" t="s">
        <v>3185</v>
      </c>
      <c r="L618" t="s">
        <v>1026</v>
      </c>
      <c r="M618" t="s">
        <v>1000</v>
      </c>
      <c r="N618" t="s">
        <v>1025</v>
      </c>
      <c r="O618" t="s">
        <v>1025</v>
      </c>
      <c r="P618" t="s">
        <v>1746</v>
      </c>
      <c r="Q618" t="s">
        <v>3771</v>
      </c>
      <c r="R618" t="s">
        <v>446</v>
      </c>
      <c r="S618" t="s">
        <v>446</v>
      </c>
      <c r="T618" t="s">
        <v>1965</v>
      </c>
      <c r="U618" t="b">
        <v>0</v>
      </c>
      <c r="V618" t="s">
        <v>446</v>
      </c>
    </row>
    <row r="619" spans="1:22" x14ac:dyDescent="0.25">
      <c r="A619" t="s">
        <v>42</v>
      </c>
      <c r="B619">
        <v>109</v>
      </c>
      <c r="C619" t="s">
        <v>1028</v>
      </c>
      <c r="D619" t="s">
        <v>3811</v>
      </c>
      <c r="E619" t="s">
        <v>1010</v>
      </c>
      <c r="F619" t="s">
        <v>3218</v>
      </c>
      <c r="G619" t="s">
        <v>24</v>
      </c>
      <c r="H619" t="s">
        <v>26</v>
      </c>
      <c r="I619" t="s">
        <v>3167</v>
      </c>
      <c r="J619" t="s">
        <v>1026</v>
      </c>
      <c r="K619" t="s">
        <v>3185</v>
      </c>
      <c r="L619" t="s">
        <v>1026</v>
      </c>
      <c r="M619" t="s">
        <v>1000</v>
      </c>
      <c r="N619" t="s">
        <v>1025</v>
      </c>
      <c r="O619" t="s">
        <v>1025</v>
      </c>
      <c r="P619" t="s">
        <v>1746</v>
      </c>
      <c r="Q619" t="s">
        <v>3771</v>
      </c>
      <c r="R619" t="s">
        <v>446</v>
      </c>
      <c r="S619" t="s">
        <v>446</v>
      </c>
      <c r="T619" t="s">
        <v>1965</v>
      </c>
      <c r="U619" t="b">
        <v>0</v>
      </c>
      <c r="V619" t="s">
        <v>446</v>
      </c>
    </row>
    <row r="620" spans="1:22" x14ac:dyDescent="0.25">
      <c r="A620" t="s">
        <v>42</v>
      </c>
      <c r="B620">
        <v>109</v>
      </c>
      <c r="C620" t="s">
        <v>1030</v>
      </c>
      <c r="D620" t="s">
        <v>3812</v>
      </c>
      <c r="E620" t="s">
        <v>1029</v>
      </c>
      <c r="F620" t="s">
        <v>3218</v>
      </c>
      <c r="G620" t="s">
        <v>24</v>
      </c>
      <c r="H620" t="s">
        <v>26</v>
      </c>
      <c r="I620" t="s">
        <v>3167</v>
      </c>
      <c r="J620" t="s">
        <v>1033</v>
      </c>
      <c r="K620" t="s">
        <v>3189</v>
      </c>
      <c r="L620" t="s">
        <v>1033</v>
      </c>
      <c r="M620" t="s">
        <v>980</v>
      </c>
      <c r="N620" t="s">
        <v>1031</v>
      </c>
      <c r="O620" t="s">
        <v>1031</v>
      </c>
      <c r="P620" t="s">
        <v>1746</v>
      </c>
      <c r="Q620" t="s">
        <v>3771</v>
      </c>
      <c r="R620" t="s">
        <v>446</v>
      </c>
      <c r="S620" t="s">
        <v>446</v>
      </c>
      <c r="T620" t="s">
        <v>1965</v>
      </c>
      <c r="U620" t="b">
        <v>0</v>
      </c>
      <c r="V620" t="s">
        <v>446</v>
      </c>
    </row>
    <row r="621" spans="1:22" x14ac:dyDescent="0.25">
      <c r="A621" t="s">
        <v>42</v>
      </c>
      <c r="B621">
        <v>109</v>
      </c>
      <c r="C621" t="s">
        <v>1036</v>
      </c>
      <c r="D621" t="s">
        <v>3813</v>
      </c>
      <c r="E621" t="s">
        <v>1035</v>
      </c>
      <c r="F621" t="s">
        <v>3218</v>
      </c>
      <c r="G621" t="s">
        <v>24</v>
      </c>
      <c r="H621" t="s">
        <v>26</v>
      </c>
      <c r="I621" t="s">
        <v>3167</v>
      </c>
      <c r="J621" t="s">
        <v>1038</v>
      </c>
      <c r="K621" t="s">
        <v>3191</v>
      </c>
      <c r="L621" t="s">
        <v>1038</v>
      </c>
      <c r="M621" t="s">
        <v>980</v>
      </c>
      <c r="N621" t="s">
        <v>1037</v>
      </c>
      <c r="O621" t="s">
        <v>1037</v>
      </c>
      <c r="P621" t="s">
        <v>1746</v>
      </c>
      <c r="Q621" t="s">
        <v>3771</v>
      </c>
      <c r="R621" t="s">
        <v>446</v>
      </c>
      <c r="S621" t="s">
        <v>446</v>
      </c>
      <c r="T621" t="s">
        <v>1965</v>
      </c>
      <c r="U621" t="b">
        <v>0</v>
      </c>
      <c r="V621" t="s">
        <v>446</v>
      </c>
    </row>
    <row r="622" spans="1:22" x14ac:dyDescent="0.25">
      <c r="A622" t="s">
        <v>42</v>
      </c>
      <c r="B622">
        <v>109</v>
      </c>
      <c r="C622" t="s">
        <v>1041</v>
      </c>
      <c r="D622" t="s">
        <v>3814</v>
      </c>
      <c r="E622" t="s">
        <v>1040</v>
      </c>
      <c r="F622" t="s">
        <v>3218</v>
      </c>
      <c r="G622" t="s">
        <v>24</v>
      </c>
      <c r="H622" t="s">
        <v>26</v>
      </c>
      <c r="I622" t="s">
        <v>3167</v>
      </c>
      <c r="J622" t="s">
        <v>1043</v>
      </c>
      <c r="K622" t="s">
        <v>3193</v>
      </c>
      <c r="L622" t="s">
        <v>1043</v>
      </c>
      <c r="M622" t="s">
        <v>980</v>
      </c>
      <c r="N622" t="s">
        <v>1042</v>
      </c>
      <c r="O622" t="s">
        <v>1042</v>
      </c>
      <c r="P622" t="s">
        <v>1746</v>
      </c>
      <c r="Q622" t="s">
        <v>3771</v>
      </c>
      <c r="R622" t="s">
        <v>446</v>
      </c>
      <c r="S622" t="s">
        <v>446</v>
      </c>
      <c r="T622" t="s">
        <v>1965</v>
      </c>
      <c r="U622" t="b">
        <v>0</v>
      </c>
      <c r="V622" t="s">
        <v>446</v>
      </c>
    </row>
    <row r="623" spans="1:22" x14ac:dyDescent="0.25">
      <c r="A623" t="s">
        <v>42</v>
      </c>
      <c r="B623">
        <v>109</v>
      </c>
      <c r="C623" t="s">
        <v>1046</v>
      </c>
      <c r="D623" t="s">
        <v>3815</v>
      </c>
      <c r="E623" t="s">
        <v>1045</v>
      </c>
      <c r="F623" t="s">
        <v>3218</v>
      </c>
      <c r="G623" t="s">
        <v>24</v>
      </c>
      <c r="H623" t="s">
        <v>26</v>
      </c>
      <c r="I623" t="s">
        <v>3167</v>
      </c>
      <c r="J623" t="s">
        <v>1048</v>
      </c>
      <c r="K623" t="s">
        <v>3195</v>
      </c>
      <c r="L623" t="s">
        <v>1048</v>
      </c>
      <c r="M623" t="s">
        <v>1000</v>
      </c>
      <c r="N623" t="s">
        <v>1047</v>
      </c>
      <c r="O623" t="s">
        <v>1047</v>
      </c>
      <c r="P623" t="s">
        <v>1746</v>
      </c>
      <c r="Q623" t="s">
        <v>3771</v>
      </c>
      <c r="R623" t="s">
        <v>446</v>
      </c>
      <c r="S623" t="s">
        <v>446</v>
      </c>
      <c r="T623" t="s">
        <v>1965</v>
      </c>
      <c r="U623" t="b">
        <v>0</v>
      </c>
      <c r="V623" t="s">
        <v>446</v>
      </c>
    </row>
    <row r="624" spans="1:22" x14ac:dyDescent="0.25">
      <c r="A624" t="s">
        <v>42</v>
      </c>
      <c r="B624">
        <v>109</v>
      </c>
      <c r="C624" t="s">
        <v>1050</v>
      </c>
      <c r="D624" t="s">
        <v>3816</v>
      </c>
      <c r="E624" t="s">
        <v>1032</v>
      </c>
      <c r="F624" t="s">
        <v>3218</v>
      </c>
      <c r="G624" t="s">
        <v>24</v>
      </c>
      <c r="H624" t="s">
        <v>26</v>
      </c>
      <c r="I624" t="s">
        <v>3167</v>
      </c>
      <c r="J624" t="s">
        <v>1048</v>
      </c>
      <c r="K624" t="s">
        <v>3195</v>
      </c>
      <c r="L624" t="s">
        <v>1048</v>
      </c>
      <c r="M624" t="s">
        <v>1000</v>
      </c>
      <c r="N624" t="s">
        <v>1047</v>
      </c>
      <c r="O624" t="s">
        <v>1047</v>
      </c>
      <c r="P624" t="s">
        <v>1746</v>
      </c>
      <c r="Q624" t="s">
        <v>3771</v>
      </c>
      <c r="R624" t="s">
        <v>446</v>
      </c>
      <c r="S624" t="s">
        <v>446</v>
      </c>
      <c r="T624" t="s">
        <v>1965</v>
      </c>
      <c r="U624" t="b">
        <v>0</v>
      </c>
      <c r="V624" t="s">
        <v>446</v>
      </c>
    </row>
    <row r="625" spans="1:22" x14ac:dyDescent="0.25">
      <c r="A625" t="s">
        <v>42</v>
      </c>
      <c r="B625">
        <v>109</v>
      </c>
      <c r="C625" t="s">
        <v>1052</v>
      </c>
      <c r="D625" t="s">
        <v>3817</v>
      </c>
      <c r="E625" t="s">
        <v>1051</v>
      </c>
      <c r="F625" t="s">
        <v>3218</v>
      </c>
      <c r="G625" t="s">
        <v>24</v>
      </c>
      <c r="H625" t="s">
        <v>26</v>
      </c>
      <c r="I625" t="s">
        <v>3167</v>
      </c>
      <c r="J625" t="s">
        <v>1055</v>
      </c>
      <c r="K625" t="s">
        <v>3199</v>
      </c>
      <c r="L625" t="s">
        <v>1055</v>
      </c>
      <c r="M625" t="s">
        <v>980</v>
      </c>
      <c r="N625" t="s">
        <v>1053</v>
      </c>
      <c r="O625" t="s">
        <v>1053</v>
      </c>
      <c r="P625" t="s">
        <v>1746</v>
      </c>
      <c r="Q625" t="s">
        <v>3771</v>
      </c>
      <c r="R625" t="s">
        <v>446</v>
      </c>
      <c r="S625" t="s">
        <v>446</v>
      </c>
      <c r="T625" t="s">
        <v>1965</v>
      </c>
      <c r="U625" t="b">
        <v>0</v>
      </c>
      <c r="V625" t="s">
        <v>446</v>
      </c>
    </row>
    <row r="626" spans="1:22" x14ac:dyDescent="0.25">
      <c r="A626" t="s">
        <v>42</v>
      </c>
      <c r="B626">
        <v>110</v>
      </c>
      <c r="C626" t="s">
        <v>979</v>
      </c>
      <c r="D626" t="s">
        <v>3818</v>
      </c>
      <c r="E626" t="s">
        <v>978</v>
      </c>
      <c r="F626" t="s">
        <v>3218</v>
      </c>
      <c r="G626" t="s">
        <v>24</v>
      </c>
      <c r="H626" t="s">
        <v>26</v>
      </c>
      <c r="I626" t="s">
        <v>3167</v>
      </c>
      <c r="J626" t="s">
        <v>984</v>
      </c>
      <c r="K626" t="s">
        <v>3168</v>
      </c>
      <c r="L626" t="s">
        <v>984</v>
      </c>
      <c r="M626" t="s">
        <v>980</v>
      </c>
      <c r="N626" t="s">
        <v>981</v>
      </c>
      <c r="O626" t="s">
        <v>981</v>
      </c>
      <c r="P626" t="s">
        <v>1746</v>
      </c>
      <c r="Q626" t="s">
        <v>3771</v>
      </c>
      <c r="R626" t="s">
        <v>446</v>
      </c>
      <c r="S626" t="s">
        <v>446</v>
      </c>
      <c r="T626" t="s">
        <v>1965</v>
      </c>
      <c r="U626" t="b">
        <v>0</v>
      </c>
      <c r="V626" t="s">
        <v>446</v>
      </c>
    </row>
    <row r="627" spans="1:22" x14ac:dyDescent="0.25">
      <c r="A627" t="s">
        <v>42</v>
      </c>
      <c r="B627">
        <v>110</v>
      </c>
      <c r="C627" t="s">
        <v>987</v>
      </c>
      <c r="D627" t="s">
        <v>3819</v>
      </c>
      <c r="E627" t="s">
        <v>986</v>
      </c>
      <c r="F627" t="s">
        <v>3820</v>
      </c>
      <c r="G627" t="s">
        <v>24</v>
      </c>
      <c r="H627" t="s">
        <v>26</v>
      </c>
      <c r="I627" t="s">
        <v>3167</v>
      </c>
      <c r="J627" t="s">
        <v>990</v>
      </c>
      <c r="K627" t="s">
        <v>3171</v>
      </c>
      <c r="L627" t="s">
        <v>990</v>
      </c>
      <c r="M627" t="s">
        <v>980</v>
      </c>
      <c r="N627" t="s">
        <v>988</v>
      </c>
      <c r="O627" t="s">
        <v>988</v>
      </c>
      <c r="P627" t="s">
        <v>1746</v>
      </c>
      <c r="Q627" t="s">
        <v>3771</v>
      </c>
      <c r="R627" t="s">
        <v>446</v>
      </c>
      <c r="S627" t="s">
        <v>446</v>
      </c>
      <c r="T627" t="s">
        <v>1965</v>
      </c>
      <c r="U627" t="b">
        <v>0</v>
      </c>
      <c r="V627" t="s">
        <v>446</v>
      </c>
    </row>
    <row r="628" spans="1:22" x14ac:dyDescent="0.25">
      <c r="A628" t="s">
        <v>42</v>
      </c>
      <c r="B628">
        <v>110</v>
      </c>
      <c r="C628" t="s">
        <v>993</v>
      </c>
      <c r="D628" t="s">
        <v>3821</v>
      </c>
      <c r="E628" t="s">
        <v>992</v>
      </c>
      <c r="F628" t="s">
        <v>3822</v>
      </c>
      <c r="G628" t="s">
        <v>24</v>
      </c>
      <c r="H628" t="s">
        <v>26</v>
      </c>
      <c r="I628" t="s">
        <v>3167</v>
      </c>
      <c r="J628" t="s">
        <v>996</v>
      </c>
      <c r="K628" t="s">
        <v>3173</v>
      </c>
      <c r="L628" t="s">
        <v>996</v>
      </c>
      <c r="M628" t="s">
        <v>980</v>
      </c>
      <c r="N628" t="s">
        <v>994</v>
      </c>
      <c r="O628" t="s">
        <v>994</v>
      </c>
      <c r="P628" t="s">
        <v>1746</v>
      </c>
      <c r="Q628" t="s">
        <v>3771</v>
      </c>
      <c r="R628" t="s">
        <v>446</v>
      </c>
      <c r="S628" t="s">
        <v>446</v>
      </c>
      <c r="T628" t="s">
        <v>1965</v>
      </c>
      <c r="U628" t="b">
        <v>0</v>
      </c>
      <c r="V628" t="s">
        <v>446</v>
      </c>
    </row>
    <row r="629" spans="1:22" x14ac:dyDescent="0.25">
      <c r="A629" t="s">
        <v>42</v>
      </c>
      <c r="B629">
        <v>110</v>
      </c>
      <c r="C629" t="s">
        <v>999</v>
      </c>
      <c r="D629" t="s">
        <v>3823</v>
      </c>
      <c r="E629" t="s">
        <v>998</v>
      </c>
      <c r="F629" t="s">
        <v>3824</v>
      </c>
      <c r="G629" t="s">
        <v>24</v>
      </c>
      <c r="H629" t="s">
        <v>26</v>
      </c>
      <c r="I629" t="s">
        <v>3167</v>
      </c>
      <c r="J629" t="s">
        <v>1003</v>
      </c>
      <c r="K629" t="s">
        <v>3175</v>
      </c>
      <c r="L629" t="s">
        <v>1003</v>
      </c>
      <c r="M629" t="s">
        <v>1000</v>
      </c>
      <c r="N629" t="s">
        <v>1001</v>
      </c>
      <c r="O629" t="s">
        <v>1001</v>
      </c>
      <c r="P629" t="s">
        <v>1746</v>
      </c>
      <c r="Q629" t="s">
        <v>3771</v>
      </c>
      <c r="R629" t="s">
        <v>446</v>
      </c>
      <c r="S629" t="s">
        <v>446</v>
      </c>
      <c r="T629" t="s">
        <v>1965</v>
      </c>
      <c r="U629" t="b">
        <v>0</v>
      </c>
      <c r="V629" t="s">
        <v>446</v>
      </c>
    </row>
    <row r="630" spans="1:22" x14ac:dyDescent="0.25">
      <c r="A630" t="s">
        <v>42</v>
      </c>
      <c r="B630">
        <v>110</v>
      </c>
      <c r="C630" t="s">
        <v>1005</v>
      </c>
      <c r="D630" t="s">
        <v>3825</v>
      </c>
      <c r="E630" t="s">
        <v>982</v>
      </c>
      <c r="F630" t="s">
        <v>3826</v>
      </c>
      <c r="G630" t="s">
        <v>24</v>
      </c>
      <c r="H630" t="s">
        <v>26</v>
      </c>
      <c r="I630" t="s">
        <v>3167</v>
      </c>
      <c r="J630" t="s">
        <v>1003</v>
      </c>
      <c r="K630" t="s">
        <v>3175</v>
      </c>
      <c r="L630" t="s">
        <v>1003</v>
      </c>
      <c r="M630" t="s">
        <v>1000</v>
      </c>
      <c r="N630" t="s">
        <v>1001</v>
      </c>
      <c r="O630" t="s">
        <v>1001</v>
      </c>
      <c r="P630" t="s">
        <v>1746</v>
      </c>
      <c r="Q630" t="s">
        <v>3771</v>
      </c>
      <c r="R630" t="s">
        <v>446</v>
      </c>
      <c r="S630" t="s">
        <v>446</v>
      </c>
      <c r="T630" t="s">
        <v>1965</v>
      </c>
      <c r="U630" t="b">
        <v>0</v>
      </c>
      <c r="V630" t="s">
        <v>446</v>
      </c>
    </row>
    <row r="631" spans="1:22" x14ac:dyDescent="0.25">
      <c r="A631" t="s">
        <v>42</v>
      </c>
      <c r="B631">
        <v>110</v>
      </c>
      <c r="C631" t="s">
        <v>1007</v>
      </c>
      <c r="D631" t="s">
        <v>3827</v>
      </c>
      <c r="E631" t="s">
        <v>1006</v>
      </c>
      <c r="F631" t="s">
        <v>3828</v>
      </c>
      <c r="G631" t="s">
        <v>24</v>
      </c>
      <c r="H631" t="s">
        <v>26</v>
      </c>
      <c r="I631" t="s">
        <v>3167</v>
      </c>
      <c r="J631" t="s">
        <v>1011</v>
      </c>
      <c r="K631" t="s">
        <v>3179</v>
      </c>
      <c r="L631" t="s">
        <v>1011</v>
      </c>
      <c r="M631" t="s">
        <v>1008</v>
      </c>
      <c r="N631" t="s">
        <v>1009</v>
      </c>
      <c r="O631" t="s">
        <v>1009</v>
      </c>
      <c r="P631" t="s">
        <v>1746</v>
      </c>
      <c r="Q631" t="s">
        <v>3771</v>
      </c>
      <c r="R631" t="s">
        <v>446</v>
      </c>
      <c r="S631" t="s">
        <v>446</v>
      </c>
      <c r="T631" t="s">
        <v>1965</v>
      </c>
      <c r="U631" t="b">
        <v>0</v>
      </c>
      <c r="V631" t="s">
        <v>446</v>
      </c>
    </row>
    <row r="632" spans="1:22" x14ac:dyDescent="0.25">
      <c r="A632" t="s">
        <v>42</v>
      </c>
      <c r="B632">
        <v>110</v>
      </c>
      <c r="C632" t="s">
        <v>1014</v>
      </c>
      <c r="D632" t="s">
        <v>3829</v>
      </c>
      <c r="E632" t="s">
        <v>1013</v>
      </c>
      <c r="F632" t="s">
        <v>3830</v>
      </c>
      <c r="G632" t="s">
        <v>24</v>
      </c>
      <c r="H632" t="s">
        <v>26</v>
      </c>
      <c r="I632" t="s">
        <v>3167</v>
      </c>
      <c r="J632" t="s">
        <v>1016</v>
      </c>
      <c r="K632" t="s">
        <v>3181</v>
      </c>
      <c r="L632" t="s">
        <v>1016</v>
      </c>
      <c r="M632" t="s">
        <v>980</v>
      </c>
      <c r="N632" t="s">
        <v>1015</v>
      </c>
      <c r="O632" t="s">
        <v>1015</v>
      </c>
      <c r="P632" t="s">
        <v>1746</v>
      </c>
      <c r="Q632" t="s">
        <v>3771</v>
      </c>
      <c r="R632" t="s">
        <v>446</v>
      </c>
      <c r="S632" t="s">
        <v>446</v>
      </c>
      <c r="T632" t="s">
        <v>1965</v>
      </c>
      <c r="U632" t="b">
        <v>0</v>
      </c>
      <c r="V632" t="s">
        <v>446</v>
      </c>
    </row>
    <row r="633" spans="1:22" x14ac:dyDescent="0.25">
      <c r="A633" t="s">
        <v>42</v>
      </c>
      <c r="B633">
        <v>110</v>
      </c>
      <c r="C633" t="s">
        <v>1019</v>
      </c>
      <c r="D633" t="s">
        <v>3831</v>
      </c>
      <c r="E633" t="s">
        <v>1018</v>
      </c>
      <c r="F633" t="s">
        <v>3832</v>
      </c>
      <c r="G633" t="s">
        <v>24</v>
      </c>
      <c r="H633" t="s">
        <v>26</v>
      </c>
      <c r="I633" t="s">
        <v>3167</v>
      </c>
      <c r="J633" t="s">
        <v>1021</v>
      </c>
      <c r="K633" t="s">
        <v>3183</v>
      </c>
      <c r="L633" t="s">
        <v>1021</v>
      </c>
      <c r="M633" t="s">
        <v>980</v>
      </c>
      <c r="N633" t="s">
        <v>1020</v>
      </c>
      <c r="O633" t="s">
        <v>1020</v>
      </c>
      <c r="P633" t="s">
        <v>1746</v>
      </c>
      <c r="Q633" t="s">
        <v>3771</v>
      </c>
      <c r="R633" t="s">
        <v>446</v>
      </c>
      <c r="S633" t="s">
        <v>446</v>
      </c>
      <c r="T633" t="s">
        <v>1965</v>
      </c>
      <c r="U633" t="b">
        <v>0</v>
      </c>
      <c r="V633" t="s">
        <v>446</v>
      </c>
    </row>
    <row r="634" spans="1:22" x14ac:dyDescent="0.25">
      <c r="A634" t="s">
        <v>42</v>
      </c>
      <c r="B634">
        <v>110</v>
      </c>
      <c r="C634" t="s">
        <v>1024</v>
      </c>
      <c r="D634" t="s">
        <v>3833</v>
      </c>
      <c r="E634" t="s">
        <v>1023</v>
      </c>
      <c r="F634" t="s">
        <v>3834</v>
      </c>
      <c r="G634" t="s">
        <v>24</v>
      </c>
      <c r="H634" t="s">
        <v>26</v>
      </c>
      <c r="I634" t="s">
        <v>3167</v>
      </c>
      <c r="J634" t="s">
        <v>1026</v>
      </c>
      <c r="K634" t="s">
        <v>3185</v>
      </c>
      <c r="L634" t="s">
        <v>1026</v>
      </c>
      <c r="M634" t="s">
        <v>1000</v>
      </c>
      <c r="N634" t="s">
        <v>1025</v>
      </c>
      <c r="O634" t="s">
        <v>1025</v>
      </c>
      <c r="P634" t="s">
        <v>1746</v>
      </c>
      <c r="Q634" t="s">
        <v>3771</v>
      </c>
      <c r="R634" t="s">
        <v>446</v>
      </c>
      <c r="S634" t="s">
        <v>446</v>
      </c>
      <c r="T634" t="s">
        <v>1965</v>
      </c>
      <c r="U634" t="b">
        <v>0</v>
      </c>
      <c r="V634" t="s">
        <v>446</v>
      </c>
    </row>
    <row r="635" spans="1:22" x14ac:dyDescent="0.25">
      <c r="A635" t="s">
        <v>42</v>
      </c>
      <c r="B635">
        <v>110</v>
      </c>
      <c r="C635" t="s">
        <v>1028</v>
      </c>
      <c r="D635" t="s">
        <v>3835</v>
      </c>
      <c r="E635" t="s">
        <v>1010</v>
      </c>
      <c r="F635" t="s">
        <v>3836</v>
      </c>
      <c r="G635" t="s">
        <v>24</v>
      </c>
      <c r="H635" t="s">
        <v>26</v>
      </c>
      <c r="I635" t="s">
        <v>3167</v>
      </c>
      <c r="J635" t="s">
        <v>1026</v>
      </c>
      <c r="K635" t="s">
        <v>3185</v>
      </c>
      <c r="L635" t="s">
        <v>1026</v>
      </c>
      <c r="M635" t="s">
        <v>1000</v>
      </c>
      <c r="N635" t="s">
        <v>1025</v>
      </c>
      <c r="O635" t="s">
        <v>1025</v>
      </c>
      <c r="P635" t="s">
        <v>1746</v>
      </c>
      <c r="Q635" t="s">
        <v>3771</v>
      </c>
      <c r="R635" t="s">
        <v>446</v>
      </c>
      <c r="S635" t="s">
        <v>446</v>
      </c>
      <c r="T635" t="s">
        <v>1965</v>
      </c>
      <c r="U635" t="b">
        <v>0</v>
      </c>
      <c r="V635" t="s">
        <v>446</v>
      </c>
    </row>
    <row r="636" spans="1:22" x14ac:dyDescent="0.25">
      <c r="A636" t="s">
        <v>42</v>
      </c>
      <c r="B636">
        <v>110</v>
      </c>
      <c r="C636" t="s">
        <v>1030</v>
      </c>
      <c r="D636" t="s">
        <v>3837</v>
      </c>
      <c r="E636" t="s">
        <v>1029</v>
      </c>
      <c r="F636" t="s">
        <v>3838</v>
      </c>
      <c r="G636" t="s">
        <v>24</v>
      </c>
      <c r="H636" t="s">
        <v>26</v>
      </c>
      <c r="I636" t="s">
        <v>3167</v>
      </c>
      <c r="J636" t="s">
        <v>1033</v>
      </c>
      <c r="K636" t="s">
        <v>3189</v>
      </c>
      <c r="L636" t="s">
        <v>1033</v>
      </c>
      <c r="M636" t="s">
        <v>980</v>
      </c>
      <c r="N636" t="s">
        <v>1031</v>
      </c>
      <c r="O636" t="s">
        <v>1031</v>
      </c>
      <c r="P636" t="s">
        <v>1746</v>
      </c>
      <c r="Q636" t="s">
        <v>3771</v>
      </c>
      <c r="R636" t="s">
        <v>446</v>
      </c>
      <c r="S636" t="s">
        <v>446</v>
      </c>
      <c r="T636" t="s">
        <v>1965</v>
      </c>
      <c r="U636" t="b">
        <v>0</v>
      </c>
      <c r="V636" t="s">
        <v>446</v>
      </c>
    </row>
    <row r="637" spans="1:22" x14ac:dyDescent="0.25">
      <c r="A637" t="s">
        <v>42</v>
      </c>
      <c r="B637">
        <v>110</v>
      </c>
      <c r="C637" t="s">
        <v>1036</v>
      </c>
      <c r="D637" t="s">
        <v>3839</v>
      </c>
      <c r="E637" t="s">
        <v>1035</v>
      </c>
      <c r="F637" t="s">
        <v>3840</v>
      </c>
      <c r="G637" t="s">
        <v>24</v>
      </c>
      <c r="H637" t="s">
        <v>26</v>
      </c>
      <c r="I637" t="s">
        <v>3167</v>
      </c>
      <c r="J637" t="s">
        <v>1038</v>
      </c>
      <c r="K637" t="s">
        <v>3191</v>
      </c>
      <c r="L637" t="s">
        <v>1038</v>
      </c>
      <c r="M637" t="s">
        <v>980</v>
      </c>
      <c r="N637" t="s">
        <v>1037</v>
      </c>
      <c r="O637" t="s">
        <v>1037</v>
      </c>
      <c r="P637" t="s">
        <v>1746</v>
      </c>
      <c r="Q637" t="s">
        <v>3771</v>
      </c>
      <c r="R637" t="s">
        <v>446</v>
      </c>
      <c r="S637" t="s">
        <v>446</v>
      </c>
      <c r="T637" t="s">
        <v>1965</v>
      </c>
      <c r="U637" t="b">
        <v>0</v>
      </c>
      <c r="V637" t="s">
        <v>446</v>
      </c>
    </row>
    <row r="638" spans="1:22" x14ac:dyDescent="0.25">
      <c r="A638" t="s">
        <v>42</v>
      </c>
      <c r="B638">
        <v>110</v>
      </c>
      <c r="C638" t="s">
        <v>1041</v>
      </c>
      <c r="D638" t="s">
        <v>3841</v>
      </c>
      <c r="E638" t="s">
        <v>1040</v>
      </c>
      <c r="F638" t="s">
        <v>3842</v>
      </c>
      <c r="G638" t="s">
        <v>24</v>
      </c>
      <c r="H638" t="s">
        <v>26</v>
      </c>
      <c r="I638" t="s">
        <v>3167</v>
      </c>
      <c r="J638" t="s">
        <v>1043</v>
      </c>
      <c r="K638" t="s">
        <v>3193</v>
      </c>
      <c r="L638" t="s">
        <v>1043</v>
      </c>
      <c r="M638" t="s">
        <v>980</v>
      </c>
      <c r="N638" t="s">
        <v>1042</v>
      </c>
      <c r="O638" t="s">
        <v>1042</v>
      </c>
      <c r="P638" t="s">
        <v>1746</v>
      </c>
      <c r="Q638" t="s">
        <v>3771</v>
      </c>
      <c r="R638" t="s">
        <v>446</v>
      </c>
      <c r="S638" t="s">
        <v>446</v>
      </c>
      <c r="T638" t="s">
        <v>1965</v>
      </c>
      <c r="U638" t="b">
        <v>0</v>
      </c>
      <c r="V638" t="s">
        <v>446</v>
      </c>
    </row>
    <row r="639" spans="1:22" x14ac:dyDescent="0.25">
      <c r="A639" t="s">
        <v>42</v>
      </c>
      <c r="B639">
        <v>110</v>
      </c>
      <c r="C639" t="s">
        <v>1046</v>
      </c>
      <c r="D639" t="s">
        <v>3843</v>
      </c>
      <c r="E639" t="s">
        <v>1045</v>
      </c>
      <c r="F639" t="s">
        <v>3844</v>
      </c>
      <c r="G639" t="s">
        <v>24</v>
      </c>
      <c r="H639" t="s">
        <v>26</v>
      </c>
      <c r="I639" t="s">
        <v>3167</v>
      </c>
      <c r="J639" t="s">
        <v>1048</v>
      </c>
      <c r="K639" t="s">
        <v>3195</v>
      </c>
      <c r="L639" t="s">
        <v>1048</v>
      </c>
      <c r="M639" t="s">
        <v>1000</v>
      </c>
      <c r="N639" t="s">
        <v>1047</v>
      </c>
      <c r="O639" t="s">
        <v>1047</v>
      </c>
      <c r="P639" t="s">
        <v>1746</v>
      </c>
      <c r="Q639" t="s">
        <v>3771</v>
      </c>
      <c r="R639" t="s">
        <v>446</v>
      </c>
      <c r="S639" t="s">
        <v>446</v>
      </c>
      <c r="T639" t="s">
        <v>1965</v>
      </c>
      <c r="U639" t="b">
        <v>0</v>
      </c>
      <c r="V639" t="s">
        <v>446</v>
      </c>
    </row>
    <row r="640" spans="1:22" x14ac:dyDescent="0.25">
      <c r="A640" t="s">
        <v>42</v>
      </c>
      <c r="B640">
        <v>110</v>
      </c>
      <c r="C640" t="s">
        <v>1050</v>
      </c>
      <c r="D640" t="s">
        <v>3845</v>
      </c>
      <c r="E640" t="s">
        <v>1032</v>
      </c>
      <c r="F640" t="s">
        <v>3846</v>
      </c>
      <c r="G640" t="s">
        <v>24</v>
      </c>
      <c r="H640" t="s">
        <v>26</v>
      </c>
      <c r="I640" t="s">
        <v>3167</v>
      </c>
      <c r="J640" t="s">
        <v>1048</v>
      </c>
      <c r="K640" t="s">
        <v>3195</v>
      </c>
      <c r="L640" t="s">
        <v>1048</v>
      </c>
      <c r="M640" t="s">
        <v>1000</v>
      </c>
      <c r="N640" t="s">
        <v>1047</v>
      </c>
      <c r="O640" t="s">
        <v>1047</v>
      </c>
      <c r="P640" t="s">
        <v>1746</v>
      </c>
      <c r="Q640" t="s">
        <v>3771</v>
      </c>
      <c r="R640" t="s">
        <v>446</v>
      </c>
      <c r="S640" t="s">
        <v>446</v>
      </c>
      <c r="T640" t="s">
        <v>1965</v>
      </c>
      <c r="U640" t="b">
        <v>0</v>
      </c>
      <c r="V640" t="s">
        <v>446</v>
      </c>
    </row>
    <row r="641" spans="1:22" x14ac:dyDescent="0.25">
      <c r="A641" t="s">
        <v>42</v>
      </c>
      <c r="B641">
        <v>110</v>
      </c>
      <c r="C641" t="s">
        <v>1052</v>
      </c>
      <c r="D641" t="s">
        <v>3847</v>
      </c>
      <c r="E641" t="s">
        <v>1051</v>
      </c>
      <c r="F641" t="s">
        <v>3848</v>
      </c>
      <c r="G641" t="s">
        <v>24</v>
      </c>
      <c r="H641" t="s">
        <v>26</v>
      </c>
      <c r="I641" t="s">
        <v>3167</v>
      </c>
      <c r="J641" t="s">
        <v>1055</v>
      </c>
      <c r="K641" t="s">
        <v>3199</v>
      </c>
      <c r="L641" t="s">
        <v>1055</v>
      </c>
      <c r="M641" t="s">
        <v>980</v>
      </c>
      <c r="N641" t="s">
        <v>1053</v>
      </c>
      <c r="O641" t="s">
        <v>1053</v>
      </c>
      <c r="P641" t="s">
        <v>1746</v>
      </c>
      <c r="Q641" t="s">
        <v>3771</v>
      </c>
      <c r="R641" t="s">
        <v>446</v>
      </c>
      <c r="S641" t="s">
        <v>446</v>
      </c>
      <c r="T641" t="s">
        <v>1965</v>
      </c>
      <c r="U641" t="b">
        <v>0</v>
      </c>
      <c r="V641" t="s">
        <v>446</v>
      </c>
    </row>
    <row r="642" spans="1:22" x14ac:dyDescent="0.25">
      <c r="A642" t="s">
        <v>42</v>
      </c>
      <c r="B642">
        <v>111</v>
      </c>
      <c r="C642" t="s">
        <v>979</v>
      </c>
      <c r="D642" t="s">
        <v>3849</v>
      </c>
      <c r="E642" t="s">
        <v>978</v>
      </c>
      <c r="F642" t="s">
        <v>3218</v>
      </c>
      <c r="G642" t="s">
        <v>24</v>
      </c>
      <c r="H642" t="s">
        <v>26</v>
      </c>
      <c r="I642" t="s">
        <v>3167</v>
      </c>
      <c r="J642" t="s">
        <v>984</v>
      </c>
      <c r="K642" t="s">
        <v>3168</v>
      </c>
      <c r="L642" t="s">
        <v>984</v>
      </c>
      <c r="M642" t="s">
        <v>980</v>
      </c>
      <c r="N642" t="s">
        <v>981</v>
      </c>
      <c r="O642" t="s">
        <v>981</v>
      </c>
      <c r="P642" t="s">
        <v>1746</v>
      </c>
      <c r="Q642" t="s">
        <v>3771</v>
      </c>
      <c r="R642" t="s">
        <v>446</v>
      </c>
      <c r="S642" t="s">
        <v>446</v>
      </c>
      <c r="T642" t="s">
        <v>1965</v>
      </c>
      <c r="U642" t="b">
        <v>0</v>
      </c>
      <c r="V642" t="s">
        <v>446</v>
      </c>
    </row>
    <row r="643" spans="1:22" x14ac:dyDescent="0.25">
      <c r="A643" t="s">
        <v>42</v>
      </c>
      <c r="B643">
        <v>111</v>
      </c>
      <c r="C643" t="s">
        <v>987</v>
      </c>
      <c r="D643" t="s">
        <v>3850</v>
      </c>
      <c r="E643" t="s">
        <v>986</v>
      </c>
      <c r="F643" t="s">
        <v>3218</v>
      </c>
      <c r="G643" t="s">
        <v>24</v>
      </c>
      <c r="H643" t="s">
        <v>26</v>
      </c>
      <c r="I643" t="s">
        <v>3167</v>
      </c>
      <c r="J643" t="s">
        <v>990</v>
      </c>
      <c r="K643" t="s">
        <v>3171</v>
      </c>
      <c r="L643" t="s">
        <v>990</v>
      </c>
      <c r="M643" t="s">
        <v>980</v>
      </c>
      <c r="N643" t="s">
        <v>988</v>
      </c>
      <c r="O643" t="s">
        <v>988</v>
      </c>
      <c r="P643" t="s">
        <v>1746</v>
      </c>
      <c r="Q643" t="s">
        <v>3771</v>
      </c>
      <c r="R643" t="s">
        <v>446</v>
      </c>
      <c r="S643" t="s">
        <v>446</v>
      </c>
      <c r="T643" t="s">
        <v>1965</v>
      </c>
      <c r="U643" t="b">
        <v>0</v>
      </c>
      <c r="V643" t="s">
        <v>446</v>
      </c>
    </row>
    <row r="644" spans="1:22" x14ac:dyDescent="0.25">
      <c r="A644" t="s">
        <v>42</v>
      </c>
      <c r="B644">
        <v>111</v>
      </c>
      <c r="C644" t="s">
        <v>993</v>
      </c>
      <c r="D644" t="s">
        <v>3851</v>
      </c>
      <c r="E644" t="s">
        <v>992</v>
      </c>
      <c r="F644" t="s">
        <v>3218</v>
      </c>
      <c r="G644" t="s">
        <v>24</v>
      </c>
      <c r="H644" t="s">
        <v>26</v>
      </c>
      <c r="I644" t="s">
        <v>3167</v>
      </c>
      <c r="J644" t="s">
        <v>996</v>
      </c>
      <c r="K644" t="s">
        <v>3173</v>
      </c>
      <c r="L644" t="s">
        <v>996</v>
      </c>
      <c r="M644" t="s">
        <v>980</v>
      </c>
      <c r="N644" t="s">
        <v>994</v>
      </c>
      <c r="O644" t="s">
        <v>994</v>
      </c>
      <c r="P644" t="s">
        <v>1746</v>
      </c>
      <c r="Q644" t="s">
        <v>3771</v>
      </c>
      <c r="R644" t="s">
        <v>446</v>
      </c>
      <c r="S644" t="s">
        <v>446</v>
      </c>
      <c r="T644" t="s">
        <v>1965</v>
      </c>
      <c r="U644" t="b">
        <v>0</v>
      </c>
      <c r="V644" t="s">
        <v>446</v>
      </c>
    </row>
    <row r="645" spans="1:22" x14ac:dyDescent="0.25">
      <c r="A645" t="s">
        <v>42</v>
      </c>
      <c r="B645">
        <v>111</v>
      </c>
      <c r="C645" t="s">
        <v>999</v>
      </c>
      <c r="D645" t="s">
        <v>3852</v>
      </c>
      <c r="E645" t="s">
        <v>998</v>
      </c>
      <c r="F645" t="s">
        <v>3218</v>
      </c>
      <c r="G645" t="s">
        <v>24</v>
      </c>
      <c r="H645" t="s">
        <v>26</v>
      </c>
      <c r="I645" t="s">
        <v>3167</v>
      </c>
      <c r="J645" t="s">
        <v>1003</v>
      </c>
      <c r="K645" t="s">
        <v>3175</v>
      </c>
      <c r="L645" t="s">
        <v>1003</v>
      </c>
      <c r="M645" t="s">
        <v>1000</v>
      </c>
      <c r="N645" t="s">
        <v>1001</v>
      </c>
      <c r="O645" t="s">
        <v>1001</v>
      </c>
      <c r="P645" t="s">
        <v>1746</v>
      </c>
      <c r="Q645" t="s">
        <v>3771</v>
      </c>
      <c r="R645" t="s">
        <v>446</v>
      </c>
      <c r="S645" t="s">
        <v>446</v>
      </c>
      <c r="T645" t="s">
        <v>1965</v>
      </c>
      <c r="U645" t="b">
        <v>0</v>
      </c>
      <c r="V645" t="s">
        <v>446</v>
      </c>
    </row>
    <row r="646" spans="1:22" x14ac:dyDescent="0.25">
      <c r="A646" t="s">
        <v>42</v>
      </c>
      <c r="B646">
        <v>111</v>
      </c>
      <c r="C646" t="s">
        <v>1005</v>
      </c>
      <c r="D646" t="s">
        <v>3853</v>
      </c>
      <c r="E646" t="s">
        <v>982</v>
      </c>
      <c r="F646" t="s">
        <v>3218</v>
      </c>
      <c r="G646" t="s">
        <v>24</v>
      </c>
      <c r="H646" t="s">
        <v>26</v>
      </c>
      <c r="I646" t="s">
        <v>3167</v>
      </c>
      <c r="J646" t="s">
        <v>1003</v>
      </c>
      <c r="K646" t="s">
        <v>3175</v>
      </c>
      <c r="L646" t="s">
        <v>1003</v>
      </c>
      <c r="M646" t="s">
        <v>1000</v>
      </c>
      <c r="N646" t="s">
        <v>1001</v>
      </c>
      <c r="O646" t="s">
        <v>1001</v>
      </c>
      <c r="P646" t="s">
        <v>1746</v>
      </c>
      <c r="Q646" t="s">
        <v>3771</v>
      </c>
      <c r="R646" t="s">
        <v>446</v>
      </c>
      <c r="S646" t="s">
        <v>446</v>
      </c>
      <c r="T646" t="s">
        <v>1965</v>
      </c>
      <c r="U646" t="b">
        <v>0</v>
      </c>
      <c r="V646" t="s">
        <v>446</v>
      </c>
    </row>
    <row r="647" spans="1:22" x14ac:dyDescent="0.25">
      <c r="A647" t="s">
        <v>42</v>
      </c>
      <c r="B647">
        <v>111</v>
      </c>
      <c r="C647" t="s">
        <v>1007</v>
      </c>
      <c r="D647" t="s">
        <v>3854</v>
      </c>
      <c r="E647" t="s">
        <v>1006</v>
      </c>
      <c r="F647" t="s">
        <v>3218</v>
      </c>
      <c r="G647" t="s">
        <v>24</v>
      </c>
      <c r="H647" t="s">
        <v>26</v>
      </c>
      <c r="I647" t="s">
        <v>3167</v>
      </c>
      <c r="J647" t="s">
        <v>1011</v>
      </c>
      <c r="K647" t="s">
        <v>3179</v>
      </c>
      <c r="L647" t="s">
        <v>1011</v>
      </c>
      <c r="M647" t="s">
        <v>1008</v>
      </c>
      <c r="N647" t="s">
        <v>1009</v>
      </c>
      <c r="O647" t="s">
        <v>1009</v>
      </c>
      <c r="P647" t="s">
        <v>1746</v>
      </c>
      <c r="Q647" t="s">
        <v>3771</v>
      </c>
      <c r="R647" t="s">
        <v>446</v>
      </c>
      <c r="S647" t="s">
        <v>446</v>
      </c>
      <c r="T647" t="s">
        <v>1965</v>
      </c>
      <c r="U647" t="b">
        <v>0</v>
      </c>
      <c r="V647" t="s">
        <v>446</v>
      </c>
    </row>
    <row r="648" spans="1:22" x14ac:dyDescent="0.25">
      <c r="A648" t="s">
        <v>42</v>
      </c>
      <c r="B648">
        <v>111</v>
      </c>
      <c r="C648" t="s">
        <v>1014</v>
      </c>
      <c r="D648" t="s">
        <v>3855</v>
      </c>
      <c r="E648" t="s">
        <v>1013</v>
      </c>
      <c r="F648" t="s">
        <v>3218</v>
      </c>
      <c r="G648" t="s">
        <v>24</v>
      </c>
      <c r="H648" t="s">
        <v>26</v>
      </c>
      <c r="I648" t="s">
        <v>3167</v>
      </c>
      <c r="J648" t="s">
        <v>1016</v>
      </c>
      <c r="K648" t="s">
        <v>3181</v>
      </c>
      <c r="L648" t="s">
        <v>1016</v>
      </c>
      <c r="M648" t="s">
        <v>980</v>
      </c>
      <c r="N648" t="s">
        <v>1015</v>
      </c>
      <c r="O648" t="s">
        <v>1015</v>
      </c>
      <c r="P648" t="s">
        <v>1746</v>
      </c>
      <c r="Q648" t="s">
        <v>3771</v>
      </c>
      <c r="R648" t="s">
        <v>446</v>
      </c>
      <c r="S648" t="s">
        <v>446</v>
      </c>
      <c r="T648" t="s">
        <v>1965</v>
      </c>
      <c r="U648" t="b">
        <v>0</v>
      </c>
      <c r="V648" t="s">
        <v>446</v>
      </c>
    </row>
    <row r="649" spans="1:22" x14ac:dyDescent="0.25">
      <c r="A649" t="s">
        <v>42</v>
      </c>
      <c r="B649">
        <v>111</v>
      </c>
      <c r="C649" t="s">
        <v>1019</v>
      </c>
      <c r="D649" t="s">
        <v>3856</v>
      </c>
      <c r="E649" t="s">
        <v>1018</v>
      </c>
      <c r="F649" t="s">
        <v>3218</v>
      </c>
      <c r="G649" t="s">
        <v>24</v>
      </c>
      <c r="H649" t="s">
        <v>26</v>
      </c>
      <c r="I649" t="s">
        <v>3167</v>
      </c>
      <c r="J649" t="s">
        <v>1021</v>
      </c>
      <c r="K649" t="s">
        <v>3183</v>
      </c>
      <c r="L649" t="s">
        <v>1021</v>
      </c>
      <c r="M649" t="s">
        <v>980</v>
      </c>
      <c r="N649" t="s">
        <v>1020</v>
      </c>
      <c r="O649" t="s">
        <v>1020</v>
      </c>
      <c r="P649" t="s">
        <v>1746</v>
      </c>
      <c r="Q649" t="s">
        <v>3771</v>
      </c>
      <c r="R649" t="s">
        <v>446</v>
      </c>
      <c r="S649" t="s">
        <v>446</v>
      </c>
      <c r="T649" t="s">
        <v>1965</v>
      </c>
      <c r="U649" t="b">
        <v>0</v>
      </c>
      <c r="V649" t="s">
        <v>446</v>
      </c>
    </row>
    <row r="650" spans="1:22" x14ac:dyDescent="0.25">
      <c r="A650" t="s">
        <v>42</v>
      </c>
      <c r="B650">
        <v>111</v>
      </c>
      <c r="C650" t="s">
        <v>1024</v>
      </c>
      <c r="D650" t="s">
        <v>3857</v>
      </c>
      <c r="E650" t="s">
        <v>1023</v>
      </c>
      <c r="F650" t="s">
        <v>3218</v>
      </c>
      <c r="G650" t="s">
        <v>24</v>
      </c>
      <c r="H650" t="s">
        <v>26</v>
      </c>
      <c r="I650" t="s">
        <v>3167</v>
      </c>
      <c r="J650" t="s">
        <v>1026</v>
      </c>
      <c r="K650" t="s">
        <v>3185</v>
      </c>
      <c r="L650" t="s">
        <v>1026</v>
      </c>
      <c r="M650" t="s">
        <v>1000</v>
      </c>
      <c r="N650" t="s">
        <v>1025</v>
      </c>
      <c r="O650" t="s">
        <v>1025</v>
      </c>
      <c r="P650" t="s">
        <v>1746</v>
      </c>
      <c r="Q650" t="s">
        <v>3771</v>
      </c>
      <c r="R650" t="s">
        <v>446</v>
      </c>
      <c r="S650" t="s">
        <v>446</v>
      </c>
      <c r="T650" t="s">
        <v>1965</v>
      </c>
      <c r="U650" t="b">
        <v>0</v>
      </c>
      <c r="V650" t="s">
        <v>446</v>
      </c>
    </row>
    <row r="651" spans="1:22" x14ac:dyDescent="0.25">
      <c r="A651" t="s">
        <v>42</v>
      </c>
      <c r="B651">
        <v>111</v>
      </c>
      <c r="C651" t="s">
        <v>1028</v>
      </c>
      <c r="D651" t="s">
        <v>3858</v>
      </c>
      <c r="E651" t="s">
        <v>1010</v>
      </c>
      <c r="F651" t="s">
        <v>3218</v>
      </c>
      <c r="G651" t="s">
        <v>24</v>
      </c>
      <c r="H651" t="s">
        <v>26</v>
      </c>
      <c r="I651" t="s">
        <v>3167</v>
      </c>
      <c r="J651" t="s">
        <v>1026</v>
      </c>
      <c r="K651" t="s">
        <v>3185</v>
      </c>
      <c r="L651" t="s">
        <v>1026</v>
      </c>
      <c r="M651" t="s">
        <v>1000</v>
      </c>
      <c r="N651" t="s">
        <v>1025</v>
      </c>
      <c r="O651" t="s">
        <v>1025</v>
      </c>
      <c r="P651" t="s">
        <v>1746</v>
      </c>
      <c r="Q651" t="s">
        <v>3771</v>
      </c>
      <c r="R651" t="s">
        <v>446</v>
      </c>
      <c r="S651" t="s">
        <v>446</v>
      </c>
      <c r="T651" t="s">
        <v>1965</v>
      </c>
      <c r="U651" t="b">
        <v>0</v>
      </c>
      <c r="V651" t="s">
        <v>446</v>
      </c>
    </row>
    <row r="652" spans="1:22" x14ac:dyDescent="0.25">
      <c r="A652" t="s">
        <v>42</v>
      </c>
      <c r="B652">
        <v>111</v>
      </c>
      <c r="C652" t="s">
        <v>1030</v>
      </c>
      <c r="D652" t="s">
        <v>3859</v>
      </c>
      <c r="E652" t="s">
        <v>1029</v>
      </c>
      <c r="F652" t="s">
        <v>3218</v>
      </c>
      <c r="G652" t="s">
        <v>24</v>
      </c>
      <c r="H652" t="s">
        <v>26</v>
      </c>
      <c r="I652" t="s">
        <v>3167</v>
      </c>
      <c r="J652" t="s">
        <v>1033</v>
      </c>
      <c r="K652" t="s">
        <v>3189</v>
      </c>
      <c r="L652" t="s">
        <v>1033</v>
      </c>
      <c r="M652" t="s">
        <v>980</v>
      </c>
      <c r="N652" t="s">
        <v>1031</v>
      </c>
      <c r="O652" t="s">
        <v>1031</v>
      </c>
      <c r="P652" t="s">
        <v>1746</v>
      </c>
      <c r="Q652" t="s">
        <v>3771</v>
      </c>
      <c r="R652" t="s">
        <v>446</v>
      </c>
      <c r="S652" t="s">
        <v>446</v>
      </c>
      <c r="T652" t="s">
        <v>1965</v>
      </c>
      <c r="U652" t="b">
        <v>0</v>
      </c>
      <c r="V652" t="s">
        <v>446</v>
      </c>
    </row>
    <row r="653" spans="1:22" x14ac:dyDescent="0.25">
      <c r="A653" t="s">
        <v>42</v>
      </c>
      <c r="B653">
        <v>111</v>
      </c>
      <c r="C653" t="s">
        <v>1036</v>
      </c>
      <c r="D653" t="s">
        <v>3860</v>
      </c>
      <c r="E653" t="s">
        <v>1035</v>
      </c>
      <c r="F653" t="s">
        <v>3218</v>
      </c>
      <c r="G653" t="s">
        <v>24</v>
      </c>
      <c r="H653" t="s">
        <v>26</v>
      </c>
      <c r="I653" t="s">
        <v>3167</v>
      </c>
      <c r="J653" t="s">
        <v>1038</v>
      </c>
      <c r="K653" t="s">
        <v>3191</v>
      </c>
      <c r="L653" t="s">
        <v>1038</v>
      </c>
      <c r="M653" t="s">
        <v>980</v>
      </c>
      <c r="N653" t="s">
        <v>1037</v>
      </c>
      <c r="O653" t="s">
        <v>1037</v>
      </c>
      <c r="P653" t="s">
        <v>1746</v>
      </c>
      <c r="Q653" t="s">
        <v>3771</v>
      </c>
      <c r="R653" t="s">
        <v>446</v>
      </c>
      <c r="S653" t="s">
        <v>446</v>
      </c>
      <c r="T653" t="s">
        <v>1965</v>
      </c>
      <c r="U653" t="b">
        <v>0</v>
      </c>
      <c r="V653" t="s">
        <v>446</v>
      </c>
    </row>
    <row r="654" spans="1:22" x14ac:dyDescent="0.25">
      <c r="A654" t="s">
        <v>42</v>
      </c>
      <c r="B654">
        <v>111</v>
      </c>
      <c r="C654" t="s">
        <v>1041</v>
      </c>
      <c r="D654" t="s">
        <v>3861</v>
      </c>
      <c r="E654" t="s">
        <v>1040</v>
      </c>
      <c r="F654" t="s">
        <v>3218</v>
      </c>
      <c r="G654" t="s">
        <v>24</v>
      </c>
      <c r="H654" t="s">
        <v>26</v>
      </c>
      <c r="I654" t="s">
        <v>3167</v>
      </c>
      <c r="J654" t="s">
        <v>1043</v>
      </c>
      <c r="K654" t="s">
        <v>3193</v>
      </c>
      <c r="L654" t="s">
        <v>1043</v>
      </c>
      <c r="M654" t="s">
        <v>980</v>
      </c>
      <c r="N654" t="s">
        <v>1042</v>
      </c>
      <c r="O654" t="s">
        <v>1042</v>
      </c>
      <c r="P654" t="s">
        <v>1746</v>
      </c>
      <c r="Q654" t="s">
        <v>3771</v>
      </c>
      <c r="R654" t="s">
        <v>446</v>
      </c>
      <c r="S654" t="s">
        <v>446</v>
      </c>
      <c r="T654" t="s">
        <v>1965</v>
      </c>
      <c r="U654" t="b">
        <v>0</v>
      </c>
      <c r="V654" t="s">
        <v>446</v>
      </c>
    </row>
    <row r="655" spans="1:22" x14ac:dyDescent="0.25">
      <c r="A655" t="s">
        <v>42</v>
      </c>
      <c r="B655">
        <v>111</v>
      </c>
      <c r="C655" t="s">
        <v>1046</v>
      </c>
      <c r="D655" t="s">
        <v>3862</v>
      </c>
      <c r="E655" t="s">
        <v>1045</v>
      </c>
      <c r="F655" t="s">
        <v>3218</v>
      </c>
      <c r="G655" t="s">
        <v>24</v>
      </c>
      <c r="H655" t="s">
        <v>26</v>
      </c>
      <c r="I655" t="s">
        <v>3167</v>
      </c>
      <c r="J655" t="s">
        <v>1048</v>
      </c>
      <c r="K655" t="s">
        <v>3195</v>
      </c>
      <c r="L655" t="s">
        <v>1048</v>
      </c>
      <c r="M655" t="s">
        <v>1000</v>
      </c>
      <c r="N655" t="s">
        <v>1047</v>
      </c>
      <c r="O655" t="s">
        <v>1047</v>
      </c>
      <c r="P655" t="s">
        <v>1746</v>
      </c>
      <c r="Q655" t="s">
        <v>3771</v>
      </c>
      <c r="R655" t="s">
        <v>446</v>
      </c>
      <c r="S655" t="s">
        <v>446</v>
      </c>
      <c r="T655" t="s">
        <v>1965</v>
      </c>
      <c r="U655" t="b">
        <v>0</v>
      </c>
      <c r="V655" t="s">
        <v>446</v>
      </c>
    </row>
    <row r="656" spans="1:22" x14ac:dyDescent="0.25">
      <c r="A656" t="s">
        <v>42</v>
      </c>
      <c r="B656">
        <v>111</v>
      </c>
      <c r="C656" t="s">
        <v>1050</v>
      </c>
      <c r="D656" t="s">
        <v>3863</v>
      </c>
      <c r="E656" t="s">
        <v>1032</v>
      </c>
      <c r="F656" t="s">
        <v>3218</v>
      </c>
      <c r="G656" t="s">
        <v>24</v>
      </c>
      <c r="H656" t="s">
        <v>26</v>
      </c>
      <c r="I656" t="s">
        <v>3167</v>
      </c>
      <c r="J656" t="s">
        <v>1048</v>
      </c>
      <c r="K656" t="s">
        <v>3195</v>
      </c>
      <c r="L656" t="s">
        <v>1048</v>
      </c>
      <c r="M656" t="s">
        <v>1000</v>
      </c>
      <c r="N656" t="s">
        <v>1047</v>
      </c>
      <c r="O656" t="s">
        <v>1047</v>
      </c>
      <c r="P656" t="s">
        <v>1746</v>
      </c>
      <c r="Q656" t="s">
        <v>3771</v>
      </c>
      <c r="R656" t="s">
        <v>446</v>
      </c>
      <c r="S656" t="s">
        <v>446</v>
      </c>
      <c r="T656" t="s">
        <v>1965</v>
      </c>
      <c r="U656" t="b">
        <v>0</v>
      </c>
      <c r="V656" t="s">
        <v>446</v>
      </c>
    </row>
    <row r="657" spans="1:22" x14ac:dyDescent="0.25">
      <c r="A657" t="s">
        <v>42</v>
      </c>
      <c r="B657">
        <v>111</v>
      </c>
      <c r="C657" t="s">
        <v>1052</v>
      </c>
      <c r="D657" t="s">
        <v>3864</v>
      </c>
      <c r="E657" t="s">
        <v>1051</v>
      </c>
      <c r="F657" t="s">
        <v>3218</v>
      </c>
      <c r="G657" t="s">
        <v>24</v>
      </c>
      <c r="H657" t="s">
        <v>26</v>
      </c>
      <c r="I657" t="s">
        <v>3167</v>
      </c>
      <c r="J657" t="s">
        <v>1055</v>
      </c>
      <c r="K657" t="s">
        <v>3199</v>
      </c>
      <c r="L657" t="s">
        <v>1055</v>
      </c>
      <c r="M657" t="s">
        <v>980</v>
      </c>
      <c r="N657" t="s">
        <v>1053</v>
      </c>
      <c r="O657" t="s">
        <v>1053</v>
      </c>
      <c r="P657" t="s">
        <v>1746</v>
      </c>
      <c r="Q657" t="s">
        <v>3771</v>
      </c>
      <c r="R657" t="s">
        <v>446</v>
      </c>
      <c r="S657" t="s">
        <v>446</v>
      </c>
      <c r="T657" t="s">
        <v>1965</v>
      </c>
      <c r="U657" t="b">
        <v>0</v>
      </c>
      <c r="V657" t="s">
        <v>446</v>
      </c>
    </row>
    <row r="658" spans="1:22" x14ac:dyDescent="0.25">
      <c r="A658" t="s">
        <v>42</v>
      </c>
      <c r="B658">
        <v>112</v>
      </c>
      <c r="C658" t="s">
        <v>979</v>
      </c>
      <c r="D658" t="s">
        <v>3865</v>
      </c>
      <c r="E658" t="s">
        <v>978</v>
      </c>
      <c r="F658" t="s">
        <v>3770</v>
      </c>
      <c r="G658" t="s">
        <v>24</v>
      </c>
      <c r="H658" t="s">
        <v>26</v>
      </c>
      <c r="I658" t="s">
        <v>3167</v>
      </c>
      <c r="J658" t="s">
        <v>984</v>
      </c>
      <c r="K658" t="s">
        <v>3168</v>
      </c>
      <c r="L658" t="s">
        <v>984</v>
      </c>
      <c r="M658" t="s">
        <v>980</v>
      </c>
      <c r="N658" t="s">
        <v>981</v>
      </c>
      <c r="O658" t="s">
        <v>981</v>
      </c>
      <c r="P658" t="s">
        <v>1746</v>
      </c>
      <c r="Q658" t="s">
        <v>3771</v>
      </c>
      <c r="R658" t="s">
        <v>446</v>
      </c>
      <c r="S658" t="s">
        <v>446</v>
      </c>
      <c r="T658" t="s">
        <v>1965</v>
      </c>
      <c r="U658" t="b">
        <v>0</v>
      </c>
      <c r="V658" t="s">
        <v>446</v>
      </c>
    </row>
    <row r="659" spans="1:22" x14ac:dyDescent="0.25">
      <c r="A659" t="s">
        <v>42</v>
      </c>
      <c r="B659">
        <v>112</v>
      </c>
      <c r="C659" t="s">
        <v>987</v>
      </c>
      <c r="D659" t="s">
        <v>3866</v>
      </c>
      <c r="E659" t="s">
        <v>986</v>
      </c>
      <c r="F659" t="s">
        <v>3867</v>
      </c>
      <c r="G659" t="s">
        <v>24</v>
      </c>
      <c r="H659" t="s">
        <v>26</v>
      </c>
      <c r="I659" t="s">
        <v>3167</v>
      </c>
      <c r="J659" t="s">
        <v>990</v>
      </c>
      <c r="K659" t="s">
        <v>3171</v>
      </c>
      <c r="L659" t="s">
        <v>990</v>
      </c>
      <c r="M659" t="s">
        <v>980</v>
      </c>
      <c r="N659" t="s">
        <v>988</v>
      </c>
      <c r="O659" t="s">
        <v>988</v>
      </c>
      <c r="P659" t="s">
        <v>1746</v>
      </c>
      <c r="Q659" t="s">
        <v>3771</v>
      </c>
      <c r="R659" t="s">
        <v>446</v>
      </c>
      <c r="S659" t="s">
        <v>446</v>
      </c>
      <c r="T659" t="s">
        <v>1965</v>
      </c>
      <c r="U659" t="b">
        <v>0</v>
      </c>
      <c r="V659" t="s">
        <v>446</v>
      </c>
    </row>
    <row r="660" spans="1:22" x14ac:dyDescent="0.25">
      <c r="A660" t="s">
        <v>42</v>
      </c>
      <c r="B660">
        <v>112</v>
      </c>
      <c r="C660" t="s">
        <v>993</v>
      </c>
      <c r="D660" t="s">
        <v>3868</v>
      </c>
      <c r="E660" t="s">
        <v>992</v>
      </c>
      <c r="F660" t="s">
        <v>3869</v>
      </c>
      <c r="G660" t="s">
        <v>24</v>
      </c>
      <c r="H660" t="s">
        <v>26</v>
      </c>
      <c r="I660" t="s">
        <v>3167</v>
      </c>
      <c r="J660" t="s">
        <v>996</v>
      </c>
      <c r="K660" t="s">
        <v>3173</v>
      </c>
      <c r="L660" t="s">
        <v>996</v>
      </c>
      <c r="M660" t="s">
        <v>980</v>
      </c>
      <c r="N660" t="s">
        <v>994</v>
      </c>
      <c r="O660" t="s">
        <v>994</v>
      </c>
      <c r="P660" t="s">
        <v>1746</v>
      </c>
      <c r="Q660" t="s">
        <v>3771</v>
      </c>
      <c r="R660" t="s">
        <v>446</v>
      </c>
      <c r="S660" t="s">
        <v>446</v>
      </c>
      <c r="T660" t="s">
        <v>1965</v>
      </c>
      <c r="U660" t="b">
        <v>0</v>
      </c>
      <c r="V660" t="s">
        <v>446</v>
      </c>
    </row>
    <row r="661" spans="1:22" x14ac:dyDescent="0.25">
      <c r="A661" t="s">
        <v>42</v>
      </c>
      <c r="B661">
        <v>112</v>
      </c>
      <c r="C661" t="s">
        <v>999</v>
      </c>
      <c r="D661" t="s">
        <v>3870</v>
      </c>
      <c r="E661" t="s">
        <v>998</v>
      </c>
      <c r="F661" t="s">
        <v>3871</v>
      </c>
      <c r="G661" t="s">
        <v>24</v>
      </c>
      <c r="H661" t="s">
        <v>26</v>
      </c>
      <c r="I661" t="s">
        <v>3167</v>
      </c>
      <c r="J661" t="s">
        <v>1003</v>
      </c>
      <c r="K661" t="s">
        <v>3175</v>
      </c>
      <c r="L661" t="s">
        <v>1003</v>
      </c>
      <c r="M661" t="s">
        <v>1000</v>
      </c>
      <c r="N661" t="s">
        <v>1001</v>
      </c>
      <c r="O661" t="s">
        <v>1001</v>
      </c>
      <c r="P661" t="s">
        <v>1746</v>
      </c>
      <c r="Q661" t="s">
        <v>3771</v>
      </c>
      <c r="R661" t="s">
        <v>446</v>
      </c>
      <c r="S661" t="s">
        <v>446</v>
      </c>
      <c r="T661" t="s">
        <v>1965</v>
      </c>
      <c r="U661" t="b">
        <v>0</v>
      </c>
      <c r="V661" t="s">
        <v>446</v>
      </c>
    </row>
    <row r="662" spans="1:22" x14ac:dyDescent="0.25">
      <c r="A662" t="s">
        <v>42</v>
      </c>
      <c r="B662">
        <v>112</v>
      </c>
      <c r="C662" t="s">
        <v>1005</v>
      </c>
      <c r="D662" t="s">
        <v>3872</v>
      </c>
      <c r="E662" t="s">
        <v>982</v>
      </c>
      <c r="F662" t="s">
        <v>3873</v>
      </c>
      <c r="G662" t="s">
        <v>24</v>
      </c>
      <c r="H662" t="s">
        <v>26</v>
      </c>
      <c r="I662" t="s">
        <v>3167</v>
      </c>
      <c r="J662" t="s">
        <v>1003</v>
      </c>
      <c r="K662" t="s">
        <v>3175</v>
      </c>
      <c r="L662" t="s">
        <v>1003</v>
      </c>
      <c r="M662" t="s">
        <v>1000</v>
      </c>
      <c r="N662" t="s">
        <v>1001</v>
      </c>
      <c r="O662" t="s">
        <v>1001</v>
      </c>
      <c r="P662" t="s">
        <v>1746</v>
      </c>
      <c r="Q662" t="s">
        <v>3771</v>
      </c>
      <c r="R662" t="s">
        <v>446</v>
      </c>
      <c r="S662" t="s">
        <v>446</v>
      </c>
      <c r="T662" t="s">
        <v>1965</v>
      </c>
      <c r="U662" t="b">
        <v>0</v>
      </c>
      <c r="V662" t="s">
        <v>446</v>
      </c>
    </row>
    <row r="663" spans="1:22" x14ac:dyDescent="0.25">
      <c r="A663" t="s">
        <v>42</v>
      </c>
      <c r="B663">
        <v>112</v>
      </c>
      <c r="C663" t="s">
        <v>1007</v>
      </c>
      <c r="D663" t="s">
        <v>3874</v>
      </c>
      <c r="E663" t="s">
        <v>1006</v>
      </c>
      <c r="F663" t="s">
        <v>3875</v>
      </c>
      <c r="G663" t="s">
        <v>24</v>
      </c>
      <c r="H663" t="s">
        <v>26</v>
      </c>
      <c r="I663" t="s">
        <v>3167</v>
      </c>
      <c r="J663" t="s">
        <v>1011</v>
      </c>
      <c r="K663" t="s">
        <v>3179</v>
      </c>
      <c r="L663" t="s">
        <v>1011</v>
      </c>
      <c r="M663" t="s">
        <v>1008</v>
      </c>
      <c r="N663" t="s">
        <v>1009</v>
      </c>
      <c r="O663" t="s">
        <v>1009</v>
      </c>
      <c r="P663" t="s">
        <v>1746</v>
      </c>
      <c r="Q663" t="s">
        <v>3771</v>
      </c>
      <c r="R663" t="s">
        <v>446</v>
      </c>
      <c r="S663" t="s">
        <v>446</v>
      </c>
      <c r="T663" t="s">
        <v>1965</v>
      </c>
      <c r="U663" t="b">
        <v>0</v>
      </c>
      <c r="V663" t="s">
        <v>446</v>
      </c>
    </row>
    <row r="664" spans="1:22" x14ac:dyDescent="0.25">
      <c r="A664" t="s">
        <v>42</v>
      </c>
      <c r="B664">
        <v>112</v>
      </c>
      <c r="C664" t="s">
        <v>1014</v>
      </c>
      <c r="D664" t="s">
        <v>3876</v>
      </c>
      <c r="E664" t="s">
        <v>1013</v>
      </c>
      <c r="F664" t="s">
        <v>3877</v>
      </c>
      <c r="G664" t="s">
        <v>24</v>
      </c>
      <c r="H664" t="s">
        <v>26</v>
      </c>
      <c r="I664" t="s">
        <v>3167</v>
      </c>
      <c r="J664" t="s">
        <v>1016</v>
      </c>
      <c r="K664" t="s">
        <v>3181</v>
      </c>
      <c r="L664" t="s">
        <v>1016</v>
      </c>
      <c r="M664" t="s">
        <v>980</v>
      </c>
      <c r="N664" t="s">
        <v>1015</v>
      </c>
      <c r="O664" t="s">
        <v>1015</v>
      </c>
      <c r="P664" t="s">
        <v>1746</v>
      </c>
      <c r="Q664" t="s">
        <v>3771</v>
      </c>
      <c r="R664" t="s">
        <v>446</v>
      </c>
      <c r="S664" t="s">
        <v>446</v>
      </c>
      <c r="T664" t="s">
        <v>1965</v>
      </c>
      <c r="U664" t="b">
        <v>0</v>
      </c>
      <c r="V664" t="s">
        <v>446</v>
      </c>
    </row>
    <row r="665" spans="1:22" x14ac:dyDescent="0.25">
      <c r="A665" t="s">
        <v>42</v>
      </c>
      <c r="B665">
        <v>112</v>
      </c>
      <c r="C665" t="s">
        <v>1019</v>
      </c>
      <c r="D665" t="s">
        <v>3878</v>
      </c>
      <c r="E665" t="s">
        <v>1018</v>
      </c>
      <c r="F665" t="s">
        <v>3879</v>
      </c>
      <c r="G665" t="s">
        <v>24</v>
      </c>
      <c r="H665" t="s">
        <v>26</v>
      </c>
      <c r="I665" t="s">
        <v>3167</v>
      </c>
      <c r="J665" t="s">
        <v>1021</v>
      </c>
      <c r="K665" t="s">
        <v>3183</v>
      </c>
      <c r="L665" t="s">
        <v>1021</v>
      </c>
      <c r="M665" t="s">
        <v>980</v>
      </c>
      <c r="N665" t="s">
        <v>1020</v>
      </c>
      <c r="O665" t="s">
        <v>1020</v>
      </c>
      <c r="P665" t="s">
        <v>1746</v>
      </c>
      <c r="Q665" t="s">
        <v>3771</v>
      </c>
      <c r="R665" t="s">
        <v>446</v>
      </c>
      <c r="S665" t="s">
        <v>446</v>
      </c>
      <c r="T665" t="s">
        <v>1965</v>
      </c>
      <c r="U665" t="b">
        <v>0</v>
      </c>
      <c r="V665" t="s">
        <v>446</v>
      </c>
    </row>
    <row r="666" spans="1:22" x14ac:dyDescent="0.25">
      <c r="A666" t="s">
        <v>42</v>
      </c>
      <c r="B666">
        <v>112</v>
      </c>
      <c r="C666" t="s">
        <v>1024</v>
      </c>
      <c r="D666" t="s">
        <v>3880</v>
      </c>
      <c r="E666" t="s">
        <v>1023</v>
      </c>
      <c r="F666" t="s">
        <v>3881</v>
      </c>
      <c r="G666" t="s">
        <v>24</v>
      </c>
      <c r="H666" t="s">
        <v>26</v>
      </c>
      <c r="I666" t="s">
        <v>3167</v>
      </c>
      <c r="J666" t="s">
        <v>1026</v>
      </c>
      <c r="K666" t="s">
        <v>3185</v>
      </c>
      <c r="L666" t="s">
        <v>1026</v>
      </c>
      <c r="M666" t="s">
        <v>1000</v>
      </c>
      <c r="N666" t="s">
        <v>1025</v>
      </c>
      <c r="O666" t="s">
        <v>1025</v>
      </c>
      <c r="P666" t="s">
        <v>1746</v>
      </c>
      <c r="Q666" t="s">
        <v>3771</v>
      </c>
      <c r="R666" t="s">
        <v>446</v>
      </c>
      <c r="S666" t="s">
        <v>446</v>
      </c>
      <c r="T666" t="s">
        <v>1965</v>
      </c>
      <c r="U666" t="b">
        <v>0</v>
      </c>
      <c r="V666" t="s">
        <v>446</v>
      </c>
    </row>
    <row r="667" spans="1:22" x14ac:dyDescent="0.25">
      <c r="A667" t="s">
        <v>42</v>
      </c>
      <c r="B667">
        <v>112</v>
      </c>
      <c r="C667" t="s">
        <v>1028</v>
      </c>
      <c r="D667" t="s">
        <v>3882</v>
      </c>
      <c r="E667" t="s">
        <v>1010</v>
      </c>
      <c r="F667" t="s">
        <v>3883</v>
      </c>
      <c r="G667" t="s">
        <v>24</v>
      </c>
      <c r="H667" t="s">
        <v>26</v>
      </c>
      <c r="I667" t="s">
        <v>3167</v>
      </c>
      <c r="J667" t="s">
        <v>1026</v>
      </c>
      <c r="K667" t="s">
        <v>3185</v>
      </c>
      <c r="L667" t="s">
        <v>1026</v>
      </c>
      <c r="M667" t="s">
        <v>1000</v>
      </c>
      <c r="N667" t="s">
        <v>1025</v>
      </c>
      <c r="O667" t="s">
        <v>1025</v>
      </c>
      <c r="P667" t="s">
        <v>1746</v>
      </c>
      <c r="Q667" t="s">
        <v>3771</v>
      </c>
      <c r="R667" t="s">
        <v>446</v>
      </c>
      <c r="S667" t="s">
        <v>446</v>
      </c>
      <c r="T667" t="s">
        <v>1965</v>
      </c>
      <c r="U667" t="b">
        <v>0</v>
      </c>
      <c r="V667" t="s">
        <v>446</v>
      </c>
    </row>
    <row r="668" spans="1:22" x14ac:dyDescent="0.25">
      <c r="A668" t="s">
        <v>42</v>
      </c>
      <c r="B668">
        <v>112</v>
      </c>
      <c r="C668" t="s">
        <v>1030</v>
      </c>
      <c r="D668" t="s">
        <v>3884</v>
      </c>
      <c r="E668" t="s">
        <v>1029</v>
      </c>
      <c r="F668" t="s">
        <v>3885</v>
      </c>
      <c r="G668" t="s">
        <v>24</v>
      </c>
      <c r="H668" t="s">
        <v>26</v>
      </c>
      <c r="I668" t="s">
        <v>3167</v>
      </c>
      <c r="J668" t="s">
        <v>1033</v>
      </c>
      <c r="K668" t="s">
        <v>3189</v>
      </c>
      <c r="L668" t="s">
        <v>1033</v>
      </c>
      <c r="M668" t="s">
        <v>980</v>
      </c>
      <c r="N668" t="s">
        <v>1031</v>
      </c>
      <c r="O668" t="s">
        <v>1031</v>
      </c>
      <c r="P668" t="s">
        <v>1746</v>
      </c>
      <c r="Q668" t="s">
        <v>3771</v>
      </c>
      <c r="R668" t="s">
        <v>446</v>
      </c>
      <c r="S668" t="s">
        <v>446</v>
      </c>
      <c r="T668" t="s">
        <v>1965</v>
      </c>
      <c r="U668" t="b">
        <v>0</v>
      </c>
      <c r="V668" t="s">
        <v>446</v>
      </c>
    </row>
    <row r="669" spans="1:22" x14ac:dyDescent="0.25">
      <c r="A669" t="s">
        <v>42</v>
      </c>
      <c r="B669">
        <v>112</v>
      </c>
      <c r="C669" t="s">
        <v>1036</v>
      </c>
      <c r="D669" t="s">
        <v>3886</v>
      </c>
      <c r="E669" t="s">
        <v>1035</v>
      </c>
      <c r="F669" t="s">
        <v>3887</v>
      </c>
      <c r="G669" t="s">
        <v>24</v>
      </c>
      <c r="H669" t="s">
        <v>26</v>
      </c>
      <c r="I669" t="s">
        <v>3167</v>
      </c>
      <c r="J669" t="s">
        <v>1038</v>
      </c>
      <c r="K669" t="s">
        <v>3191</v>
      </c>
      <c r="L669" t="s">
        <v>1038</v>
      </c>
      <c r="M669" t="s">
        <v>980</v>
      </c>
      <c r="N669" t="s">
        <v>1037</v>
      </c>
      <c r="O669" t="s">
        <v>1037</v>
      </c>
      <c r="P669" t="s">
        <v>1746</v>
      </c>
      <c r="Q669" t="s">
        <v>3771</v>
      </c>
      <c r="R669" t="s">
        <v>446</v>
      </c>
      <c r="S669" t="s">
        <v>446</v>
      </c>
      <c r="T669" t="s">
        <v>1965</v>
      </c>
      <c r="U669" t="b">
        <v>0</v>
      </c>
      <c r="V669" t="s">
        <v>446</v>
      </c>
    </row>
    <row r="670" spans="1:22" x14ac:dyDescent="0.25">
      <c r="A670" t="s">
        <v>42</v>
      </c>
      <c r="B670">
        <v>112</v>
      </c>
      <c r="C670" t="s">
        <v>1041</v>
      </c>
      <c r="D670" t="s">
        <v>3888</v>
      </c>
      <c r="E670" t="s">
        <v>1040</v>
      </c>
      <c r="F670" t="s">
        <v>3889</v>
      </c>
      <c r="G670" t="s">
        <v>24</v>
      </c>
      <c r="H670" t="s">
        <v>26</v>
      </c>
      <c r="I670" t="s">
        <v>3167</v>
      </c>
      <c r="J670" t="s">
        <v>1043</v>
      </c>
      <c r="K670" t="s">
        <v>3193</v>
      </c>
      <c r="L670" t="s">
        <v>1043</v>
      </c>
      <c r="M670" t="s">
        <v>980</v>
      </c>
      <c r="N670" t="s">
        <v>1042</v>
      </c>
      <c r="O670" t="s">
        <v>1042</v>
      </c>
      <c r="P670" t="s">
        <v>1746</v>
      </c>
      <c r="Q670" t="s">
        <v>3771</v>
      </c>
      <c r="R670" t="s">
        <v>446</v>
      </c>
      <c r="S670" t="s">
        <v>446</v>
      </c>
      <c r="T670" t="s">
        <v>1965</v>
      </c>
      <c r="U670" t="b">
        <v>0</v>
      </c>
      <c r="V670" t="s">
        <v>446</v>
      </c>
    </row>
    <row r="671" spans="1:22" x14ac:dyDescent="0.25">
      <c r="A671" t="s">
        <v>42</v>
      </c>
      <c r="B671">
        <v>112</v>
      </c>
      <c r="C671" t="s">
        <v>1046</v>
      </c>
      <c r="D671" t="s">
        <v>3890</v>
      </c>
      <c r="E671" t="s">
        <v>1045</v>
      </c>
      <c r="F671" t="s">
        <v>3891</v>
      </c>
      <c r="G671" t="s">
        <v>24</v>
      </c>
      <c r="H671" t="s">
        <v>26</v>
      </c>
      <c r="I671" t="s">
        <v>3167</v>
      </c>
      <c r="J671" t="s">
        <v>1048</v>
      </c>
      <c r="K671" t="s">
        <v>3195</v>
      </c>
      <c r="L671" t="s">
        <v>1048</v>
      </c>
      <c r="M671" t="s">
        <v>1000</v>
      </c>
      <c r="N671" t="s">
        <v>1047</v>
      </c>
      <c r="O671" t="s">
        <v>1047</v>
      </c>
      <c r="P671" t="s">
        <v>1746</v>
      </c>
      <c r="Q671" t="s">
        <v>3771</v>
      </c>
      <c r="R671" t="s">
        <v>446</v>
      </c>
      <c r="S671" t="s">
        <v>446</v>
      </c>
      <c r="T671" t="s">
        <v>1965</v>
      </c>
      <c r="U671" t="b">
        <v>0</v>
      </c>
      <c r="V671" t="s">
        <v>446</v>
      </c>
    </row>
    <row r="672" spans="1:22" x14ac:dyDescent="0.25">
      <c r="A672" t="s">
        <v>42</v>
      </c>
      <c r="B672">
        <v>112</v>
      </c>
      <c r="C672" t="s">
        <v>1050</v>
      </c>
      <c r="D672" t="s">
        <v>3892</v>
      </c>
      <c r="E672" t="s">
        <v>1032</v>
      </c>
      <c r="F672" t="s">
        <v>3893</v>
      </c>
      <c r="G672" t="s">
        <v>24</v>
      </c>
      <c r="H672" t="s">
        <v>26</v>
      </c>
      <c r="I672" t="s">
        <v>3167</v>
      </c>
      <c r="J672" t="s">
        <v>1048</v>
      </c>
      <c r="K672" t="s">
        <v>3195</v>
      </c>
      <c r="L672" t="s">
        <v>1048</v>
      </c>
      <c r="M672" t="s">
        <v>1000</v>
      </c>
      <c r="N672" t="s">
        <v>1047</v>
      </c>
      <c r="O672" t="s">
        <v>1047</v>
      </c>
      <c r="P672" t="s">
        <v>1746</v>
      </c>
      <c r="Q672" t="s">
        <v>3771</v>
      </c>
      <c r="R672" t="s">
        <v>446</v>
      </c>
      <c r="S672" t="s">
        <v>446</v>
      </c>
      <c r="T672" t="s">
        <v>1965</v>
      </c>
      <c r="U672" t="b">
        <v>0</v>
      </c>
      <c r="V672" t="s">
        <v>446</v>
      </c>
    </row>
    <row r="673" spans="1:22" x14ac:dyDescent="0.25">
      <c r="A673" t="s">
        <v>42</v>
      </c>
      <c r="B673">
        <v>112</v>
      </c>
      <c r="C673" t="s">
        <v>1052</v>
      </c>
      <c r="D673" t="s">
        <v>3894</v>
      </c>
      <c r="E673" t="s">
        <v>1051</v>
      </c>
      <c r="F673" t="s">
        <v>3895</v>
      </c>
      <c r="G673" t="s">
        <v>24</v>
      </c>
      <c r="H673" t="s">
        <v>26</v>
      </c>
      <c r="I673" t="s">
        <v>3167</v>
      </c>
      <c r="J673" t="s">
        <v>1055</v>
      </c>
      <c r="K673" t="s">
        <v>3199</v>
      </c>
      <c r="L673" t="s">
        <v>1055</v>
      </c>
      <c r="M673" t="s">
        <v>980</v>
      </c>
      <c r="N673" t="s">
        <v>1053</v>
      </c>
      <c r="O673" t="s">
        <v>1053</v>
      </c>
      <c r="P673" t="s">
        <v>1746</v>
      </c>
      <c r="Q673" t="s">
        <v>3771</v>
      </c>
      <c r="R673" t="s">
        <v>446</v>
      </c>
      <c r="S673" t="s">
        <v>446</v>
      </c>
      <c r="T673" t="s">
        <v>1965</v>
      </c>
      <c r="U673" t="b">
        <v>0</v>
      </c>
      <c r="V673" t="s">
        <v>446</v>
      </c>
    </row>
    <row r="674" spans="1:22" x14ac:dyDescent="0.25">
      <c r="A674" t="s">
        <v>42</v>
      </c>
      <c r="B674">
        <v>114</v>
      </c>
      <c r="C674" t="s">
        <v>979</v>
      </c>
      <c r="D674" t="s">
        <v>3896</v>
      </c>
      <c r="E674" t="s">
        <v>978</v>
      </c>
      <c r="F674" t="s">
        <v>3897</v>
      </c>
      <c r="G674" t="s">
        <v>24</v>
      </c>
      <c r="H674" t="s">
        <v>26</v>
      </c>
      <c r="I674" t="s">
        <v>3167</v>
      </c>
      <c r="J674" t="s">
        <v>984</v>
      </c>
      <c r="K674" t="s">
        <v>3168</v>
      </c>
      <c r="L674" t="s">
        <v>984</v>
      </c>
      <c r="M674" t="s">
        <v>980</v>
      </c>
      <c r="N674" t="s">
        <v>981</v>
      </c>
      <c r="O674" t="s">
        <v>981</v>
      </c>
      <c r="P674" t="s">
        <v>1746</v>
      </c>
      <c r="Q674" t="s">
        <v>3771</v>
      </c>
      <c r="R674" t="s">
        <v>446</v>
      </c>
      <c r="S674" t="s">
        <v>446</v>
      </c>
      <c r="T674" t="s">
        <v>1965</v>
      </c>
      <c r="U674" t="b">
        <v>0</v>
      </c>
      <c r="V674" t="s">
        <v>446</v>
      </c>
    </row>
    <row r="675" spans="1:22" x14ac:dyDescent="0.25">
      <c r="A675" t="s">
        <v>42</v>
      </c>
      <c r="B675">
        <v>114</v>
      </c>
      <c r="C675" t="s">
        <v>987</v>
      </c>
      <c r="D675" t="s">
        <v>3898</v>
      </c>
      <c r="E675" t="s">
        <v>986</v>
      </c>
      <c r="F675" t="s">
        <v>3899</v>
      </c>
      <c r="G675" t="s">
        <v>24</v>
      </c>
      <c r="H675" t="s">
        <v>26</v>
      </c>
      <c r="I675" t="s">
        <v>3167</v>
      </c>
      <c r="J675" t="s">
        <v>990</v>
      </c>
      <c r="K675" t="s">
        <v>3171</v>
      </c>
      <c r="L675" t="s">
        <v>990</v>
      </c>
      <c r="M675" t="s">
        <v>980</v>
      </c>
      <c r="N675" t="s">
        <v>988</v>
      </c>
      <c r="O675" t="s">
        <v>988</v>
      </c>
      <c r="P675" t="s">
        <v>1746</v>
      </c>
      <c r="Q675" t="s">
        <v>3771</v>
      </c>
      <c r="R675" t="s">
        <v>446</v>
      </c>
      <c r="S675" t="s">
        <v>446</v>
      </c>
      <c r="T675" t="s">
        <v>1965</v>
      </c>
      <c r="U675" t="b">
        <v>0</v>
      </c>
      <c r="V675" t="s">
        <v>446</v>
      </c>
    </row>
    <row r="676" spans="1:22" x14ac:dyDescent="0.25">
      <c r="A676" t="s">
        <v>42</v>
      </c>
      <c r="B676">
        <v>114</v>
      </c>
      <c r="C676" t="s">
        <v>993</v>
      </c>
      <c r="D676" t="s">
        <v>3900</v>
      </c>
      <c r="E676" t="s">
        <v>992</v>
      </c>
      <c r="F676" t="s">
        <v>3901</v>
      </c>
      <c r="G676" t="s">
        <v>24</v>
      </c>
      <c r="H676" t="s">
        <v>26</v>
      </c>
      <c r="I676" t="s">
        <v>3167</v>
      </c>
      <c r="J676" t="s">
        <v>996</v>
      </c>
      <c r="K676" t="s">
        <v>3173</v>
      </c>
      <c r="L676" t="s">
        <v>996</v>
      </c>
      <c r="M676" t="s">
        <v>980</v>
      </c>
      <c r="N676" t="s">
        <v>994</v>
      </c>
      <c r="O676" t="s">
        <v>994</v>
      </c>
      <c r="P676" t="s">
        <v>1746</v>
      </c>
      <c r="Q676" t="s">
        <v>3771</v>
      </c>
      <c r="R676" t="s">
        <v>446</v>
      </c>
      <c r="S676" t="s">
        <v>446</v>
      </c>
      <c r="T676" t="s">
        <v>1965</v>
      </c>
      <c r="U676" t="b">
        <v>0</v>
      </c>
      <c r="V676" t="s">
        <v>446</v>
      </c>
    </row>
    <row r="677" spans="1:22" x14ac:dyDescent="0.25">
      <c r="A677" t="s">
        <v>42</v>
      </c>
      <c r="B677">
        <v>114</v>
      </c>
      <c r="C677" t="s">
        <v>999</v>
      </c>
      <c r="D677" t="s">
        <v>3902</v>
      </c>
      <c r="E677" t="s">
        <v>998</v>
      </c>
      <c r="F677" t="s">
        <v>3903</v>
      </c>
      <c r="G677" t="s">
        <v>24</v>
      </c>
      <c r="H677" t="s">
        <v>26</v>
      </c>
      <c r="I677" t="s">
        <v>3167</v>
      </c>
      <c r="J677" t="s">
        <v>1003</v>
      </c>
      <c r="K677" t="s">
        <v>3175</v>
      </c>
      <c r="L677" t="s">
        <v>1003</v>
      </c>
      <c r="M677" t="s">
        <v>1000</v>
      </c>
      <c r="N677" t="s">
        <v>1001</v>
      </c>
      <c r="O677" t="s">
        <v>1001</v>
      </c>
      <c r="P677" t="s">
        <v>1746</v>
      </c>
      <c r="Q677" t="s">
        <v>3771</v>
      </c>
      <c r="R677" t="s">
        <v>446</v>
      </c>
      <c r="S677" t="s">
        <v>446</v>
      </c>
      <c r="T677" t="s">
        <v>1965</v>
      </c>
      <c r="U677" t="b">
        <v>0</v>
      </c>
      <c r="V677" t="s">
        <v>446</v>
      </c>
    </row>
    <row r="678" spans="1:22" x14ac:dyDescent="0.25">
      <c r="A678" t="s">
        <v>42</v>
      </c>
      <c r="B678">
        <v>114</v>
      </c>
      <c r="C678" t="s">
        <v>1005</v>
      </c>
      <c r="D678" t="s">
        <v>3904</v>
      </c>
      <c r="E678" t="s">
        <v>982</v>
      </c>
      <c r="F678" t="s">
        <v>3905</v>
      </c>
      <c r="G678" t="s">
        <v>24</v>
      </c>
      <c r="H678" t="s">
        <v>26</v>
      </c>
      <c r="I678" t="s">
        <v>3167</v>
      </c>
      <c r="J678" t="s">
        <v>1003</v>
      </c>
      <c r="K678" t="s">
        <v>3175</v>
      </c>
      <c r="L678" t="s">
        <v>1003</v>
      </c>
      <c r="M678" t="s">
        <v>1000</v>
      </c>
      <c r="N678" t="s">
        <v>1001</v>
      </c>
      <c r="O678" t="s">
        <v>1001</v>
      </c>
      <c r="P678" t="s">
        <v>1746</v>
      </c>
      <c r="Q678" t="s">
        <v>3771</v>
      </c>
      <c r="R678" t="s">
        <v>446</v>
      </c>
      <c r="S678" t="s">
        <v>446</v>
      </c>
      <c r="T678" t="s">
        <v>1965</v>
      </c>
      <c r="U678" t="b">
        <v>0</v>
      </c>
      <c r="V678" t="s">
        <v>446</v>
      </c>
    </row>
    <row r="679" spans="1:22" x14ac:dyDescent="0.25">
      <c r="A679" t="s">
        <v>42</v>
      </c>
      <c r="B679">
        <v>114</v>
      </c>
      <c r="C679" t="s">
        <v>1007</v>
      </c>
      <c r="D679" t="s">
        <v>3906</v>
      </c>
      <c r="E679" t="s">
        <v>1006</v>
      </c>
      <c r="F679" t="s">
        <v>3907</v>
      </c>
      <c r="G679" t="s">
        <v>24</v>
      </c>
      <c r="H679" t="s">
        <v>26</v>
      </c>
      <c r="I679" t="s">
        <v>3167</v>
      </c>
      <c r="J679" t="s">
        <v>1011</v>
      </c>
      <c r="K679" t="s">
        <v>3179</v>
      </c>
      <c r="L679" t="s">
        <v>1011</v>
      </c>
      <c r="M679" t="s">
        <v>1008</v>
      </c>
      <c r="N679" t="s">
        <v>1009</v>
      </c>
      <c r="O679" t="s">
        <v>1009</v>
      </c>
      <c r="P679" t="s">
        <v>1746</v>
      </c>
      <c r="Q679" t="s">
        <v>3771</v>
      </c>
      <c r="R679" t="s">
        <v>446</v>
      </c>
      <c r="S679" t="s">
        <v>446</v>
      </c>
      <c r="T679" t="s">
        <v>1965</v>
      </c>
      <c r="U679" t="b">
        <v>0</v>
      </c>
      <c r="V679" t="s">
        <v>446</v>
      </c>
    </row>
    <row r="680" spans="1:22" x14ac:dyDescent="0.25">
      <c r="A680" t="s">
        <v>42</v>
      </c>
      <c r="B680">
        <v>114</v>
      </c>
      <c r="C680" t="s">
        <v>1014</v>
      </c>
      <c r="D680" t="s">
        <v>3908</v>
      </c>
      <c r="E680" t="s">
        <v>1013</v>
      </c>
      <c r="F680" t="s">
        <v>3909</v>
      </c>
      <c r="G680" t="s">
        <v>24</v>
      </c>
      <c r="H680" t="s">
        <v>26</v>
      </c>
      <c r="I680" t="s">
        <v>3167</v>
      </c>
      <c r="J680" t="s">
        <v>1016</v>
      </c>
      <c r="K680" t="s">
        <v>3181</v>
      </c>
      <c r="L680" t="s">
        <v>1016</v>
      </c>
      <c r="M680" t="s">
        <v>980</v>
      </c>
      <c r="N680" t="s">
        <v>1015</v>
      </c>
      <c r="O680" t="s">
        <v>1015</v>
      </c>
      <c r="P680" t="s">
        <v>1746</v>
      </c>
      <c r="Q680" t="s">
        <v>3771</v>
      </c>
      <c r="R680" t="s">
        <v>446</v>
      </c>
      <c r="S680" t="s">
        <v>446</v>
      </c>
      <c r="T680" t="s">
        <v>1965</v>
      </c>
      <c r="U680" t="b">
        <v>0</v>
      </c>
      <c r="V680" t="s">
        <v>446</v>
      </c>
    </row>
    <row r="681" spans="1:22" x14ac:dyDescent="0.25">
      <c r="A681" t="s">
        <v>42</v>
      </c>
      <c r="B681">
        <v>114</v>
      </c>
      <c r="C681" t="s">
        <v>1019</v>
      </c>
      <c r="D681" t="s">
        <v>3910</v>
      </c>
      <c r="E681" t="s">
        <v>1018</v>
      </c>
      <c r="F681" t="s">
        <v>3911</v>
      </c>
      <c r="G681" t="s">
        <v>24</v>
      </c>
      <c r="H681" t="s">
        <v>26</v>
      </c>
      <c r="I681" t="s">
        <v>3167</v>
      </c>
      <c r="J681" t="s">
        <v>1021</v>
      </c>
      <c r="K681" t="s">
        <v>3183</v>
      </c>
      <c r="L681" t="s">
        <v>1021</v>
      </c>
      <c r="M681" t="s">
        <v>980</v>
      </c>
      <c r="N681" t="s">
        <v>1020</v>
      </c>
      <c r="O681" t="s">
        <v>1020</v>
      </c>
      <c r="P681" t="s">
        <v>1746</v>
      </c>
      <c r="Q681" t="s">
        <v>3771</v>
      </c>
      <c r="R681" t="s">
        <v>446</v>
      </c>
      <c r="S681" t="s">
        <v>446</v>
      </c>
      <c r="T681" t="s">
        <v>1965</v>
      </c>
      <c r="U681" t="b">
        <v>0</v>
      </c>
      <c r="V681" t="s">
        <v>446</v>
      </c>
    </row>
    <row r="682" spans="1:22" x14ac:dyDescent="0.25">
      <c r="A682" t="s">
        <v>42</v>
      </c>
      <c r="B682">
        <v>114</v>
      </c>
      <c r="C682" t="s">
        <v>1024</v>
      </c>
      <c r="D682" t="s">
        <v>3912</v>
      </c>
      <c r="E682" t="s">
        <v>1023</v>
      </c>
      <c r="F682" t="s">
        <v>3913</v>
      </c>
      <c r="G682" t="s">
        <v>24</v>
      </c>
      <c r="H682" t="s">
        <v>26</v>
      </c>
      <c r="I682" t="s">
        <v>3167</v>
      </c>
      <c r="J682" t="s">
        <v>1026</v>
      </c>
      <c r="K682" t="s">
        <v>3185</v>
      </c>
      <c r="L682" t="s">
        <v>1026</v>
      </c>
      <c r="M682" t="s">
        <v>1000</v>
      </c>
      <c r="N682" t="s">
        <v>1025</v>
      </c>
      <c r="O682" t="s">
        <v>1025</v>
      </c>
      <c r="P682" t="s">
        <v>1746</v>
      </c>
      <c r="Q682" t="s">
        <v>3771</v>
      </c>
      <c r="R682" t="s">
        <v>446</v>
      </c>
      <c r="S682" t="s">
        <v>446</v>
      </c>
      <c r="T682" t="s">
        <v>1965</v>
      </c>
      <c r="U682" t="b">
        <v>0</v>
      </c>
      <c r="V682" t="s">
        <v>446</v>
      </c>
    </row>
    <row r="683" spans="1:22" x14ac:dyDescent="0.25">
      <c r="A683" t="s">
        <v>42</v>
      </c>
      <c r="B683">
        <v>114</v>
      </c>
      <c r="C683" t="s">
        <v>1028</v>
      </c>
      <c r="D683" t="s">
        <v>3914</v>
      </c>
      <c r="E683" t="s">
        <v>1010</v>
      </c>
      <c r="F683" t="s">
        <v>3915</v>
      </c>
      <c r="G683" t="s">
        <v>24</v>
      </c>
      <c r="H683" t="s">
        <v>26</v>
      </c>
      <c r="I683" t="s">
        <v>3167</v>
      </c>
      <c r="J683" t="s">
        <v>1026</v>
      </c>
      <c r="K683" t="s">
        <v>3185</v>
      </c>
      <c r="L683" t="s">
        <v>1026</v>
      </c>
      <c r="M683" t="s">
        <v>1000</v>
      </c>
      <c r="N683" t="s">
        <v>1025</v>
      </c>
      <c r="O683" t="s">
        <v>1025</v>
      </c>
      <c r="P683" t="s">
        <v>1746</v>
      </c>
      <c r="Q683" t="s">
        <v>3771</v>
      </c>
      <c r="R683" t="s">
        <v>446</v>
      </c>
      <c r="S683" t="s">
        <v>446</v>
      </c>
      <c r="T683" t="s">
        <v>1965</v>
      </c>
      <c r="U683" t="b">
        <v>0</v>
      </c>
      <c r="V683" t="s">
        <v>446</v>
      </c>
    </row>
    <row r="684" spans="1:22" x14ac:dyDescent="0.25">
      <c r="A684" t="s">
        <v>42</v>
      </c>
      <c r="B684">
        <v>114</v>
      </c>
      <c r="C684" t="s">
        <v>1030</v>
      </c>
      <c r="D684" t="s">
        <v>3916</v>
      </c>
      <c r="E684" t="s">
        <v>1029</v>
      </c>
      <c r="F684" t="s">
        <v>3917</v>
      </c>
      <c r="G684" t="s">
        <v>24</v>
      </c>
      <c r="H684" t="s">
        <v>26</v>
      </c>
      <c r="I684" t="s">
        <v>3167</v>
      </c>
      <c r="J684" t="s">
        <v>1033</v>
      </c>
      <c r="K684" t="s">
        <v>3189</v>
      </c>
      <c r="L684" t="s">
        <v>1033</v>
      </c>
      <c r="M684" t="s">
        <v>980</v>
      </c>
      <c r="N684" t="s">
        <v>1031</v>
      </c>
      <c r="O684" t="s">
        <v>1031</v>
      </c>
      <c r="P684" t="s">
        <v>1746</v>
      </c>
      <c r="Q684" t="s">
        <v>3771</v>
      </c>
      <c r="R684" t="s">
        <v>446</v>
      </c>
      <c r="S684" t="s">
        <v>446</v>
      </c>
      <c r="T684" t="s">
        <v>1965</v>
      </c>
      <c r="U684" t="b">
        <v>0</v>
      </c>
      <c r="V684" t="s">
        <v>446</v>
      </c>
    </row>
    <row r="685" spans="1:22" x14ac:dyDescent="0.25">
      <c r="A685" t="s">
        <v>42</v>
      </c>
      <c r="B685">
        <v>114</v>
      </c>
      <c r="C685" t="s">
        <v>1036</v>
      </c>
      <c r="D685" t="s">
        <v>3918</v>
      </c>
      <c r="E685" t="s">
        <v>1035</v>
      </c>
      <c r="F685" t="s">
        <v>3919</v>
      </c>
      <c r="G685" t="s">
        <v>24</v>
      </c>
      <c r="H685" t="s">
        <v>26</v>
      </c>
      <c r="I685" t="s">
        <v>3167</v>
      </c>
      <c r="J685" t="s">
        <v>1038</v>
      </c>
      <c r="K685" t="s">
        <v>3191</v>
      </c>
      <c r="L685" t="s">
        <v>1038</v>
      </c>
      <c r="M685" t="s">
        <v>980</v>
      </c>
      <c r="N685" t="s">
        <v>1037</v>
      </c>
      <c r="O685" t="s">
        <v>1037</v>
      </c>
      <c r="P685" t="s">
        <v>1746</v>
      </c>
      <c r="Q685" t="s">
        <v>3771</v>
      </c>
      <c r="R685" t="s">
        <v>446</v>
      </c>
      <c r="S685" t="s">
        <v>446</v>
      </c>
      <c r="T685" t="s">
        <v>1965</v>
      </c>
      <c r="U685" t="b">
        <v>0</v>
      </c>
      <c r="V685" t="s">
        <v>446</v>
      </c>
    </row>
    <row r="686" spans="1:22" x14ac:dyDescent="0.25">
      <c r="A686" t="s">
        <v>42</v>
      </c>
      <c r="B686">
        <v>114</v>
      </c>
      <c r="C686" t="s">
        <v>1041</v>
      </c>
      <c r="D686" t="s">
        <v>3920</v>
      </c>
      <c r="E686" t="s">
        <v>1040</v>
      </c>
      <c r="F686" t="s">
        <v>3921</v>
      </c>
      <c r="G686" t="s">
        <v>24</v>
      </c>
      <c r="H686" t="s">
        <v>26</v>
      </c>
      <c r="I686" t="s">
        <v>3167</v>
      </c>
      <c r="J686" t="s">
        <v>1043</v>
      </c>
      <c r="K686" t="s">
        <v>3193</v>
      </c>
      <c r="L686" t="s">
        <v>1043</v>
      </c>
      <c r="M686" t="s">
        <v>980</v>
      </c>
      <c r="N686" t="s">
        <v>1042</v>
      </c>
      <c r="O686" t="s">
        <v>1042</v>
      </c>
      <c r="P686" t="s">
        <v>1746</v>
      </c>
      <c r="Q686" t="s">
        <v>3771</v>
      </c>
      <c r="R686" t="s">
        <v>446</v>
      </c>
      <c r="S686" t="s">
        <v>446</v>
      </c>
      <c r="T686" t="s">
        <v>1965</v>
      </c>
      <c r="U686" t="b">
        <v>0</v>
      </c>
      <c r="V686" t="s">
        <v>446</v>
      </c>
    </row>
    <row r="687" spans="1:22" x14ac:dyDescent="0.25">
      <c r="A687" t="s">
        <v>42</v>
      </c>
      <c r="B687">
        <v>114</v>
      </c>
      <c r="C687" t="s">
        <v>1046</v>
      </c>
      <c r="D687" t="s">
        <v>3922</v>
      </c>
      <c r="E687" t="s">
        <v>1045</v>
      </c>
      <c r="F687" t="s">
        <v>3923</v>
      </c>
      <c r="G687" t="s">
        <v>24</v>
      </c>
      <c r="H687" t="s">
        <v>26</v>
      </c>
      <c r="I687" t="s">
        <v>3167</v>
      </c>
      <c r="J687" t="s">
        <v>1048</v>
      </c>
      <c r="K687" t="s">
        <v>3195</v>
      </c>
      <c r="L687" t="s">
        <v>1048</v>
      </c>
      <c r="M687" t="s">
        <v>1000</v>
      </c>
      <c r="N687" t="s">
        <v>1047</v>
      </c>
      <c r="O687" t="s">
        <v>1047</v>
      </c>
      <c r="P687" t="s">
        <v>1746</v>
      </c>
      <c r="Q687" t="s">
        <v>3771</v>
      </c>
      <c r="R687" t="s">
        <v>446</v>
      </c>
      <c r="S687" t="s">
        <v>446</v>
      </c>
      <c r="T687" t="s">
        <v>1965</v>
      </c>
      <c r="U687" t="b">
        <v>0</v>
      </c>
      <c r="V687" t="s">
        <v>446</v>
      </c>
    </row>
    <row r="688" spans="1:22" x14ac:dyDescent="0.25">
      <c r="A688" t="s">
        <v>42</v>
      </c>
      <c r="B688">
        <v>114</v>
      </c>
      <c r="C688" t="s">
        <v>1050</v>
      </c>
      <c r="D688" t="s">
        <v>3924</v>
      </c>
      <c r="E688" t="s">
        <v>1032</v>
      </c>
      <c r="F688" t="s">
        <v>3925</v>
      </c>
      <c r="G688" t="s">
        <v>24</v>
      </c>
      <c r="H688" t="s">
        <v>26</v>
      </c>
      <c r="I688" t="s">
        <v>3167</v>
      </c>
      <c r="J688" t="s">
        <v>1048</v>
      </c>
      <c r="K688" t="s">
        <v>3195</v>
      </c>
      <c r="L688" t="s">
        <v>1048</v>
      </c>
      <c r="M688" t="s">
        <v>1000</v>
      </c>
      <c r="N688" t="s">
        <v>1047</v>
      </c>
      <c r="O688" t="s">
        <v>1047</v>
      </c>
      <c r="P688" t="s">
        <v>1746</v>
      </c>
      <c r="Q688" t="s">
        <v>3771</v>
      </c>
      <c r="R688" t="s">
        <v>446</v>
      </c>
      <c r="S688" t="s">
        <v>446</v>
      </c>
      <c r="T688" t="s">
        <v>1965</v>
      </c>
      <c r="U688" t="b">
        <v>0</v>
      </c>
      <c r="V688" t="s">
        <v>446</v>
      </c>
    </row>
    <row r="689" spans="1:22" x14ac:dyDescent="0.25">
      <c r="A689" t="s">
        <v>42</v>
      </c>
      <c r="B689">
        <v>114</v>
      </c>
      <c r="C689" t="s">
        <v>1052</v>
      </c>
      <c r="D689" t="s">
        <v>3926</v>
      </c>
      <c r="E689" t="s">
        <v>1051</v>
      </c>
      <c r="F689" t="s">
        <v>3927</v>
      </c>
      <c r="G689" t="s">
        <v>24</v>
      </c>
      <c r="H689" t="s">
        <v>26</v>
      </c>
      <c r="I689" t="s">
        <v>3167</v>
      </c>
      <c r="J689" t="s">
        <v>1055</v>
      </c>
      <c r="K689" t="s">
        <v>3199</v>
      </c>
      <c r="L689" t="s">
        <v>1055</v>
      </c>
      <c r="M689" t="s">
        <v>980</v>
      </c>
      <c r="N689" t="s">
        <v>1053</v>
      </c>
      <c r="O689" t="s">
        <v>1053</v>
      </c>
      <c r="P689" t="s">
        <v>1746</v>
      </c>
      <c r="Q689" t="s">
        <v>3771</v>
      </c>
      <c r="R689" t="s">
        <v>446</v>
      </c>
      <c r="S689" t="s">
        <v>446</v>
      </c>
      <c r="T689" t="s">
        <v>1965</v>
      </c>
      <c r="U689" t="b">
        <v>0</v>
      </c>
      <c r="V689" t="s">
        <v>446</v>
      </c>
    </row>
    <row r="690" spans="1:22" x14ac:dyDescent="0.25">
      <c r="A690" t="s">
        <v>42</v>
      </c>
      <c r="B690">
        <v>115</v>
      </c>
      <c r="C690" t="s">
        <v>979</v>
      </c>
      <c r="D690" t="s">
        <v>3928</v>
      </c>
      <c r="E690" t="s">
        <v>978</v>
      </c>
      <c r="F690" t="s">
        <v>3929</v>
      </c>
      <c r="G690" t="s">
        <v>24</v>
      </c>
      <c r="H690" t="s">
        <v>26</v>
      </c>
      <c r="I690" t="s">
        <v>3167</v>
      </c>
      <c r="J690" t="s">
        <v>984</v>
      </c>
      <c r="K690" t="s">
        <v>3168</v>
      </c>
      <c r="L690" t="s">
        <v>984</v>
      </c>
      <c r="M690" t="s">
        <v>980</v>
      </c>
      <c r="N690" t="s">
        <v>981</v>
      </c>
      <c r="O690" t="s">
        <v>981</v>
      </c>
      <c r="P690" t="s">
        <v>1746</v>
      </c>
      <c r="Q690" t="s">
        <v>3771</v>
      </c>
      <c r="R690" t="s">
        <v>446</v>
      </c>
      <c r="S690" t="s">
        <v>446</v>
      </c>
      <c r="T690" t="s">
        <v>1965</v>
      </c>
      <c r="U690" t="b">
        <v>0</v>
      </c>
      <c r="V690" t="s">
        <v>446</v>
      </c>
    </row>
    <row r="691" spans="1:22" x14ac:dyDescent="0.25">
      <c r="A691" t="s">
        <v>42</v>
      </c>
      <c r="B691">
        <v>115</v>
      </c>
      <c r="C691" t="s">
        <v>987</v>
      </c>
      <c r="D691" t="s">
        <v>3930</v>
      </c>
      <c r="E691" t="s">
        <v>986</v>
      </c>
      <c r="F691" t="s">
        <v>3931</v>
      </c>
      <c r="G691" t="s">
        <v>24</v>
      </c>
      <c r="H691" t="s">
        <v>26</v>
      </c>
      <c r="I691" t="s">
        <v>3167</v>
      </c>
      <c r="J691" t="s">
        <v>990</v>
      </c>
      <c r="K691" t="s">
        <v>3171</v>
      </c>
      <c r="L691" t="s">
        <v>990</v>
      </c>
      <c r="M691" t="s">
        <v>980</v>
      </c>
      <c r="N691" t="s">
        <v>988</v>
      </c>
      <c r="O691" t="s">
        <v>988</v>
      </c>
      <c r="P691" t="s">
        <v>1746</v>
      </c>
      <c r="Q691" t="s">
        <v>3771</v>
      </c>
      <c r="R691" t="s">
        <v>446</v>
      </c>
      <c r="S691" t="s">
        <v>446</v>
      </c>
      <c r="T691" t="s">
        <v>1965</v>
      </c>
      <c r="U691" t="b">
        <v>0</v>
      </c>
      <c r="V691" t="s">
        <v>446</v>
      </c>
    </row>
    <row r="692" spans="1:22" x14ac:dyDescent="0.25">
      <c r="A692" t="s">
        <v>42</v>
      </c>
      <c r="B692">
        <v>115</v>
      </c>
      <c r="C692" t="s">
        <v>993</v>
      </c>
      <c r="D692" t="s">
        <v>3932</v>
      </c>
      <c r="E692" t="s">
        <v>992</v>
      </c>
      <c r="F692" t="s">
        <v>3933</v>
      </c>
      <c r="G692" t="s">
        <v>24</v>
      </c>
      <c r="H692" t="s">
        <v>26</v>
      </c>
      <c r="I692" t="s">
        <v>3167</v>
      </c>
      <c r="J692" t="s">
        <v>996</v>
      </c>
      <c r="K692" t="s">
        <v>3173</v>
      </c>
      <c r="L692" t="s">
        <v>996</v>
      </c>
      <c r="M692" t="s">
        <v>980</v>
      </c>
      <c r="N692" t="s">
        <v>994</v>
      </c>
      <c r="O692" t="s">
        <v>994</v>
      </c>
      <c r="P692" t="s">
        <v>1746</v>
      </c>
      <c r="Q692" t="s">
        <v>3771</v>
      </c>
      <c r="R692" t="s">
        <v>446</v>
      </c>
      <c r="S692" t="s">
        <v>446</v>
      </c>
      <c r="T692" t="s">
        <v>1965</v>
      </c>
      <c r="U692" t="b">
        <v>0</v>
      </c>
      <c r="V692" t="s">
        <v>446</v>
      </c>
    </row>
    <row r="693" spans="1:22" x14ac:dyDescent="0.25">
      <c r="A693" t="s">
        <v>42</v>
      </c>
      <c r="B693">
        <v>115</v>
      </c>
      <c r="C693" t="s">
        <v>999</v>
      </c>
      <c r="D693" t="s">
        <v>3934</v>
      </c>
      <c r="E693" t="s">
        <v>998</v>
      </c>
      <c r="F693" t="s">
        <v>3935</v>
      </c>
      <c r="G693" t="s">
        <v>24</v>
      </c>
      <c r="H693" t="s">
        <v>26</v>
      </c>
      <c r="I693" t="s">
        <v>3167</v>
      </c>
      <c r="J693" t="s">
        <v>1003</v>
      </c>
      <c r="K693" t="s">
        <v>3175</v>
      </c>
      <c r="L693" t="s">
        <v>1003</v>
      </c>
      <c r="M693" t="s">
        <v>1000</v>
      </c>
      <c r="N693" t="s">
        <v>1001</v>
      </c>
      <c r="O693" t="s">
        <v>1001</v>
      </c>
      <c r="P693" t="s">
        <v>1746</v>
      </c>
      <c r="Q693" t="s">
        <v>3771</v>
      </c>
      <c r="R693" t="s">
        <v>446</v>
      </c>
      <c r="S693" t="s">
        <v>446</v>
      </c>
      <c r="T693" t="s">
        <v>1965</v>
      </c>
      <c r="U693" t="b">
        <v>0</v>
      </c>
      <c r="V693" t="s">
        <v>446</v>
      </c>
    </row>
    <row r="694" spans="1:22" x14ac:dyDescent="0.25">
      <c r="A694" t="s">
        <v>42</v>
      </c>
      <c r="B694">
        <v>115</v>
      </c>
      <c r="C694" t="s">
        <v>1005</v>
      </c>
      <c r="D694" t="s">
        <v>3936</v>
      </c>
      <c r="E694" t="s">
        <v>982</v>
      </c>
      <c r="F694" t="s">
        <v>3937</v>
      </c>
      <c r="G694" t="s">
        <v>24</v>
      </c>
      <c r="H694" t="s">
        <v>26</v>
      </c>
      <c r="I694" t="s">
        <v>3167</v>
      </c>
      <c r="J694" t="s">
        <v>1003</v>
      </c>
      <c r="K694" t="s">
        <v>3175</v>
      </c>
      <c r="L694" t="s">
        <v>1003</v>
      </c>
      <c r="M694" t="s">
        <v>1000</v>
      </c>
      <c r="N694" t="s">
        <v>1001</v>
      </c>
      <c r="O694" t="s">
        <v>1001</v>
      </c>
      <c r="P694" t="s">
        <v>1746</v>
      </c>
      <c r="Q694" t="s">
        <v>3771</v>
      </c>
      <c r="R694" t="s">
        <v>446</v>
      </c>
      <c r="S694" t="s">
        <v>446</v>
      </c>
      <c r="T694" t="s">
        <v>1965</v>
      </c>
      <c r="U694" t="b">
        <v>0</v>
      </c>
      <c r="V694" t="s">
        <v>446</v>
      </c>
    </row>
    <row r="695" spans="1:22" x14ac:dyDescent="0.25">
      <c r="A695" t="s">
        <v>42</v>
      </c>
      <c r="B695">
        <v>115</v>
      </c>
      <c r="C695" t="s">
        <v>1007</v>
      </c>
      <c r="D695" t="s">
        <v>3938</v>
      </c>
      <c r="E695" t="s">
        <v>1006</v>
      </c>
      <c r="F695" t="s">
        <v>3939</v>
      </c>
      <c r="G695" t="s">
        <v>24</v>
      </c>
      <c r="H695" t="s">
        <v>26</v>
      </c>
      <c r="I695" t="s">
        <v>3167</v>
      </c>
      <c r="J695" t="s">
        <v>1011</v>
      </c>
      <c r="K695" t="s">
        <v>3179</v>
      </c>
      <c r="L695" t="s">
        <v>1011</v>
      </c>
      <c r="M695" t="s">
        <v>1008</v>
      </c>
      <c r="N695" t="s">
        <v>1009</v>
      </c>
      <c r="O695" t="s">
        <v>1009</v>
      </c>
      <c r="P695" t="s">
        <v>1746</v>
      </c>
      <c r="Q695" t="s">
        <v>3771</v>
      </c>
      <c r="R695" t="s">
        <v>446</v>
      </c>
      <c r="S695" t="s">
        <v>446</v>
      </c>
      <c r="T695" t="s">
        <v>1965</v>
      </c>
      <c r="U695" t="b">
        <v>0</v>
      </c>
      <c r="V695" t="s">
        <v>446</v>
      </c>
    </row>
    <row r="696" spans="1:22" x14ac:dyDescent="0.25">
      <c r="A696" t="s">
        <v>42</v>
      </c>
      <c r="B696">
        <v>115</v>
      </c>
      <c r="C696" t="s">
        <v>1014</v>
      </c>
      <c r="D696" t="s">
        <v>3940</v>
      </c>
      <c r="E696" t="s">
        <v>1013</v>
      </c>
      <c r="F696" t="s">
        <v>3941</v>
      </c>
      <c r="G696" t="s">
        <v>24</v>
      </c>
      <c r="H696" t="s">
        <v>26</v>
      </c>
      <c r="I696" t="s">
        <v>3167</v>
      </c>
      <c r="J696" t="s">
        <v>1016</v>
      </c>
      <c r="K696" t="s">
        <v>3181</v>
      </c>
      <c r="L696" t="s">
        <v>1016</v>
      </c>
      <c r="M696" t="s">
        <v>980</v>
      </c>
      <c r="N696" t="s">
        <v>1015</v>
      </c>
      <c r="O696" t="s">
        <v>1015</v>
      </c>
      <c r="P696" t="s">
        <v>1746</v>
      </c>
      <c r="Q696" t="s">
        <v>3771</v>
      </c>
      <c r="R696" t="s">
        <v>446</v>
      </c>
      <c r="S696" t="s">
        <v>446</v>
      </c>
      <c r="T696" t="s">
        <v>1965</v>
      </c>
      <c r="U696" t="b">
        <v>0</v>
      </c>
      <c r="V696" t="s">
        <v>446</v>
      </c>
    </row>
    <row r="697" spans="1:22" x14ac:dyDescent="0.25">
      <c r="A697" t="s">
        <v>42</v>
      </c>
      <c r="B697">
        <v>115</v>
      </c>
      <c r="C697" t="s">
        <v>1019</v>
      </c>
      <c r="D697" t="s">
        <v>3942</v>
      </c>
      <c r="E697" t="s">
        <v>1018</v>
      </c>
      <c r="F697" t="s">
        <v>3943</v>
      </c>
      <c r="G697" t="s">
        <v>24</v>
      </c>
      <c r="H697" t="s">
        <v>26</v>
      </c>
      <c r="I697" t="s">
        <v>3167</v>
      </c>
      <c r="J697" t="s">
        <v>1021</v>
      </c>
      <c r="K697" t="s">
        <v>3183</v>
      </c>
      <c r="L697" t="s">
        <v>1021</v>
      </c>
      <c r="M697" t="s">
        <v>980</v>
      </c>
      <c r="N697" t="s">
        <v>1020</v>
      </c>
      <c r="O697" t="s">
        <v>1020</v>
      </c>
      <c r="P697" t="s">
        <v>1746</v>
      </c>
      <c r="Q697" t="s">
        <v>3771</v>
      </c>
      <c r="R697" t="s">
        <v>446</v>
      </c>
      <c r="S697" t="s">
        <v>446</v>
      </c>
      <c r="T697" t="s">
        <v>1965</v>
      </c>
      <c r="U697" t="b">
        <v>0</v>
      </c>
      <c r="V697" t="s">
        <v>446</v>
      </c>
    </row>
    <row r="698" spans="1:22" x14ac:dyDescent="0.25">
      <c r="A698" t="s">
        <v>42</v>
      </c>
      <c r="B698">
        <v>115</v>
      </c>
      <c r="C698" t="s">
        <v>1024</v>
      </c>
      <c r="D698" t="s">
        <v>3944</v>
      </c>
      <c r="E698" t="s">
        <v>1023</v>
      </c>
      <c r="F698" t="s">
        <v>3945</v>
      </c>
      <c r="G698" t="s">
        <v>24</v>
      </c>
      <c r="H698" t="s">
        <v>26</v>
      </c>
      <c r="I698" t="s">
        <v>3167</v>
      </c>
      <c r="J698" t="s">
        <v>1026</v>
      </c>
      <c r="K698" t="s">
        <v>3185</v>
      </c>
      <c r="L698" t="s">
        <v>1026</v>
      </c>
      <c r="M698" t="s">
        <v>1000</v>
      </c>
      <c r="N698" t="s">
        <v>1025</v>
      </c>
      <c r="O698" t="s">
        <v>1025</v>
      </c>
      <c r="P698" t="s">
        <v>1746</v>
      </c>
      <c r="Q698" t="s">
        <v>3771</v>
      </c>
      <c r="R698" t="s">
        <v>446</v>
      </c>
      <c r="S698" t="s">
        <v>446</v>
      </c>
      <c r="T698" t="s">
        <v>1965</v>
      </c>
      <c r="U698" t="b">
        <v>0</v>
      </c>
      <c r="V698" t="s">
        <v>446</v>
      </c>
    </row>
    <row r="699" spans="1:22" x14ac:dyDescent="0.25">
      <c r="A699" t="s">
        <v>42</v>
      </c>
      <c r="B699">
        <v>115</v>
      </c>
      <c r="C699" t="s">
        <v>1028</v>
      </c>
      <c r="D699" t="s">
        <v>3946</v>
      </c>
      <c r="E699" t="s">
        <v>1010</v>
      </c>
      <c r="F699" t="s">
        <v>3947</v>
      </c>
      <c r="G699" t="s">
        <v>24</v>
      </c>
      <c r="H699" t="s">
        <v>26</v>
      </c>
      <c r="I699" t="s">
        <v>3167</v>
      </c>
      <c r="J699" t="s">
        <v>1026</v>
      </c>
      <c r="K699" t="s">
        <v>3185</v>
      </c>
      <c r="L699" t="s">
        <v>1026</v>
      </c>
      <c r="M699" t="s">
        <v>1000</v>
      </c>
      <c r="N699" t="s">
        <v>1025</v>
      </c>
      <c r="O699" t="s">
        <v>1025</v>
      </c>
      <c r="P699" t="s">
        <v>1746</v>
      </c>
      <c r="Q699" t="s">
        <v>3771</v>
      </c>
      <c r="R699" t="s">
        <v>446</v>
      </c>
      <c r="S699" t="s">
        <v>446</v>
      </c>
      <c r="T699" t="s">
        <v>1965</v>
      </c>
      <c r="U699" t="b">
        <v>0</v>
      </c>
      <c r="V699" t="s">
        <v>446</v>
      </c>
    </row>
    <row r="700" spans="1:22" x14ac:dyDescent="0.25">
      <c r="A700" t="s">
        <v>42</v>
      </c>
      <c r="B700">
        <v>115</v>
      </c>
      <c r="C700" t="s">
        <v>1030</v>
      </c>
      <c r="D700" t="s">
        <v>3948</v>
      </c>
      <c r="E700" t="s">
        <v>1029</v>
      </c>
      <c r="F700" t="s">
        <v>3949</v>
      </c>
      <c r="G700" t="s">
        <v>24</v>
      </c>
      <c r="H700" t="s">
        <v>26</v>
      </c>
      <c r="I700" t="s">
        <v>3167</v>
      </c>
      <c r="J700" t="s">
        <v>1033</v>
      </c>
      <c r="K700" t="s">
        <v>3189</v>
      </c>
      <c r="L700" t="s">
        <v>1033</v>
      </c>
      <c r="M700" t="s">
        <v>980</v>
      </c>
      <c r="N700" t="s">
        <v>1031</v>
      </c>
      <c r="O700" t="s">
        <v>1031</v>
      </c>
      <c r="P700" t="s">
        <v>1746</v>
      </c>
      <c r="Q700" t="s">
        <v>3771</v>
      </c>
      <c r="R700" t="s">
        <v>446</v>
      </c>
      <c r="S700" t="s">
        <v>446</v>
      </c>
      <c r="T700" t="s">
        <v>1965</v>
      </c>
      <c r="U700" t="b">
        <v>0</v>
      </c>
      <c r="V700" t="s">
        <v>446</v>
      </c>
    </row>
    <row r="701" spans="1:22" x14ac:dyDescent="0.25">
      <c r="A701" t="s">
        <v>42</v>
      </c>
      <c r="B701">
        <v>115</v>
      </c>
      <c r="C701" t="s">
        <v>1036</v>
      </c>
      <c r="D701" t="s">
        <v>3950</v>
      </c>
      <c r="E701" t="s">
        <v>1035</v>
      </c>
      <c r="F701" t="s">
        <v>3951</v>
      </c>
      <c r="G701" t="s">
        <v>24</v>
      </c>
      <c r="H701" t="s">
        <v>26</v>
      </c>
      <c r="I701" t="s">
        <v>3167</v>
      </c>
      <c r="J701" t="s">
        <v>1038</v>
      </c>
      <c r="K701" t="s">
        <v>3191</v>
      </c>
      <c r="L701" t="s">
        <v>1038</v>
      </c>
      <c r="M701" t="s">
        <v>980</v>
      </c>
      <c r="N701" t="s">
        <v>1037</v>
      </c>
      <c r="O701" t="s">
        <v>1037</v>
      </c>
      <c r="P701" t="s">
        <v>1746</v>
      </c>
      <c r="Q701" t="s">
        <v>3771</v>
      </c>
      <c r="R701" t="s">
        <v>446</v>
      </c>
      <c r="S701" t="s">
        <v>446</v>
      </c>
      <c r="T701" t="s">
        <v>1965</v>
      </c>
      <c r="U701" t="b">
        <v>0</v>
      </c>
      <c r="V701" t="s">
        <v>446</v>
      </c>
    </row>
    <row r="702" spans="1:22" x14ac:dyDescent="0.25">
      <c r="A702" t="s">
        <v>42</v>
      </c>
      <c r="B702">
        <v>115</v>
      </c>
      <c r="C702" t="s">
        <v>1041</v>
      </c>
      <c r="D702" t="s">
        <v>3952</v>
      </c>
      <c r="E702" t="s">
        <v>1040</v>
      </c>
      <c r="F702" t="s">
        <v>3953</v>
      </c>
      <c r="G702" t="s">
        <v>24</v>
      </c>
      <c r="H702" t="s">
        <v>26</v>
      </c>
      <c r="I702" t="s">
        <v>3167</v>
      </c>
      <c r="J702" t="s">
        <v>1043</v>
      </c>
      <c r="K702" t="s">
        <v>3193</v>
      </c>
      <c r="L702" t="s">
        <v>1043</v>
      </c>
      <c r="M702" t="s">
        <v>980</v>
      </c>
      <c r="N702" t="s">
        <v>1042</v>
      </c>
      <c r="O702" t="s">
        <v>1042</v>
      </c>
      <c r="P702" t="s">
        <v>1746</v>
      </c>
      <c r="Q702" t="s">
        <v>3771</v>
      </c>
      <c r="R702" t="s">
        <v>446</v>
      </c>
      <c r="S702" t="s">
        <v>446</v>
      </c>
      <c r="T702" t="s">
        <v>1965</v>
      </c>
      <c r="U702" t="b">
        <v>0</v>
      </c>
      <c r="V702" t="s">
        <v>446</v>
      </c>
    </row>
    <row r="703" spans="1:22" x14ac:dyDescent="0.25">
      <c r="A703" t="s">
        <v>42</v>
      </c>
      <c r="B703">
        <v>115</v>
      </c>
      <c r="C703" t="s">
        <v>1046</v>
      </c>
      <c r="D703" t="s">
        <v>3954</v>
      </c>
      <c r="E703" t="s">
        <v>1045</v>
      </c>
      <c r="F703" t="s">
        <v>3955</v>
      </c>
      <c r="G703" t="s">
        <v>24</v>
      </c>
      <c r="H703" t="s">
        <v>26</v>
      </c>
      <c r="I703" t="s">
        <v>3167</v>
      </c>
      <c r="J703" t="s">
        <v>1048</v>
      </c>
      <c r="K703" t="s">
        <v>3195</v>
      </c>
      <c r="L703" t="s">
        <v>1048</v>
      </c>
      <c r="M703" t="s">
        <v>1000</v>
      </c>
      <c r="N703" t="s">
        <v>1047</v>
      </c>
      <c r="O703" t="s">
        <v>1047</v>
      </c>
      <c r="P703" t="s">
        <v>1746</v>
      </c>
      <c r="Q703" t="s">
        <v>3771</v>
      </c>
      <c r="R703" t="s">
        <v>446</v>
      </c>
      <c r="S703" t="s">
        <v>446</v>
      </c>
      <c r="T703" t="s">
        <v>1965</v>
      </c>
      <c r="U703" t="b">
        <v>0</v>
      </c>
      <c r="V703" t="s">
        <v>446</v>
      </c>
    </row>
    <row r="704" spans="1:22" x14ac:dyDescent="0.25">
      <c r="A704" t="s">
        <v>42</v>
      </c>
      <c r="B704">
        <v>115</v>
      </c>
      <c r="C704" t="s">
        <v>1050</v>
      </c>
      <c r="D704" t="s">
        <v>3956</v>
      </c>
      <c r="E704" t="s">
        <v>1032</v>
      </c>
      <c r="F704" t="s">
        <v>3957</v>
      </c>
      <c r="G704" t="s">
        <v>24</v>
      </c>
      <c r="H704" t="s">
        <v>26</v>
      </c>
      <c r="I704" t="s">
        <v>3167</v>
      </c>
      <c r="J704" t="s">
        <v>1048</v>
      </c>
      <c r="K704" t="s">
        <v>3195</v>
      </c>
      <c r="L704" t="s">
        <v>1048</v>
      </c>
      <c r="M704" t="s">
        <v>1000</v>
      </c>
      <c r="N704" t="s">
        <v>1047</v>
      </c>
      <c r="O704" t="s">
        <v>1047</v>
      </c>
      <c r="P704" t="s">
        <v>1746</v>
      </c>
      <c r="Q704" t="s">
        <v>3771</v>
      </c>
      <c r="R704" t="s">
        <v>446</v>
      </c>
      <c r="S704" t="s">
        <v>446</v>
      </c>
      <c r="T704" t="s">
        <v>1965</v>
      </c>
      <c r="U704" t="b">
        <v>0</v>
      </c>
      <c r="V704" t="s">
        <v>446</v>
      </c>
    </row>
    <row r="705" spans="1:22" x14ac:dyDescent="0.25">
      <c r="A705" t="s">
        <v>42</v>
      </c>
      <c r="B705">
        <v>115</v>
      </c>
      <c r="C705" t="s">
        <v>1052</v>
      </c>
      <c r="D705" t="s">
        <v>3958</v>
      </c>
      <c r="E705" t="s">
        <v>1051</v>
      </c>
      <c r="F705" t="s">
        <v>3959</v>
      </c>
      <c r="G705" t="s">
        <v>24</v>
      </c>
      <c r="H705" t="s">
        <v>26</v>
      </c>
      <c r="I705" t="s">
        <v>3167</v>
      </c>
      <c r="J705" t="s">
        <v>1055</v>
      </c>
      <c r="K705" t="s">
        <v>3199</v>
      </c>
      <c r="L705" t="s">
        <v>1055</v>
      </c>
      <c r="M705" t="s">
        <v>980</v>
      </c>
      <c r="N705" t="s">
        <v>1053</v>
      </c>
      <c r="O705" t="s">
        <v>1053</v>
      </c>
      <c r="P705" t="s">
        <v>1746</v>
      </c>
      <c r="Q705" t="s">
        <v>3771</v>
      </c>
      <c r="R705" t="s">
        <v>446</v>
      </c>
      <c r="S705" t="s">
        <v>446</v>
      </c>
      <c r="T705" t="s">
        <v>1965</v>
      </c>
      <c r="U705" t="b">
        <v>0</v>
      </c>
      <c r="V705" t="s">
        <v>446</v>
      </c>
    </row>
    <row r="706" spans="1:22" x14ac:dyDescent="0.25">
      <c r="A706" t="s">
        <v>42</v>
      </c>
      <c r="B706">
        <v>116</v>
      </c>
      <c r="C706" t="s">
        <v>979</v>
      </c>
      <c r="D706" t="s">
        <v>3960</v>
      </c>
      <c r="E706" t="s">
        <v>978</v>
      </c>
      <c r="F706" t="s">
        <v>3961</v>
      </c>
      <c r="G706" t="s">
        <v>24</v>
      </c>
      <c r="H706" t="s">
        <v>26</v>
      </c>
      <c r="I706" t="s">
        <v>3167</v>
      </c>
      <c r="J706" t="s">
        <v>984</v>
      </c>
      <c r="K706" t="s">
        <v>3168</v>
      </c>
      <c r="L706" t="s">
        <v>984</v>
      </c>
      <c r="M706" t="s">
        <v>980</v>
      </c>
      <c r="N706" t="s">
        <v>981</v>
      </c>
      <c r="O706" t="s">
        <v>981</v>
      </c>
      <c r="P706" t="s">
        <v>1089</v>
      </c>
      <c r="Q706" t="s">
        <v>3169</v>
      </c>
      <c r="R706" t="s">
        <v>446</v>
      </c>
      <c r="S706" t="s">
        <v>446</v>
      </c>
      <c r="T706" t="s">
        <v>1965</v>
      </c>
      <c r="U706" t="b">
        <v>0</v>
      </c>
      <c r="V706" t="s">
        <v>446</v>
      </c>
    </row>
    <row r="707" spans="1:22" x14ac:dyDescent="0.25">
      <c r="A707" t="s">
        <v>42</v>
      </c>
      <c r="B707">
        <v>116</v>
      </c>
      <c r="C707" t="s">
        <v>987</v>
      </c>
      <c r="D707" t="s">
        <v>3962</v>
      </c>
      <c r="E707" t="s">
        <v>986</v>
      </c>
      <c r="F707" t="s">
        <v>3963</v>
      </c>
      <c r="G707" t="s">
        <v>24</v>
      </c>
      <c r="H707" t="s">
        <v>26</v>
      </c>
      <c r="I707" t="s">
        <v>3167</v>
      </c>
      <c r="J707" t="s">
        <v>990</v>
      </c>
      <c r="K707" t="s">
        <v>3171</v>
      </c>
      <c r="L707" t="s">
        <v>990</v>
      </c>
      <c r="M707" t="s">
        <v>980</v>
      </c>
      <c r="N707" t="s">
        <v>988</v>
      </c>
      <c r="O707" t="s">
        <v>988</v>
      </c>
      <c r="P707" t="s">
        <v>1089</v>
      </c>
      <c r="Q707" t="s">
        <v>3169</v>
      </c>
      <c r="R707" t="s">
        <v>446</v>
      </c>
      <c r="S707" t="s">
        <v>446</v>
      </c>
      <c r="T707" t="s">
        <v>1965</v>
      </c>
      <c r="U707" t="b">
        <v>0</v>
      </c>
      <c r="V707" t="s">
        <v>446</v>
      </c>
    </row>
    <row r="708" spans="1:22" x14ac:dyDescent="0.25">
      <c r="A708" t="s">
        <v>42</v>
      </c>
      <c r="B708">
        <v>116</v>
      </c>
      <c r="C708" t="s">
        <v>993</v>
      </c>
      <c r="D708" t="s">
        <v>3964</v>
      </c>
      <c r="E708" t="s">
        <v>992</v>
      </c>
      <c r="F708" t="s">
        <v>3965</v>
      </c>
      <c r="G708" t="s">
        <v>24</v>
      </c>
      <c r="H708" t="s">
        <v>26</v>
      </c>
      <c r="I708" t="s">
        <v>3167</v>
      </c>
      <c r="J708" t="s">
        <v>996</v>
      </c>
      <c r="K708" t="s">
        <v>3173</v>
      </c>
      <c r="L708" t="s">
        <v>996</v>
      </c>
      <c r="M708" t="s">
        <v>980</v>
      </c>
      <c r="N708" t="s">
        <v>994</v>
      </c>
      <c r="O708" t="s">
        <v>994</v>
      </c>
      <c r="P708" t="s">
        <v>1089</v>
      </c>
      <c r="Q708" t="s">
        <v>3169</v>
      </c>
      <c r="R708" t="s">
        <v>446</v>
      </c>
      <c r="S708" t="s">
        <v>446</v>
      </c>
      <c r="T708" t="s">
        <v>1965</v>
      </c>
      <c r="U708" t="b">
        <v>0</v>
      </c>
      <c r="V708" t="s">
        <v>446</v>
      </c>
    </row>
    <row r="709" spans="1:22" x14ac:dyDescent="0.25">
      <c r="A709" t="s">
        <v>42</v>
      </c>
      <c r="B709">
        <v>116</v>
      </c>
      <c r="C709" t="s">
        <v>999</v>
      </c>
      <c r="D709" t="s">
        <v>3966</v>
      </c>
      <c r="E709" t="s">
        <v>998</v>
      </c>
      <c r="F709" t="s">
        <v>3967</v>
      </c>
      <c r="G709" t="s">
        <v>24</v>
      </c>
      <c r="H709" t="s">
        <v>26</v>
      </c>
      <c r="I709" t="s">
        <v>3167</v>
      </c>
      <c r="J709" t="s">
        <v>1003</v>
      </c>
      <c r="K709" t="s">
        <v>3175</v>
      </c>
      <c r="L709" t="s">
        <v>1003</v>
      </c>
      <c r="M709" t="s">
        <v>1000</v>
      </c>
      <c r="N709" t="s">
        <v>1001</v>
      </c>
      <c r="O709" t="s">
        <v>1001</v>
      </c>
      <c r="P709" t="s">
        <v>1089</v>
      </c>
      <c r="Q709" t="s">
        <v>3169</v>
      </c>
      <c r="R709" t="s">
        <v>446</v>
      </c>
      <c r="S709" t="s">
        <v>446</v>
      </c>
      <c r="T709" t="s">
        <v>1965</v>
      </c>
      <c r="U709" t="b">
        <v>0</v>
      </c>
      <c r="V709" t="s">
        <v>446</v>
      </c>
    </row>
    <row r="710" spans="1:22" x14ac:dyDescent="0.25">
      <c r="A710" t="s">
        <v>42</v>
      </c>
      <c r="B710">
        <v>116</v>
      </c>
      <c r="C710" t="s">
        <v>1005</v>
      </c>
      <c r="D710" t="s">
        <v>3968</v>
      </c>
      <c r="E710" t="s">
        <v>982</v>
      </c>
      <c r="F710" t="s">
        <v>3969</v>
      </c>
      <c r="G710" t="s">
        <v>24</v>
      </c>
      <c r="H710" t="s">
        <v>26</v>
      </c>
      <c r="I710" t="s">
        <v>3167</v>
      </c>
      <c r="J710" t="s">
        <v>1003</v>
      </c>
      <c r="K710" t="s">
        <v>3175</v>
      </c>
      <c r="L710" t="s">
        <v>1003</v>
      </c>
      <c r="M710" t="s">
        <v>1000</v>
      </c>
      <c r="N710" t="s">
        <v>1001</v>
      </c>
      <c r="O710" t="s">
        <v>1001</v>
      </c>
      <c r="P710" t="s">
        <v>1089</v>
      </c>
      <c r="Q710" t="s">
        <v>3169</v>
      </c>
      <c r="R710" t="s">
        <v>446</v>
      </c>
      <c r="S710" t="s">
        <v>446</v>
      </c>
      <c r="T710" t="s">
        <v>1965</v>
      </c>
      <c r="U710" t="b">
        <v>0</v>
      </c>
      <c r="V710" t="s">
        <v>446</v>
      </c>
    </row>
    <row r="711" spans="1:22" x14ac:dyDescent="0.25">
      <c r="A711" t="s">
        <v>42</v>
      </c>
      <c r="B711">
        <v>116</v>
      </c>
      <c r="C711" t="s">
        <v>1007</v>
      </c>
      <c r="D711" t="s">
        <v>3970</v>
      </c>
      <c r="E711" t="s">
        <v>1006</v>
      </c>
      <c r="F711" t="s">
        <v>3971</v>
      </c>
      <c r="G711" t="s">
        <v>24</v>
      </c>
      <c r="H711" t="s">
        <v>26</v>
      </c>
      <c r="I711" t="s">
        <v>3167</v>
      </c>
      <c r="J711" t="s">
        <v>1011</v>
      </c>
      <c r="K711" t="s">
        <v>3179</v>
      </c>
      <c r="L711" t="s">
        <v>1011</v>
      </c>
      <c r="M711" t="s">
        <v>1008</v>
      </c>
      <c r="N711" t="s">
        <v>1009</v>
      </c>
      <c r="O711" t="s">
        <v>1009</v>
      </c>
      <c r="P711" t="s">
        <v>1089</v>
      </c>
      <c r="Q711" t="s">
        <v>3169</v>
      </c>
      <c r="R711" t="s">
        <v>446</v>
      </c>
      <c r="S711" t="s">
        <v>446</v>
      </c>
      <c r="T711" t="s">
        <v>1965</v>
      </c>
      <c r="U711" t="b">
        <v>0</v>
      </c>
      <c r="V711" t="s">
        <v>446</v>
      </c>
    </row>
    <row r="712" spans="1:22" x14ac:dyDescent="0.25">
      <c r="A712" t="s">
        <v>42</v>
      </c>
      <c r="B712">
        <v>116</v>
      </c>
      <c r="C712" t="s">
        <v>1014</v>
      </c>
      <c r="D712" t="s">
        <v>3972</v>
      </c>
      <c r="E712" t="s">
        <v>1013</v>
      </c>
      <c r="F712" t="s">
        <v>3973</v>
      </c>
      <c r="G712" t="s">
        <v>24</v>
      </c>
      <c r="H712" t="s">
        <v>26</v>
      </c>
      <c r="I712" t="s">
        <v>3167</v>
      </c>
      <c r="J712" t="s">
        <v>1016</v>
      </c>
      <c r="K712" t="s">
        <v>3181</v>
      </c>
      <c r="L712" t="s">
        <v>1016</v>
      </c>
      <c r="M712" t="s">
        <v>980</v>
      </c>
      <c r="N712" t="s">
        <v>1015</v>
      </c>
      <c r="O712" t="s">
        <v>1015</v>
      </c>
      <c r="P712" t="s">
        <v>1089</v>
      </c>
      <c r="Q712" t="s">
        <v>3169</v>
      </c>
      <c r="R712" t="s">
        <v>446</v>
      </c>
      <c r="S712" t="s">
        <v>446</v>
      </c>
      <c r="T712" t="s">
        <v>1965</v>
      </c>
      <c r="U712" t="b">
        <v>0</v>
      </c>
      <c r="V712" t="s">
        <v>446</v>
      </c>
    </row>
    <row r="713" spans="1:22" x14ac:dyDescent="0.25">
      <c r="A713" t="s">
        <v>42</v>
      </c>
      <c r="B713">
        <v>116</v>
      </c>
      <c r="C713" t="s">
        <v>1019</v>
      </c>
      <c r="D713" t="s">
        <v>3974</v>
      </c>
      <c r="E713" t="s">
        <v>1018</v>
      </c>
      <c r="F713" t="s">
        <v>3975</v>
      </c>
      <c r="G713" t="s">
        <v>24</v>
      </c>
      <c r="H713" t="s">
        <v>26</v>
      </c>
      <c r="I713" t="s">
        <v>3167</v>
      </c>
      <c r="J713" t="s">
        <v>1021</v>
      </c>
      <c r="K713" t="s">
        <v>3183</v>
      </c>
      <c r="L713" t="s">
        <v>1021</v>
      </c>
      <c r="M713" t="s">
        <v>980</v>
      </c>
      <c r="N713" t="s">
        <v>1020</v>
      </c>
      <c r="O713" t="s">
        <v>1020</v>
      </c>
      <c r="P713" t="s">
        <v>1089</v>
      </c>
      <c r="Q713" t="s">
        <v>3169</v>
      </c>
      <c r="R713" t="s">
        <v>446</v>
      </c>
      <c r="S713" t="s">
        <v>446</v>
      </c>
      <c r="T713" t="s">
        <v>1965</v>
      </c>
      <c r="U713" t="b">
        <v>0</v>
      </c>
      <c r="V713" t="s">
        <v>446</v>
      </c>
    </row>
    <row r="714" spans="1:22" x14ac:dyDescent="0.25">
      <c r="A714" t="s">
        <v>42</v>
      </c>
      <c r="B714">
        <v>116</v>
      </c>
      <c r="C714" t="s">
        <v>1024</v>
      </c>
      <c r="D714" t="s">
        <v>3976</v>
      </c>
      <c r="E714" t="s">
        <v>1023</v>
      </c>
      <c r="F714" t="s">
        <v>3977</v>
      </c>
      <c r="G714" t="s">
        <v>24</v>
      </c>
      <c r="H714" t="s">
        <v>26</v>
      </c>
      <c r="I714" t="s">
        <v>3167</v>
      </c>
      <c r="J714" t="s">
        <v>1026</v>
      </c>
      <c r="K714" t="s">
        <v>3185</v>
      </c>
      <c r="L714" t="s">
        <v>1026</v>
      </c>
      <c r="M714" t="s">
        <v>1000</v>
      </c>
      <c r="N714" t="s">
        <v>1025</v>
      </c>
      <c r="O714" t="s">
        <v>1025</v>
      </c>
      <c r="P714" t="s">
        <v>1089</v>
      </c>
      <c r="Q714" t="s">
        <v>3169</v>
      </c>
      <c r="R714" t="s">
        <v>446</v>
      </c>
      <c r="S714" t="s">
        <v>446</v>
      </c>
      <c r="T714" t="s">
        <v>1965</v>
      </c>
      <c r="U714" t="b">
        <v>0</v>
      </c>
      <c r="V714" t="s">
        <v>446</v>
      </c>
    </row>
    <row r="715" spans="1:22" x14ac:dyDescent="0.25">
      <c r="A715" t="s">
        <v>42</v>
      </c>
      <c r="B715">
        <v>116</v>
      </c>
      <c r="C715" t="s">
        <v>1028</v>
      </c>
      <c r="D715" t="s">
        <v>3978</v>
      </c>
      <c r="E715" t="s">
        <v>1010</v>
      </c>
      <c r="F715" t="s">
        <v>3979</v>
      </c>
      <c r="G715" t="s">
        <v>24</v>
      </c>
      <c r="H715" t="s">
        <v>26</v>
      </c>
      <c r="I715" t="s">
        <v>3167</v>
      </c>
      <c r="J715" t="s">
        <v>1026</v>
      </c>
      <c r="K715" t="s">
        <v>3185</v>
      </c>
      <c r="L715" t="s">
        <v>1026</v>
      </c>
      <c r="M715" t="s">
        <v>1000</v>
      </c>
      <c r="N715" t="s">
        <v>1025</v>
      </c>
      <c r="O715" t="s">
        <v>1025</v>
      </c>
      <c r="P715" t="s">
        <v>1089</v>
      </c>
      <c r="Q715" t="s">
        <v>3169</v>
      </c>
      <c r="R715" t="s">
        <v>446</v>
      </c>
      <c r="S715" t="s">
        <v>446</v>
      </c>
      <c r="T715" t="s">
        <v>1965</v>
      </c>
      <c r="U715" t="b">
        <v>0</v>
      </c>
      <c r="V715" t="s">
        <v>446</v>
      </c>
    </row>
    <row r="716" spans="1:22" x14ac:dyDescent="0.25">
      <c r="A716" t="s">
        <v>42</v>
      </c>
      <c r="B716">
        <v>116</v>
      </c>
      <c r="C716" t="s">
        <v>1030</v>
      </c>
      <c r="D716" t="s">
        <v>3980</v>
      </c>
      <c r="E716" t="s">
        <v>1029</v>
      </c>
      <c r="F716" t="s">
        <v>3981</v>
      </c>
      <c r="G716" t="s">
        <v>24</v>
      </c>
      <c r="H716" t="s">
        <v>26</v>
      </c>
      <c r="I716" t="s">
        <v>3167</v>
      </c>
      <c r="J716" t="s">
        <v>1033</v>
      </c>
      <c r="K716" t="s">
        <v>3189</v>
      </c>
      <c r="L716" t="s">
        <v>1033</v>
      </c>
      <c r="M716" t="s">
        <v>980</v>
      </c>
      <c r="N716" t="s">
        <v>1031</v>
      </c>
      <c r="O716" t="s">
        <v>1031</v>
      </c>
      <c r="P716" t="s">
        <v>1089</v>
      </c>
      <c r="Q716" t="s">
        <v>3169</v>
      </c>
      <c r="R716" t="s">
        <v>446</v>
      </c>
      <c r="S716" t="s">
        <v>446</v>
      </c>
      <c r="T716" t="s">
        <v>1965</v>
      </c>
      <c r="U716" t="b">
        <v>0</v>
      </c>
      <c r="V716" t="s">
        <v>446</v>
      </c>
    </row>
    <row r="717" spans="1:22" x14ac:dyDescent="0.25">
      <c r="A717" t="s">
        <v>42</v>
      </c>
      <c r="B717">
        <v>116</v>
      </c>
      <c r="C717" t="s">
        <v>1036</v>
      </c>
      <c r="D717" t="s">
        <v>3982</v>
      </c>
      <c r="E717" t="s">
        <v>1035</v>
      </c>
      <c r="F717" t="s">
        <v>3983</v>
      </c>
      <c r="G717" t="s">
        <v>24</v>
      </c>
      <c r="H717" t="s">
        <v>26</v>
      </c>
      <c r="I717" t="s">
        <v>3167</v>
      </c>
      <c r="J717" t="s">
        <v>1038</v>
      </c>
      <c r="K717" t="s">
        <v>3191</v>
      </c>
      <c r="L717" t="s">
        <v>1038</v>
      </c>
      <c r="M717" t="s">
        <v>980</v>
      </c>
      <c r="N717" t="s">
        <v>1037</v>
      </c>
      <c r="O717" t="s">
        <v>1037</v>
      </c>
      <c r="P717" t="s">
        <v>1089</v>
      </c>
      <c r="Q717" t="s">
        <v>3169</v>
      </c>
      <c r="R717" t="s">
        <v>446</v>
      </c>
      <c r="S717" t="s">
        <v>446</v>
      </c>
      <c r="T717" t="s">
        <v>1965</v>
      </c>
      <c r="U717" t="b">
        <v>0</v>
      </c>
      <c r="V717" t="s">
        <v>446</v>
      </c>
    </row>
    <row r="718" spans="1:22" x14ac:dyDescent="0.25">
      <c r="A718" t="s">
        <v>42</v>
      </c>
      <c r="B718">
        <v>116</v>
      </c>
      <c r="C718" t="s">
        <v>1041</v>
      </c>
      <c r="D718" t="s">
        <v>3984</v>
      </c>
      <c r="E718" t="s">
        <v>1040</v>
      </c>
      <c r="F718" t="s">
        <v>3985</v>
      </c>
      <c r="G718" t="s">
        <v>24</v>
      </c>
      <c r="H718" t="s">
        <v>26</v>
      </c>
      <c r="I718" t="s">
        <v>3167</v>
      </c>
      <c r="J718" t="s">
        <v>1043</v>
      </c>
      <c r="K718" t="s">
        <v>3193</v>
      </c>
      <c r="L718" t="s">
        <v>1043</v>
      </c>
      <c r="M718" t="s">
        <v>980</v>
      </c>
      <c r="N718" t="s">
        <v>1042</v>
      </c>
      <c r="O718" t="s">
        <v>1042</v>
      </c>
      <c r="P718" t="s">
        <v>1089</v>
      </c>
      <c r="Q718" t="s">
        <v>3169</v>
      </c>
      <c r="R718" t="s">
        <v>446</v>
      </c>
      <c r="S718" t="s">
        <v>446</v>
      </c>
      <c r="T718" t="s">
        <v>1965</v>
      </c>
      <c r="U718" t="b">
        <v>0</v>
      </c>
      <c r="V718" t="s">
        <v>446</v>
      </c>
    </row>
    <row r="719" spans="1:22" x14ac:dyDescent="0.25">
      <c r="A719" t="s">
        <v>42</v>
      </c>
      <c r="B719">
        <v>116</v>
      </c>
      <c r="C719" t="s">
        <v>1046</v>
      </c>
      <c r="D719" t="s">
        <v>3986</v>
      </c>
      <c r="E719" t="s">
        <v>1045</v>
      </c>
      <c r="F719" t="s">
        <v>3987</v>
      </c>
      <c r="G719" t="s">
        <v>24</v>
      </c>
      <c r="H719" t="s">
        <v>26</v>
      </c>
      <c r="I719" t="s">
        <v>3167</v>
      </c>
      <c r="J719" t="s">
        <v>1048</v>
      </c>
      <c r="K719" t="s">
        <v>3195</v>
      </c>
      <c r="L719" t="s">
        <v>1048</v>
      </c>
      <c r="M719" t="s">
        <v>1000</v>
      </c>
      <c r="N719" t="s">
        <v>1047</v>
      </c>
      <c r="O719" t="s">
        <v>1047</v>
      </c>
      <c r="P719" t="s">
        <v>1089</v>
      </c>
      <c r="Q719" t="s">
        <v>3169</v>
      </c>
      <c r="R719" t="s">
        <v>446</v>
      </c>
      <c r="S719" t="s">
        <v>446</v>
      </c>
      <c r="T719" t="s">
        <v>1965</v>
      </c>
      <c r="U719" t="b">
        <v>0</v>
      </c>
      <c r="V719" t="s">
        <v>446</v>
      </c>
    </row>
    <row r="720" spans="1:22" x14ac:dyDescent="0.25">
      <c r="A720" t="s">
        <v>42</v>
      </c>
      <c r="B720">
        <v>116</v>
      </c>
      <c r="C720" t="s">
        <v>1050</v>
      </c>
      <c r="D720" t="s">
        <v>3988</v>
      </c>
      <c r="E720" t="s">
        <v>1032</v>
      </c>
      <c r="F720" t="s">
        <v>3989</v>
      </c>
      <c r="G720" t="s">
        <v>24</v>
      </c>
      <c r="H720" t="s">
        <v>26</v>
      </c>
      <c r="I720" t="s">
        <v>3167</v>
      </c>
      <c r="J720" t="s">
        <v>1048</v>
      </c>
      <c r="K720" t="s">
        <v>3195</v>
      </c>
      <c r="L720" t="s">
        <v>1048</v>
      </c>
      <c r="M720" t="s">
        <v>1000</v>
      </c>
      <c r="N720" t="s">
        <v>1047</v>
      </c>
      <c r="O720" t="s">
        <v>1047</v>
      </c>
      <c r="P720" t="s">
        <v>1089</v>
      </c>
      <c r="Q720" t="s">
        <v>3169</v>
      </c>
      <c r="R720" t="s">
        <v>446</v>
      </c>
      <c r="S720" t="s">
        <v>446</v>
      </c>
      <c r="T720" t="s">
        <v>1965</v>
      </c>
      <c r="U720" t="b">
        <v>0</v>
      </c>
      <c r="V720" t="s">
        <v>446</v>
      </c>
    </row>
    <row r="721" spans="1:22" x14ac:dyDescent="0.25">
      <c r="A721" t="s">
        <v>42</v>
      </c>
      <c r="B721">
        <v>116</v>
      </c>
      <c r="C721" t="s">
        <v>1052</v>
      </c>
      <c r="D721" t="s">
        <v>3990</v>
      </c>
      <c r="E721" t="s">
        <v>1051</v>
      </c>
      <c r="F721" t="s">
        <v>3991</v>
      </c>
      <c r="G721" t="s">
        <v>24</v>
      </c>
      <c r="H721" t="s">
        <v>26</v>
      </c>
      <c r="I721" t="s">
        <v>3167</v>
      </c>
      <c r="J721" t="s">
        <v>1055</v>
      </c>
      <c r="K721" t="s">
        <v>3199</v>
      </c>
      <c r="L721" t="s">
        <v>1055</v>
      </c>
      <c r="M721" t="s">
        <v>980</v>
      </c>
      <c r="N721" t="s">
        <v>1053</v>
      </c>
      <c r="O721" t="s">
        <v>1053</v>
      </c>
      <c r="P721" t="s">
        <v>1089</v>
      </c>
      <c r="Q721" t="s">
        <v>3169</v>
      </c>
      <c r="R721" t="s">
        <v>446</v>
      </c>
      <c r="S721" t="s">
        <v>446</v>
      </c>
      <c r="T721" t="s">
        <v>1965</v>
      </c>
      <c r="U721" t="b">
        <v>0</v>
      </c>
      <c r="V721" t="s">
        <v>446</v>
      </c>
    </row>
    <row r="722" spans="1:22" x14ac:dyDescent="0.25">
      <c r="A722" t="s">
        <v>42</v>
      </c>
      <c r="B722">
        <v>118</v>
      </c>
      <c r="C722" t="s">
        <v>979</v>
      </c>
      <c r="D722" t="s">
        <v>3992</v>
      </c>
      <c r="E722" t="s">
        <v>978</v>
      </c>
      <c r="F722" t="s">
        <v>3218</v>
      </c>
      <c r="G722" t="s">
        <v>24</v>
      </c>
      <c r="H722" t="s">
        <v>26</v>
      </c>
      <c r="I722" t="s">
        <v>3167</v>
      </c>
      <c r="J722" t="s">
        <v>984</v>
      </c>
      <c r="K722" t="s">
        <v>3168</v>
      </c>
      <c r="L722" t="s">
        <v>984</v>
      </c>
      <c r="M722" t="s">
        <v>980</v>
      </c>
      <c r="N722" t="s">
        <v>981</v>
      </c>
      <c r="O722" t="s">
        <v>981</v>
      </c>
      <c r="P722" t="s">
        <v>1089</v>
      </c>
      <c r="Q722" t="s">
        <v>3169</v>
      </c>
      <c r="R722" t="s">
        <v>446</v>
      </c>
      <c r="S722" t="s">
        <v>446</v>
      </c>
      <c r="T722" t="s">
        <v>1965</v>
      </c>
      <c r="U722" t="b">
        <v>0</v>
      </c>
      <c r="V722" t="s">
        <v>446</v>
      </c>
    </row>
    <row r="723" spans="1:22" x14ac:dyDescent="0.25">
      <c r="A723" t="s">
        <v>42</v>
      </c>
      <c r="B723">
        <v>118</v>
      </c>
      <c r="C723" t="s">
        <v>987</v>
      </c>
      <c r="D723" t="s">
        <v>3993</v>
      </c>
      <c r="E723" t="s">
        <v>986</v>
      </c>
      <c r="F723" t="s">
        <v>3218</v>
      </c>
      <c r="G723" t="s">
        <v>24</v>
      </c>
      <c r="H723" t="s">
        <v>26</v>
      </c>
      <c r="I723" t="s">
        <v>3167</v>
      </c>
      <c r="J723" t="s">
        <v>990</v>
      </c>
      <c r="K723" t="s">
        <v>3171</v>
      </c>
      <c r="L723" t="s">
        <v>990</v>
      </c>
      <c r="M723" t="s">
        <v>980</v>
      </c>
      <c r="N723" t="s">
        <v>988</v>
      </c>
      <c r="O723" t="s">
        <v>988</v>
      </c>
      <c r="P723" t="s">
        <v>1089</v>
      </c>
      <c r="Q723" t="s">
        <v>3169</v>
      </c>
      <c r="R723" t="s">
        <v>446</v>
      </c>
      <c r="S723" t="s">
        <v>446</v>
      </c>
      <c r="T723" t="s">
        <v>1965</v>
      </c>
      <c r="U723" t="b">
        <v>0</v>
      </c>
      <c r="V723" t="s">
        <v>446</v>
      </c>
    </row>
    <row r="724" spans="1:22" x14ac:dyDescent="0.25">
      <c r="A724" t="s">
        <v>42</v>
      </c>
      <c r="B724">
        <v>118</v>
      </c>
      <c r="C724" t="s">
        <v>993</v>
      </c>
      <c r="D724" t="s">
        <v>3994</v>
      </c>
      <c r="E724" t="s">
        <v>992</v>
      </c>
      <c r="F724" t="s">
        <v>3218</v>
      </c>
      <c r="G724" t="s">
        <v>24</v>
      </c>
      <c r="H724" t="s">
        <v>26</v>
      </c>
      <c r="I724" t="s">
        <v>3167</v>
      </c>
      <c r="J724" t="s">
        <v>996</v>
      </c>
      <c r="K724" t="s">
        <v>3173</v>
      </c>
      <c r="L724" t="s">
        <v>996</v>
      </c>
      <c r="M724" t="s">
        <v>980</v>
      </c>
      <c r="N724" t="s">
        <v>994</v>
      </c>
      <c r="O724" t="s">
        <v>994</v>
      </c>
      <c r="P724" t="s">
        <v>1089</v>
      </c>
      <c r="Q724" t="s">
        <v>3169</v>
      </c>
      <c r="R724" t="s">
        <v>446</v>
      </c>
      <c r="S724" t="s">
        <v>446</v>
      </c>
      <c r="T724" t="s">
        <v>1965</v>
      </c>
      <c r="U724" t="b">
        <v>0</v>
      </c>
      <c r="V724" t="s">
        <v>446</v>
      </c>
    </row>
    <row r="725" spans="1:22" x14ac:dyDescent="0.25">
      <c r="A725" t="s">
        <v>42</v>
      </c>
      <c r="B725">
        <v>118</v>
      </c>
      <c r="C725" t="s">
        <v>999</v>
      </c>
      <c r="D725" t="s">
        <v>3995</v>
      </c>
      <c r="E725" t="s">
        <v>998</v>
      </c>
      <c r="F725" t="s">
        <v>3218</v>
      </c>
      <c r="G725" t="s">
        <v>24</v>
      </c>
      <c r="H725" t="s">
        <v>26</v>
      </c>
      <c r="I725" t="s">
        <v>3167</v>
      </c>
      <c r="J725" t="s">
        <v>1003</v>
      </c>
      <c r="K725" t="s">
        <v>3175</v>
      </c>
      <c r="L725" t="s">
        <v>1003</v>
      </c>
      <c r="M725" t="s">
        <v>1000</v>
      </c>
      <c r="N725" t="s">
        <v>1001</v>
      </c>
      <c r="O725" t="s">
        <v>1001</v>
      </c>
      <c r="P725" t="s">
        <v>1089</v>
      </c>
      <c r="Q725" t="s">
        <v>3169</v>
      </c>
      <c r="R725" t="s">
        <v>446</v>
      </c>
      <c r="S725" t="s">
        <v>446</v>
      </c>
      <c r="T725" t="s">
        <v>1965</v>
      </c>
      <c r="U725" t="b">
        <v>0</v>
      </c>
      <c r="V725" t="s">
        <v>446</v>
      </c>
    </row>
    <row r="726" spans="1:22" x14ac:dyDescent="0.25">
      <c r="A726" t="s">
        <v>42</v>
      </c>
      <c r="B726">
        <v>118</v>
      </c>
      <c r="C726" t="s">
        <v>1005</v>
      </c>
      <c r="D726" t="s">
        <v>3996</v>
      </c>
      <c r="E726" t="s">
        <v>982</v>
      </c>
      <c r="F726" t="s">
        <v>3166</v>
      </c>
      <c r="G726" t="s">
        <v>24</v>
      </c>
      <c r="H726" t="s">
        <v>26</v>
      </c>
      <c r="I726" t="s">
        <v>3167</v>
      </c>
      <c r="J726" t="s">
        <v>1003</v>
      </c>
      <c r="K726" t="s">
        <v>3175</v>
      </c>
      <c r="L726" t="s">
        <v>1003</v>
      </c>
      <c r="M726" t="s">
        <v>1000</v>
      </c>
      <c r="N726" t="s">
        <v>1001</v>
      </c>
      <c r="O726" t="s">
        <v>1001</v>
      </c>
      <c r="P726" t="s">
        <v>1089</v>
      </c>
      <c r="Q726" t="s">
        <v>3169</v>
      </c>
      <c r="R726" t="s">
        <v>446</v>
      </c>
      <c r="S726" t="s">
        <v>446</v>
      </c>
      <c r="T726" t="s">
        <v>1965</v>
      </c>
      <c r="U726" t="b">
        <v>0</v>
      </c>
      <c r="V726" t="s">
        <v>446</v>
      </c>
    </row>
    <row r="727" spans="1:22" x14ac:dyDescent="0.25">
      <c r="A727" t="s">
        <v>42</v>
      </c>
      <c r="B727">
        <v>118</v>
      </c>
      <c r="C727" t="s">
        <v>1007</v>
      </c>
      <c r="D727" t="s">
        <v>3997</v>
      </c>
      <c r="E727" t="s">
        <v>1006</v>
      </c>
      <c r="F727" t="s">
        <v>3218</v>
      </c>
      <c r="G727" t="s">
        <v>24</v>
      </c>
      <c r="H727" t="s">
        <v>26</v>
      </c>
      <c r="I727" t="s">
        <v>3167</v>
      </c>
      <c r="J727" t="s">
        <v>1011</v>
      </c>
      <c r="K727" t="s">
        <v>3179</v>
      </c>
      <c r="L727" t="s">
        <v>1011</v>
      </c>
      <c r="M727" t="s">
        <v>1008</v>
      </c>
      <c r="N727" t="s">
        <v>1009</v>
      </c>
      <c r="O727" t="s">
        <v>1009</v>
      </c>
      <c r="P727" t="s">
        <v>1089</v>
      </c>
      <c r="Q727" t="s">
        <v>3169</v>
      </c>
      <c r="R727" t="s">
        <v>446</v>
      </c>
      <c r="S727" t="s">
        <v>446</v>
      </c>
      <c r="T727" t="s">
        <v>1965</v>
      </c>
      <c r="U727" t="b">
        <v>0</v>
      </c>
      <c r="V727" t="s">
        <v>446</v>
      </c>
    </row>
    <row r="728" spans="1:22" x14ac:dyDescent="0.25">
      <c r="A728" t="s">
        <v>42</v>
      </c>
      <c r="B728">
        <v>118</v>
      </c>
      <c r="C728" t="s">
        <v>1014</v>
      </c>
      <c r="D728" t="s">
        <v>3998</v>
      </c>
      <c r="E728" t="s">
        <v>1013</v>
      </c>
      <c r="F728" t="s">
        <v>3218</v>
      </c>
      <c r="G728" t="s">
        <v>24</v>
      </c>
      <c r="H728" t="s">
        <v>26</v>
      </c>
      <c r="I728" t="s">
        <v>3167</v>
      </c>
      <c r="J728" t="s">
        <v>1016</v>
      </c>
      <c r="K728" t="s">
        <v>3181</v>
      </c>
      <c r="L728" t="s">
        <v>1016</v>
      </c>
      <c r="M728" t="s">
        <v>980</v>
      </c>
      <c r="N728" t="s">
        <v>1015</v>
      </c>
      <c r="O728" t="s">
        <v>1015</v>
      </c>
      <c r="P728" t="s">
        <v>1089</v>
      </c>
      <c r="Q728" t="s">
        <v>3169</v>
      </c>
      <c r="R728" t="s">
        <v>446</v>
      </c>
      <c r="S728" t="s">
        <v>446</v>
      </c>
      <c r="T728" t="s">
        <v>1965</v>
      </c>
      <c r="U728" t="b">
        <v>0</v>
      </c>
      <c r="V728" t="s">
        <v>446</v>
      </c>
    </row>
    <row r="729" spans="1:22" x14ac:dyDescent="0.25">
      <c r="A729" t="s">
        <v>42</v>
      </c>
      <c r="B729">
        <v>118</v>
      </c>
      <c r="C729" t="s">
        <v>1019</v>
      </c>
      <c r="D729" t="s">
        <v>3999</v>
      </c>
      <c r="E729" t="s">
        <v>1018</v>
      </c>
      <c r="F729" t="s">
        <v>3218</v>
      </c>
      <c r="G729" t="s">
        <v>24</v>
      </c>
      <c r="H729" t="s">
        <v>26</v>
      </c>
      <c r="I729" t="s">
        <v>3167</v>
      </c>
      <c r="J729" t="s">
        <v>1021</v>
      </c>
      <c r="K729" t="s">
        <v>3183</v>
      </c>
      <c r="L729" t="s">
        <v>1021</v>
      </c>
      <c r="M729" t="s">
        <v>980</v>
      </c>
      <c r="N729" t="s">
        <v>1020</v>
      </c>
      <c r="O729" t="s">
        <v>1020</v>
      </c>
      <c r="P729" t="s">
        <v>1089</v>
      </c>
      <c r="Q729" t="s">
        <v>3169</v>
      </c>
      <c r="R729" t="s">
        <v>446</v>
      </c>
      <c r="S729" t="s">
        <v>446</v>
      </c>
      <c r="T729" t="s">
        <v>1965</v>
      </c>
      <c r="U729" t="b">
        <v>0</v>
      </c>
      <c r="V729" t="s">
        <v>446</v>
      </c>
    </row>
    <row r="730" spans="1:22" x14ac:dyDescent="0.25">
      <c r="A730" t="s">
        <v>42</v>
      </c>
      <c r="B730">
        <v>118</v>
      </c>
      <c r="C730" t="s">
        <v>1024</v>
      </c>
      <c r="D730" t="s">
        <v>4000</v>
      </c>
      <c r="E730" t="s">
        <v>1023</v>
      </c>
      <c r="F730" t="s">
        <v>3218</v>
      </c>
      <c r="G730" t="s">
        <v>24</v>
      </c>
      <c r="H730" t="s">
        <v>26</v>
      </c>
      <c r="I730" t="s">
        <v>3167</v>
      </c>
      <c r="J730" t="s">
        <v>1026</v>
      </c>
      <c r="K730" t="s">
        <v>3185</v>
      </c>
      <c r="L730" t="s">
        <v>1026</v>
      </c>
      <c r="M730" t="s">
        <v>1000</v>
      </c>
      <c r="N730" t="s">
        <v>1025</v>
      </c>
      <c r="O730" t="s">
        <v>1025</v>
      </c>
      <c r="P730" t="s">
        <v>1089</v>
      </c>
      <c r="Q730" t="s">
        <v>3169</v>
      </c>
      <c r="R730" t="s">
        <v>446</v>
      </c>
      <c r="S730" t="s">
        <v>446</v>
      </c>
      <c r="T730" t="s">
        <v>1965</v>
      </c>
      <c r="U730" t="b">
        <v>0</v>
      </c>
      <c r="V730" t="s">
        <v>446</v>
      </c>
    </row>
    <row r="731" spans="1:22" x14ac:dyDescent="0.25">
      <c r="A731" t="s">
        <v>42</v>
      </c>
      <c r="B731">
        <v>118</v>
      </c>
      <c r="C731" t="s">
        <v>1028</v>
      </c>
      <c r="D731" t="s">
        <v>4001</v>
      </c>
      <c r="E731" t="s">
        <v>1010</v>
      </c>
      <c r="F731" t="s">
        <v>3178</v>
      </c>
      <c r="G731" t="s">
        <v>24</v>
      </c>
      <c r="H731" t="s">
        <v>26</v>
      </c>
      <c r="I731" t="s">
        <v>3167</v>
      </c>
      <c r="J731" t="s">
        <v>1026</v>
      </c>
      <c r="K731" t="s">
        <v>3185</v>
      </c>
      <c r="L731" t="s">
        <v>1026</v>
      </c>
      <c r="M731" t="s">
        <v>1000</v>
      </c>
      <c r="N731" t="s">
        <v>1025</v>
      </c>
      <c r="O731" t="s">
        <v>1025</v>
      </c>
      <c r="P731" t="s">
        <v>1089</v>
      </c>
      <c r="Q731" t="s">
        <v>3169</v>
      </c>
      <c r="R731" t="s">
        <v>446</v>
      </c>
      <c r="S731" t="s">
        <v>446</v>
      </c>
      <c r="T731" t="s">
        <v>1965</v>
      </c>
      <c r="U731" t="b">
        <v>0</v>
      </c>
      <c r="V731" t="s">
        <v>446</v>
      </c>
    </row>
    <row r="732" spans="1:22" x14ac:dyDescent="0.25">
      <c r="A732" t="s">
        <v>42</v>
      </c>
      <c r="B732">
        <v>118</v>
      </c>
      <c r="C732" t="s">
        <v>1030</v>
      </c>
      <c r="D732" t="s">
        <v>4002</v>
      </c>
      <c r="E732" t="s">
        <v>1029</v>
      </c>
      <c r="F732" t="s">
        <v>3218</v>
      </c>
      <c r="G732" t="s">
        <v>24</v>
      </c>
      <c r="H732" t="s">
        <v>26</v>
      </c>
      <c r="I732" t="s">
        <v>3167</v>
      </c>
      <c r="J732" t="s">
        <v>1033</v>
      </c>
      <c r="K732" t="s">
        <v>3189</v>
      </c>
      <c r="L732" t="s">
        <v>1033</v>
      </c>
      <c r="M732" t="s">
        <v>980</v>
      </c>
      <c r="N732" t="s">
        <v>1031</v>
      </c>
      <c r="O732" t="s">
        <v>1031</v>
      </c>
      <c r="P732" t="s">
        <v>1089</v>
      </c>
      <c r="Q732" t="s">
        <v>3169</v>
      </c>
      <c r="R732" t="s">
        <v>446</v>
      </c>
      <c r="S732" t="s">
        <v>446</v>
      </c>
      <c r="T732" t="s">
        <v>1965</v>
      </c>
      <c r="U732" t="b">
        <v>0</v>
      </c>
      <c r="V732" t="s">
        <v>446</v>
      </c>
    </row>
    <row r="733" spans="1:22" x14ac:dyDescent="0.25">
      <c r="A733" t="s">
        <v>42</v>
      </c>
      <c r="B733">
        <v>118</v>
      </c>
      <c r="C733" t="s">
        <v>1036</v>
      </c>
      <c r="D733" t="s">
        <v>4003</v>
      </c>
      <c r="E733" t="s">
        <v>1035</v>
      </c>
      <c r="F733" t="s">
        <v>3218</v>
      </c>
      <c r="G733" t="s">
        <v>24</v>
      </c>
      <c r="H733" t="s">
        <v>26</v>
      </c>
      <c r="I733" t="s">
        <v>3167</v>
      </c>
      <c r="J733" t="s">
        <v>1038</v>
      </c>
      <c r="K733" t="s">
        <v>3191</v>
      </c>
      <c r="L733" t="s">
        <v>1038</v>
      </c>
      <c r="M733" t="s">
        <v>980</v>
      </c>
      <c r="N733" t="s">
        <v>1037</v>
      </c>
      <c r="O733" t="s">
        <v>1037</v>
      </c>
      <c r="P733" t="s">
        <v>1089</v>
      </c>
      <c r="Q733" t="s">
        <v>3169</v>
      </c>
      <c r="R733" t="s">
        <v>446</v>
      </c>
      <c r="S733" t="s">
        <v>446</v>
      </c>
      <c r="T733" t="s">
        <v>1965</v>
      </c>
      <c r="U733" t="b">
        <v>0</v>
      </c>
      <c r="V733" t="s">
        <v>446</v>
      </c>
    </row>
    <row r="734" spans="1:22" x14ac:dyDescent="0.25">
      <c r="A734" t="s">
        <v>42</v>
      </c>
      <c r="B734">
        <v>118</v>
      </c>
      <c r="C734" t="s">
        <v>1041</v>
      </c>
      <c r="D734" t="s">
        <v>4004</v>
      </c>
      <c r="E734" t="s">
        <v>1040</v>
      </c>
      <c r="F734" t="s">
        <v>3218</v>
      </c>
      <c r="G734" t="s">
        <v>24</v>
      </c>
      <c r="H734" t="s">
        <v>26</v>
      </c>
      <c r="I734" t="s">
        <v>3167</v>
      </c>
      <c r="J734" t="s">
        <v>1043</v>
      </c>
      <c r="K734" t="s">
        <v>3193</v>
      </c>
      <c r="L734" t="s">
        <v>1043</v>
      </c>
      <c r="M734" t="s">
        <v>980</v>
      </c>
      <c r="N734" t="s">
        <v>1042</v>
      </c>
      <c r="O734" t="s">
        <v>1042</v>
      </c>
      <c r="P734" t="s">
        <v>1089</v>
      </c>
      <c r="Q734" t="s">
        <v>3169</v>
      </c>
      <c r="R734" t="s">
        <v>446</v>
      </c>
      <c r="S734" t="s">
        <v>446</v>
      </c>
      <c r="T734" t="s">
        <v>1965</v>
      </c>
      <c r="U734" t="b">
        <v>0</v>
      </c>
      <c r="V734" t="s">
        <v>446</v>
      </c>
    </row>
    <row r="735" spans="1:22" x14ac:dyDescent="0.25">
      <c r="A735" t="s">
        <v>42</v>
      </c>
      <c r="B735">
        <v>118</v>
      </c>
      <c r="C735" t="s">
        <v>1046</v>
      </c>
      <c r="D735" t="s">
        <v>4005</v>
      </c>
      <c r="E735" t="s">
        <v>1045</v>
      </c>
      <c r="F735" t="s">
        <v>3218</v>
      </c>
      <c r="G735" t="s">
        <v>24</v>
      </c>
      <c r="H735" t="s">
        <v>26</v>
      </c>
      <c r="I735" t="s">
        <v>3167</v>
      </c>
      <c r="J735" t="s">
        <v>1048</v>
      </c>
      <c r="K735" t="s">
        <v>3195</v>
      </c>
      <c r="L735" t="s">
        <v>1048</v>
      </c>
      <c r="M735" t="s">
        <v>1000</v>
      </c>
      <c r="N735" t="s">
        <v>1047</v>
      </c>
      <c r="O735" t="s">
        <v>1047</v>
      </c>
      <c r="P735" t="s">
        <v>1089</v>
      </c>
      <c r="Q735" t="s">
        <v>3169</v>
      </c>
      <c r="R735" t="s">
        <v>446</v>
      </c>
      <c r="S735" t="s">
        <v>446</v>
      </c>
      <c r="T735" t="s">
        <v>1965</v>
      </c>
      <c r="U735" t="b">
        <v>0</v>
      </c>
      <c r="V735" t="s">
        <v>446</v>
      </c>
    </row>
    <row r="736" spans="1:22" x14ac:dyDescent="0.25">
      <c r="A736" t="s">
        <v>42</v>
      </c>
      <c r="B736">
        <v>118</v>
      </c>
      <c r="C736" t="s">
        <v>1050</v>
      </c>
      <c r="D736" t="s">
        <v>4006</v>
      </c>
      <c r="E736" t="s">
        <v>1032</v>
      </c>
      <c r="F736" t="s">
        <v>3188</v>
      </c>
      <c r="G736" t="s">
        <v>24</v>
      </c>
      <c r="H736" t="s">
        <v>26</v>
      </c>
      <c r="I736" t="s">
        <v>3167</v>
      </c>
      <c r="J736" t="s">
        <v>1048</v>
      </c>
      <c r="K736" t="s">
        <v>3195</v>
      </c>
      <c r="L736" t="s">
        <v>1048</v>
      </c>
      <c r="M736" t="s">
        <v>1000</v>
      </c>
      <c r="N736" t="s">
        <v>1047</v>
      </c>
      <c r="O736" t="s">
        <v>1047</v>
      </c>
      <c r="P736" t="s">
        <v>1089</v>
      </c>
      <c r="Q736" t="s">
        <v>3169</v>
      </c>
      <c r="R736" t="s">
        <v>446</v>
      </c>
      <c r="S736" t="s">
        <v>446</v>
      </c>
      <c r="T736" t="s">
        <v>1965</v>
      </c>
      <c r="U736" t="b">
        <v>0</v>
      </c>
      <c r="V736" t="s">
        <v>446</v>
      </c>
    </row>
    <row r="737" spans="1:22" x14ac:dyDescent="0.25">
      <c r="A737" t="s">
        <v>42</v>
      </c>
      <c r="B737">
        <v>118</v>
      </c>
      <c r="C737" t="s">
        <v>1052</v>
      </c>
      <c r="D737" t="s">
        <v>4007</v>
      </c>
      <c r="E737" t="s">
        <v>1051</v>
      </c>
      <c r="F737" t="s">
        <v>3218</v>
      </c>
      <c r="G737" t="s">
        <v>24</v>
      </c>
      <c r="H737" t="s">
        <v>26</v>
      </c>
      <c r="I737" t="s">
        <v>3167</v>
      </c>
      <c r="J737" t="s">
        <v>1055</v>
      </c>
      <c r="K737" t="s">
        <v>3199</v>
      </c>
      <c r="L737" t="s">
        <v>1055</v>
      </c>
      <c r="M737" t="s">
        <v>980</v>
      </c>
      <c r="N737" t="s">
        <v>1053</v>
      </c>
      <c r="O737" t="s">
        <v>1053</v>
      </c>
      <c r="P737" t="s">
        <v>1089</v>
      </c>
      <c r="Q737" t="s">
        <v>3169</v>
      </c>
      <c r="R737" t="s">
        <v>446</v>
      </c>
      <c r="S737" t="s">
        <v>446</v>
      </c>
      <c r="T737" t="s">
        <v>1965</v>
      </c>
      <c r="U737" t="b">
        <v>0</v>
      </c>
      <c r="V737" t="s">
        <v>446</v>
      </c>
    </row>
    <row r="738" spans="1:22" x14ac:dyDescent="0.25">
      <c r="A738" t="s">
        <v>42</v>
      </c>
      <c r="B738">
        <v>120</v>
      </c>
      <c r="C738" t="s">
        <v>979</v>
      </c>
      <c r="D738" t="s">
        <v>2157</v>
      </c>
      <c r="E738" t="s">
        <v>978</v>
      </c>
      <c r="F738" t="s">
        <v>4008</v>
      </c>
      <c r="G738" t="s">
        <v>24</v>
      </c>
      <c r="H738" t="s">
        <v>26</v>
      </c>
      <c r="I738" t="s">
        <v>3167</v>
      </c>
      <c r="J738" t="s">
        <v>984</v>
      </c>
      <c r="K738" t="s">
        <v>3168</v>
      </c>
      <c r="L738" t="s">
        <v>984</v>
      </c>
      <c r="M738" t="s">
        <v>980</v>
      </c>
      <c r="N738" t="s">
        <v>981</v>
      </c>
      <c r="O738" t="s">
        <v>981</v>
      </c>
      <c r="P738" t="s">
        <v>1089</v>
      </c>
      <c r="Q738" t="s">
        <v>3169</v>
      </c>
      <c r="R738" t="s">
        <v>2162</v>
      </c>
      <c r="S738" t="s">
        <v>4009</v>
      </c>
      <c r="T738" t="s">
        <v>1965</v>
      </c>
      <c r="U738" t="b">
        <v>0</v>
      </c>
      <c r="V738" t="s">
        <v>2164</v>
      </c>
    </row>
    <row r="739" spans="1:22" x14ac:dyDescent="0.25">
      <c r="A739" t="s">
        <v>42</v>
      </c>
      <c r="B739">
        <v>120</v>
      </c>
      <c r="C739" t="s">
        <v>987</v>
      </c>
      <c r="D739" t="s">
        <v>2165</v>
      </c>
      <c r="E739" t="s">
        <v>986</v>
      </c>
      <c r="F739" t="s">
        <v>4010</v>
      </c>
      <c r="G739" t="s">
        <v>24</v>
      </c>
      <c r="H739" t="s">
        <v>26</v>
      </c>
      <c r="I739" t="s">
        <v>3167</v>
      </c>
      <c r="J739" t="s">
        <v>990</v>
      </c>
      <c r="K739" t="s">
        <v>3171</v>
      </c>
      <c r="L739" t="s">
        <v>990</v>
      </c>
      <c r="M739" t="s">
        <v>980</v>
      </c>
      <c r="N739" t="s">
        <v>988</v>
      </c>
      <c r="O739" t="s">
        <v>988</v>
      </c>
      <c r="P739" t="s">
        <v>1089</v>
      </c>
      <c r="Q739" t="s">
        <v>3169</v>
      </c>
      <c r="R739" t="s">
        <v>2162</v>
      </c>
      <c r="S739" t="s">
        <v>4009</v>
      </c>
      <c r="T739" t="s">
        <v>1965</v>
      </c>
      <c r="U739" t="b">
        <v>0</v>
      </c>
      <c r="V739" t="s">
        <v>2164</v>
      </c>
    </row>
    <row r="740" spans="1:22" x14ac:dyDescent="0.25">
      <c r="A740" t="s">
        <v>42</v>
      </c>
      <c r="B740">
        <v>120</v>
      </c>
      <c r="C740" t="s">
        <v>993</v>
      </c>
      <c r="D740" t="s">
        <v>2167</v>
      </c>
      <c r="E740" t="s">
        <v>992</v>
      </c>
      <c r="F740" t="s">
        <v>4011</v>
      </c>
      <c r="G740" t="s">
        <v>24</v>
      </c>
      <c r="H740" t="s">
        <v>26</v>
      </c>
      <c r="I740" t="s">
        <v>3167</v>
      </c>
      <c r="J740" t="s">
        <v>996</v>
      </c>
      <c r="K740" t="s">
        <v>3173</v>
      </c>
      <c r="L740" t="s">
        <v>996</v>
      </c>
      <c r="M740" t="s">
        <v>980</v>
      </c>
      <c r="N740" t="s">
        <v>994</v>
      </c>
      <c r="O740" t="s">
        <v>994</v>
      </c>
      <c r="P740" t="s">
        <v>1089</v>
      </c>
      <c r="Q740" t="s">
        <v>3169</v>
      </c>
      <c r="R740" t="s">
        <v>2162</v>
      </c>
      <c r="S740" t="s">
        <v>4009</v>
      </c>
      <c r="T740" t="s">
        <v>1965</v>
      </c>
      <c r="U740" t="b">
        <v>0</v>
      </c>
      <c r="V740" t="s">
        <v>2164</v>
      </c>
    </row>
    <row r="741" spans="1:22" x14ac:dyDescent="0.25">
      <c r="A741" t="s">
        <v>42</v>
      </c>
      <c r="B741">
        <v>120</v>
      </c>
      <c r="C741" t="s">
        <v>999</v>
      </c>
      <c r="D741" t="s">
        <v>2169</v>
      </c>
      <c r="E741" t="s">
        <v>998</v>
      </c>
      <c r="F741" t="s">
        <v>3228</v>
      </c>
      <c r="G741" t="s">
        <v>24</v>
      </c>
      <c r="H741" t="s">
        <v>26</v>
      </c>
      <c r="I741" t="s">
        <v>3167</v>
      </c>
      <c r="J741" t="s">
        <v>1003</v>
      </c>
      <c r="K741" t="s">
        <v>3175</v>
      </c>
      <c r="L741" t="s">
        <v>1003</v>
      </c>
      <c r="M741" t="s">
        <v>1000</v>
      </c>
      <c r="N741" t="s">
        <v>1001</v>
      </c>
      <c r="O741" t="s">
        <v>1001</v>
      </c>
      <c r="P741" t="s">
        <v>1089</v>
      </c>
      <c r="Q741" t="s">
        <v>3169</v>
      </c>
      <c r="R741" t="s">
        <v>2162</v>
      </c>
      <c r="S741" t="s">
        <v>4009</v>
      </c>
      <c r="T741" t="s">
        <v>1965</v>
      </c>
      <c r="U741" t="b">
        <v>0</v>
      </c>
      <c r="V741" t="s">
        <v>2164</v>
      </c>
    </row>
    <row r="742" spans="1:22" x14ac:dyDescent="0.25">
      <c r="A742" t="s">
        <v>42</v>
      </c>
      <c r="B742">
        <v>120</v>
      </c>
      <c r="C742" t="s">
        <v>1005</v>
      </c>
      <c r="D742" t="s">
        <v>2688</v>
      </c>
      <c r="E742" t="s">
        <v>982</v>
      </c>
      <c r="F742" t="s">
        <v>3228</v>
      </c>
      <c r="G742" t="s">
        <v>24</v>
      </c>
      <c r="H742" t="s">
        <v>26</v>
      </c>
      <c r="I742" t="s">
        <v>3167</v>
      </c>
      <c r="J742" t="s">
        <v>1003</v>
      </c>
      <c r="K742" t="s">
        <v>3175</v>
      </c>
      <c r="L742" t="s">
        <v>1003</v>
      </c>
      <c r="M742" t="s">
        <v>1000</v>
      </c>
      <c r="N742" t="s">
        <v>1001</v>
      </c>
      <c r="O742" t="s">
        <v>1001</v>
      </c>
      <c r="P742" t="s">
        <v>1089</v>
      </c>
      <c r="Q742" t="s">
        <v>3169</v>
      </c>
      <c r="R742" t="s">
        <v>2162</v>
      </c>
      <c r="S742" t="s">
        <v>4009</v>
      </c>
      <c r="T742" t="s">
        <v>1965</v>
      </c>
      <c r="U742" t="b">
        <v>0</v>
      </c>
      <c r="V742" t="s">
        <v>2164</v>
      </c>
    </row>
    <row r="743" spans="1:22" x14ac:dyDescent="0.25">
      <c r="A743" t="s">
        <v>42</v>
      </c>
      <c r="B743">
        <v>120</v>
      </c>
      <c r="C743" t="s">
        <v>1007</v>
      </c>
      <c r="D743" t="s">
        <v>2171</v>
      </c>
      <c r="E743" t="s">
        <v>1006</v>
      </c>
      <c r="F743" t="s">
        <v>4012</v>
      </c>
      <c r="G743" t="s">
        <v>24</v>
      </c>
      <c r="H743" t="s">
        <v>26</v>
      </c>
      <c r="I743" t="s">
        <v>3167</v>
      </c>
      <c r="J743" t="s">
        <v>1967</v>
      </c>
      <c r="K743" t="s">
        <v>3227</v>
      </c>
      <c r="L743" t="s">
        <v>1967</v>
      </c>
      <c r="M743" t="s">
        <v>980</v>
      </c>
      <c r="N743" t="s">
        <v>1009</v>
      </c>
      <c r="O743" t="s">
        <v>1009</v>
      </c>
      <c r="P743" t="s">
        <v>1089</v>
      </c>
      <c r="Q743" t="s">
        <v>3169</v>
      </c>
      <c r="R743" t="s">
        <v>2173</v>
      </c>
      <c r="S743" t="s">
        <v>4009</v>
      </c>
      <c r="T743" t="s">
        <v>1965</v>
      </c>
      <c r="U743" t="b">
        <v>0</v>
      </c>
      <c r="V743" t="s">
        <v>2687</v>
      </c>
    </row>
    <row r="744" spans="1:22" x14ac:dyDescent="0.25">
      <c r="A744" t="s">
        <v>42</v>
      </c>
      <c r="B744">
        <v>120</v>
      </c>
      <c r="C744" t="s">
        <v>1014</v>
      </c>
      <c r="D744" t="s">
        <v>2174</v>
      </c>
      <c r="E744" t="s">
        <v>1013</v>
      </c>
      <c r="F744" t="s">
        <v>4013</v>
      </c>
      <c r="G744" t="s">
        <v>24</v>
      </c>
      <c r="H744" t="s">
        <v>26</v>
      </c>
      <c r="I744" t="s">
        <v>3167</v>
      </c>
      <c r="J744" t="s">
        <v>1016</v>
      </c>
      <c r="K744" t="s">
        <v>3181</v>
      </c>
      <c r="L744" t="s">
        <v>1016</v>
      </c>
      <c r="M744" t="s">
        <v>980</v>
      </c>
      <c r="N744" t="s">
        <v>1015</v>
      </c>
      <c r="O744" t="s">
        <v>1015</v>
      </c>
      <c r="P744" t="s">
        <v>1089</v>
      </c>
      <c r="Q744" t="s">
        <v>3169</v>
      </c>
      <c r="R744" t="s">
        <v>2162</v>
      </c>
      <c r="S744" t="s">
        <v>4009</v>
      </c>
      <c r="T744" t="s">
        <v>1965</v>
      </c>
      <c r="U744" t="b">
        <v>0</v>
      </c>
      <c r="V744" t="s">
        <v>2164</v>
      </c>
    </row>
    <row r="745" spans="1:22" x14ac:dyDescent="0.25">
      <c r="A745" t="s">
        <v>42</v>
      </c>
      <c r="B745">
        <v>120</v>
      </c>
      <c r="C745" t="s">
        <v>1019</v>
      </c>
      <c r="D745" t="s">
        <v>2176</v>
      </c>
      <c r="E745" t="s">
        <v>1018</v>
      </c>
      <c r="F745" t="s">
        <v>4014</v>
      </c>
      <c r="G745" t="s">
        <v>24</v>
      </c>
      <c r="H745" t="s">
        <v>26</v>
      </c>
      <c r="I745" t="s">
        <v>3167</v>
      </c>
      <c r="J745" t="s">
        <v>1021</v>
      </c>
      <c r="K745" t="s">
        <v>3183</v>
      </c>
      <c r="L745" t="s">
        <v>1021</v>
      </c>
      <c r="M745" t="s">
        <v>980</v>
      </c>
      <c r="N745" t="s">
        <v>1020</v>
      </c>
      <c r="O745" t="s">
        <v>1020</v>
      </c>
      <c r="P745" t="s">
        <v>1089</v>
      </c>
      <c r="Q745" t="s">
        <v>3169</v>
      </c>
      <c r="R745" t="s">
        <v>2162</v>
      </c>
      <c r="S745" t="s">
        <v>4009</v>
      </c>
      <c r="T745" t="s">
        <v>1965</v>
      </c>
      <c r="U745" t="b">
        <v>0</v>
      </c>
      <c r="V745" t="s">
        <v>2164</v>
      </c>
    </row>
    <row r="746" spans="1:22" x14ac:dyDescent="0.25">
      <c r="A746" t="s">
        <v>42</v>
      </c>
      <c r="B746">
        <v>120</v>
      </c>
      <c r="C746" t="s">
        <v>1024</v>
      </c>
      <c r="D746" t="s">
        <v>2178</v>
      </c>
      <c r="E746" t="s">
        <v>1023</v>
      </c>
      <c r="F746" t="s">
        <v>4015</v>
      </c>
      <c r="G746" t="s">
        <v>24</v>
      </c>
      <c r="H746" t="s">
        <v>26</v>
      </c>
      <c r="I746" t="s">
        <v>3167</v>
      </c>
      <c r="J746" t="s">
        <v>1026</v>
      </c>
      <c r="K746" t="s">
        <v>3185</v>
      </c>
      <c r="L746" t="s">
        <v>1026</v>
      </c>
      <c r="M746" t="s">
        <v>1000</v>
      </c>
      <c r="N746" t="s">
        <v>1025</v>
      </c>
      <c r="O746" t="s">
        <v>1025</v>
      </c>
      <c r="P746" t="s">
        <v>1089</v>
      </c>
      <c r="Q746" t="s">
        <v>3169</v>
      </c>
      <c r="R746" t="s">
        <v>2162</v>
      </c>
      <c r="S746" t="s">
        <v>4009</v>
      </c>
      <c r="T746" t="s">
        <v>1965</v>
      </c>
      <c r="U746" t="b">
        <v>0</v>
      </c>
      <c r="V746" t="s">
        <v>2164</v>
      </c>
    </row>
    <row r="747" spans="1:22" x14ac:dyDescent="0.25">
      <c r="A747" t="s">
        <v>42</v>
      </c>
      <c r="B747">
        <v>120</v>
      </c>
      <c r="C747" t="s">
        <v>1028</v>
      </c>
      <c r="D747" t="s">
        <v>2690</v>
      </c>
      <c r="E747" t="s">
        <v>1010</v>
      </c>
      <c r="F747" t="s">
        <v>4015</v>
      </c>
      <c r="G747" t="s">
        <v>24</v>
      </c>
      <c r="H747" t="s">
        <v>26</v>
      </c>
      <c r="I747" t="s">
        <v>3167</v>
      </c>
      <c r="J747" t="s">
        <v>1026</v>
      </c>
      <c r="K747" t="s">
        <v>3185</v>
      </c>
      <c r="L747" t="s">
        <v>1026</v>
      </c>
      <c r="M747" t="s">
        <v>1000</v>
      </c>
      <c r="N747" t="s">
        <v>1025</v>
      </c>
      <c r="O747" t="s">
        <v>1025</v>
      </c>
      <c r="P747" t="s">
        <v>1089</v>
      </c>
      <c r="Q747" t="s">
        <v>3169</v>
      </c>
      <c r="R747" t="s">
        <v>2162</v>
      </c>
      <c r="S747" t="s">
        <v>4009</v>
      </c>
      <c r="T747" t="s">
        <v>1965</v>
      </c>
      <c r="U747" t="b">
        <v>0</v>
      </c>
      <c r="V747" t="s">
        <v>2164</v>
      </c>
    </row>
    <row r="748" spans="1:22" x14ac:dyDescent="0.25">
      <c r="A748" t="s">
        <v>42</v>
      </c>
      <c r="B748">
        <v>120</v>
      </c>
      <c r="C748" t="s">
        <v>1030</v>
      </c>
      <c r="D748" t="s">
        <v>1356</v>
      </c>
      <c r="E748" t="s">
        <v>1029</v>
      </c>
      <c r="F748">
        <v>11996</v>
      </c>
      <c r="G748" t="s">
        <v>24</v>
      </c>
      <c r="H748" t="s">
        <v>26</v>
      </c>
      <c r="I748" t="s">
        <v>3167</v>
      </c>
      <c r="J748" t="s">
        <v>1033</v>
      </c>
      <c r="K748" t="s">
        <v>3189</v>
      </c>
      <c r="L748" t="s">
        <v>1033</v>
      </c>
      <c r="M748" t="s">
        <v>980</v>
      </c>
      <c r="N748" t="s">
        <v>1031</v>
      </c>
      <c r="O748" t="s">
        <v>1031</v>
      </c>
      <c r="P748" t="s">
        <v>1089</v>
      </c>
      <c r="Q748" t="s">
        <v>3169</v>
      </c>
      <c r="R748" t="s">
        <v>2162</v>
      </c>
      <c r="S748" t="s">
        <v>4009</v>
      </c>
      <c r="T748" t="s">
        <v>3239</v>
      </c>
      <c r="U748" t="b">
        <v>0</v>
      </c>
      <c r="V748" t="s">
        <v>2164</v>
      </c>
    </row>
    <row r="749" spans="1:22" x14ac:dyDescent="0.25">
      <c r="A749" t="s">
        <v>42</v>
      </c>
      <c r="B749">
        <v>120</v>
      </c>
      <c r="C749" t="s">
        <v>1036</v>
      </c>
      <c r="D749" t="s">
        <v>1358</v>
      </c>
      <c r="E749" t="s">
        <v>1035</v>
      </c>
      <c r="F749">
        <v>12248</v>
      </c>
      <c r="G749" t="s">
        <v>24</v>
      </c>
      <c r="H749" t="s">
        <v>26</v>
      </c>
      <c r="I749" t="s">
        <v>3167</v>
      </c>
      <c r="J749" t="s">
        <v>1038</v>
      </c>
      <c r="K749" t="s">
        <v>3191</v>
      </c>
      <c r="L749" t="s">
        <v>1038</v>
      </c>
      <c r="M749" t="s">
        <v>980</v>
      </c>
      <c r="N749" t="s">
        <v>1037</v>
      </c>
      <c r="O749" t="s">
        <v>1037</v>
      </c>
      <c r="P749" t="s">
        <v>1089</v>
      </c>
      <c r="Q749" t="s">
        <v>3169</v>
      </c>
      <c r="R749" t="s">
        <v>2162</v>
      </c>
      <c r="S749" t="s">
        <v>4009</v>
      </c>
      <c r="T749" t="s">
        <v>3239</v>
      </c>
      <c r="U749" t="b">
        <v>0</v>
      </c>
      <c r="V749" t="s">
        <v>2164</v>
      </c>
    </row>
    <row r="750" spans="1:22" x14ac:dyDescent="0.25">
      <c r="A750" t="s">
        <v>42</v>
      </c>
      <c r="B750">
        <v>120</v>
      </c>
      <c r="C750" t="s">
        <v>1041</v>
      </c>
      <c r="D750" t="s">
        <v>1360</v>
      </c>
      <c r="E750" t="s">
        <v>1040</v>
      </c>
      <c r="F750">
        <v>13874</v>
      </c>
      <c r="G750" t="s">
        <v>24</v>
      </c>
      <c r="H750" t="s">
        <v>26</v>
      </c>
      <c r="I750" t="s">
        <v>3167</v>
      </c>
      <c r="J750" t="s">
        <v>1043</v>
      </c>
      <c r="K750" t="s">
        <v>3193</v>
      </c>
      <c r="L750" t="s">
        <v>1043</v>
      </c>
      <c r="M750" t="s">
        <v>980</v>
      </c>
      <c r="N750" t="s">
        <v>1042</v>
      </c>
      <c r="O750" t="s">
        <v>1042</v>
      </c>
      <c r="P750" t="s">
        <v>1089</v>
      </c>
      <c r="Q750" t="s">
        <v>3169</v>
      </c>
      <c r="R750" t="s">
        <v>2162</v>
      </c>
      <c r="S750" t="s">
        <v>4009</v>
      </c>
      <c r="T750" t="s">
        <v>3239</v>
      </c>
      <c r="U750" t="b">
        <v>0</v>
      </c>
      <c r="V750" t="s">
        <v>2164</v>
      </c>
    </row>
    <row r="751" spans="1:22" x14ac:dyDescent="0.25">
      <c r="A751" t="s">
        <v>42</v>
      </c>
      <c r="B751">
        <v>120</v>
      </c>
      <c r="C751" t="s">
        <v>1046</v>
      </c>
      <c r="D751" t="s">
        <v>1362</v>
      </c>
      <c r="E751" t="s">
        <v>1045</v>
      </c>
      <c r="F751">
        <v>13872</v>
      </c>
      <c r="G751" t="s">
        <v>24</v>
      </c>
      <c r="H751" t="s">
        <v>26</v>
      </c>
      <c r="I751" t="s">
        <v>3167</v>
      </c>
      <c r="J751" t="s">
        <v>1048</v>
      </c>
      <c r="K751" t="s">
        <v>3195</v>
      </c>
      <c r="L751" t="s">
        <v>1048</v>
      </c>
      <c r="M751" t="s">
        <v>1000</v>
      </c>
      <c r="N751" t="s">
        <v>1047</v>
      </c>
      <c r="O751" t="s">
        <v>1047</v>
      </c>
      <c r="P751" t="s">
        <v>1089</v>
      </c>
      <c r="Q751" t="s">
        <v>3169</v>
      </c>
      <c r="R751" t="s">
        <v>2162</v>
      </c>
      <c r="S751" t="s">
        <v>4009</v>
      </c>
      <c r="T751" t="s">
        <v>3239</v>
      </c>
      <c r="U751" t="b">
        <v>0</v>
      </c>
      <c r="V751" t="s">
        <v>2164</v>
      </c>
    </row>
    <row r="752" spans="1:22" x14ac:dyDescent="0.25">
      <c r="A752" t="s">
        <v>42</v>
      </c>
      <c r="B752">
        <v>120</v>
      </c>
      <c r="C752" t="s">
        <v>1050</v>
      </c>
      <c r="D752" t="s">
        <v>2692</v>
      </c>
      <c r="E752" t="s">
        <v>1032</v>
      </c>
      <c r="F752" t="s">
        <v>4016</v>
      </c>
      <c r="G752" t="s">
        <v>24</v>
      </c>
      <c r="H752" t="s">
        <v>26</v>
      </c>
      <c r="I752" t="s">
        <v>3167</v>
      </c>
      <c r="J752" t="s">
        <v>1048</v>
      </c>
      <c r="K752" t="s">
        <v>3195</v>
      </c>
      <c r="L752" t="s">
        <v>1048</v>
      </c>
      <c r="M752" t="s">
        <v>1000</v>
      </c>
      <c r="N752" t="s">
        <v>1047</v>
      </c>
      <c r="O752" t="s">
        <v>1047</v>
      </c>
      <c r="P752" t="s">
        <v>1089</v>
      </c>
      <c r="Q752" t="s">
        <v>3169</v>
      </c>
      <c r="R752" t="s">
        <v>2162</v>
      </c>
      <c r="S752" t="s">
        <v>4009</v>
      </c>
      <c r="T752" t="s">
        <v>1965</v>
      </c>
      <c r="U752" t="b">
        <v>0</v>
      </c>
      <c r="V752" t="s">
        <v>2164</v>
      </c>
    </row>
    <row r="753" spans="1:22" x14ac:dyDescent="0.25">
      <c r="A753" t="s">
        <v>42</v>
      </c>
      <c r="B753">
        <v>120</v>
      </c>
      <c r="C753" t="s">
        <v>1052</v>
      </c>
      <c r="D753" t="s">
        <v>2184</v>
      </c>
      <c r="E753" t="s">
        <v>1051</v>
      </c>
      <c r="F753" t="s">
        <v>4017</v>
      </c>
      <c r="G753" t="s">
        <v>24</v>
      </c>
      <c r="H753" t="s">
        <v>26</v>
      </c>
      <c r="I753" t="s">
        <v>3167</v>
      </c>
      <c r="J753" t="s">
        <v>1055</v>
      </c>
      <c r="K753" t="s">
        <v>3199</v>
      </c>
      <c r="L753" t="s">
        <v>1055</v>
      </c>
      <c r="M753" t="s">
        <v>980</v>
      </c>
      <c r="N753" t="s">
        <v>1053</v>
      </c>
      <c r="O753" t="s">
        <v>1053</v>
      </c>
      <c r="P753" t="s">
        <v>1089</v>
      </c>
      <c r="Q753" t="s">
        <v>3169</v>
      </c>
      <c r="R753" t="s">
        <v>2173</v>
      </c>
      <c r="S753" t="s">
        <v>4009</v>
      </c>
      <c r="T753" t="s">
        <v>1965</v>
      </c>
      <c r="U753" t="b">
        <v>0</v>
      </c>
      <c r="V753" t="s">
        <v>2687</v>
      </c>
    </row>
    <row r="754" spans="1:22" x14ac:dyDescent="0.25">
      <c r="A754" t="s">
        <v>42</v>
      </c>
      <c r="B754">
        <v>121</v>
      </c>
      <c r="C754" t="s">
        <v>979</v>
      </c>
      <c r="D754" t="s">
        <v>1364</v>
      </c>
      <c r="E754" t="s">
        <v>978</v>
      </c>
      <c r="F754">
        <v>4599</v>
      </c>
      <c r="G754" t="s">
        <v>24</v>
      </c>
      <c r="H754" t="s">
        <v>26</v>
      </c>
      <c r="I754" t="s">
        <v>3167</v>
      </c>
      <c r="J754" t="s">
        <v>984</v>
      </c>
      <c r="K754" t="s">
        <v>3168</v>
      </c>
      <c r="L754" t="s">
        <v>984</v>
      </c>
      <c r="M754" t="s">
        <v>980</v>
      </c>
      <c r="N754" t="s">
        <v>981</v>
      </c>
      <c r="O754" t="s">
        <v>981</v>
      </c>
      <c r="P754" t="s">
        <v>1089</v>
      </c>
      <c r="Q754" t="s">
        <v>3169</v>
      </c>
      <c r="R754" t="s">
        <v>2187</v>
      </c>
      <c r="S754" t="s">
        <v>4018</v>
      </c>
      <c r="T754" t="s">
        <v>3239</v>
      </c>
      <c r="U754" t="b">
        <v>0</v>
      </c>
      <c r="V754" t="s">
        <v>2190</v>
      </c>
    </row>
    <row r="755" spans="1:22" x14ac:dyDescent="0.25">
      <c r="A755" t="s">
        <v>42</v>
      </c>
      <c r="B755">
        <v>121</v>
      </c>
      <c r="C755" t="s">
        <v>987</v>
      </c>
      <c r="D755" t="s">
        <v>1365</v>
      </c>
      <c r="E755" t="s">
        <v>986</v>
      </c>
      <c r="F755">
        <v>3970</v>
      </c>
      <c r="G755" t="s">
        <v>24</v>
      </c>
      <c r="H755" t="s">
        <v>26</v>
      </c>
      <c r="I755" t="s">
        <v>3167</v>
      </c>
      <c r="J755" t="s">
        <v>990</v>
      </c>
      <c r="K755" t="s">
        <v>3171</v>
      </c>
      <c r="L755" t="s">
        <v>990</v>
      </c>
      <c r="M755" t="s">
        <v>980</v>
      </c>
      <c r="N755" t="s">
        <v>988</v>
      </c>
      <c r="O755" t="s">
        <v>988</v>
      </c>
      <c r="P755" t="s">
        <v>1089</v>
      </c>
      <c r="Q755" t="s">
        <v>3169</v>
      </c>
      <c r="R755" t="s">
        <v>2187</v>
      </c>
      <c r="S755" t="s">
        <v>4018</v>
      </c>
      <c r="T755" t="s">
        <v>3239</v>
      </c>
      <c r="U755" t="b">
        <v>0</v>
      </c>
      <c r="V755" t="s">
        <v>2190</v>
      </c>
    </row>
    <row r="756" spans="1:22" x14ac:dyDescent="0.25">
      <c r="A756" t="s">
        <v>42</v>
      </c>
      <c r="B756">
        <v>121</v>
      </c>
      <c r="C756" t="s">
        <v>993</v>
      </c>
      <c r="D756" t="s">
        <v>1366</v>
      </c>
      <c r="E756" t="s">
        <v>992</v>
      </c>
      <c r="F756">
        <v>3495</v>
      </c>
      <c r="G756" t="s">
        <v>24</v>
      </c>
      <c r="H756" t="s">
        <v>26</v>
      </c>
      <c r="I756" t="s">
        <v>3167</v>
      </c>
      <c r="J756" t="s">
        <v>996</v>
      </c>
      <c r="K756" t="s">
        <v>3173</v>
      </c>
      <c r="L756" t="s">
        <v>996</v>
      </c>
      <c r="M756" t="s">
        <v>980</v>
      </c>
      <c r="N756" t="s">
        <v>994</v>
      </c>
      <c r="O756" t="s">
        <v>994</v>
      </c>
      <c r="P756" t="s">
        <v>1089</v>
      </c>
      <c r="Q756" t="s">
        <v>3169</v>
      </c>
      <c r="R756" t="s">
        <v>2187</v>
      </c>
      <c r="S756" t="s">
        <v>4018</v>
      </c>
      <c r="T756" t="s">
        <v>3239</v>
      </c>
      <c r="U756" t="b">
        <v>0</v>
      </c>
      <c r="V756" t="s">
        <v>2190</v>
      </c>
    </row>
    <row r="757" spans="1:22" x14ac:dyDescent="0.25">
      <c r="A757" t="s">
        <v>42</v>
      </c>
      <c r="B757">
        <v>121</v>
      </c>
      <c r="C757" t="s">
        <v>999</v>
      </c>
      <c r="D757" t="s">
        <v>1367</v>
      </c>
      <c r="E757" t="s">
        <v>998</v>
      </c>
      <c r="F757">
        <v>3410</v>
      </c>
      <c r="G757" t="s">
        <v>24</v>
      </c>
      <c r="H757" t="s">
        <v>26</v>
      </c>
      <c r="I757" t="s">
        <v>3167</v>
      </c>
      <c r="J757" t="s">
        <v>1003</v>
      </c>
      <c r="K757" t="s">
        <v>3175</v>
      </c>
      <c r="L757" t="s">
        <v>1003</v>
      </c>
      <c r="M757" t="s">
        <v>1000</v>
      </c>
      <c r="N757" t="s">
        <v>1001</v>
      </c>
      <c r="O757" t="s">
        <v>1001</v>
      </c>
      <c r="P757" t="s">
        <v>1089</v>
      </c>
      <c r="Q757" t="s">
        <v>3169</v>
      </c>
      <c r="R757" t="s">
        <v>2187</v>
      </c>
      <c r="S757" t="s">
        <v>4018</v>
      </c>
      <c r="T757" t="s">
        <v>3239</v>
      </c>
      <c r="U757" t="b">
        <v>0</v>
      </c>
      <c r="V757" t="s">
        <v>2190</v>
      </c>
    </row>
    <row r="758" spans="1:22" x14ac:dyDescent="0.25">
      <c r="A758" t="s">
        <v>42</v>
      </c>
      <c r="B758">
        <v>121</v>
      </c>
      <c r="C758" t="s">
        <v>1005</v>
      </c>
      <c r="D758" t="s">
        <v>2694</v>
      </c>
      <c r="E758" t="s">
        <v>982</v>
      </c>
      <c r="F758" t="s">
        <v>4019</v>
      </c>
      <c r="G758" t="s">
        <v>24</v>
      </c>
      <c r="H758" t="s">
        <v>26</v>
      </c>
      <c r="I758" t="s">
        <v>3167</v>
      </c>
      <c r="J758" t="s">
        <v>1003</v>
      </c>
      <c r="K758" t="s">
        <v>3175</v>
      </c>
      <c r="L758" t="s">
        <v>1003</v>
      </c>
      <c r="M758" t="s">
        <v>1000</v>
      </c>
      <c r="N758" t="s">
        <v>1001</v>
      </c>
      <c r="O758" t="s">
        <v>1001</v>
      </c>
      <c r="P758" t="s">
        <v>1089</v>
      </c>
      <c r="Q758" t="s">
        <v>3169</v>
      </c>
      <c r="R758" t="s">
        <v>2187</v>
      </c>
      <c r="S758" t="s">
        <v>4018</v>
      </c>
      <c r="T758" t="s">
        <v>1965</v>
      </c>
      <c r="U758" t="b">
        <v>0</v>
      </c>
      <c r="V758" t="s">
        <v>2696</v>
      </c>
    </row>
    <row r="759" spans="1:22" x14ac:dyDescent="0.25">
      <c r="A759" t="s">
        <v>42</v>
      </c>
      <c r="B759">
        <v>121</v>
      </c>
      <c r="C759" t="s">
        <v>1007</v>
      </c>
      <c r="D759" t="s">
        <v>1368</v>
      </c>
      <c r="E759" t="s">
        <v>1006</v>
      </c>
      <c r="F759">
        <v>4244</v>
      </c>
      <c r="G759" t="s">
        <v>24</v>
      </c>
      <c r="H759" t="s">
        <v>26</v>
      </c>
      <c r="I759" t="s">
        <v>3167</v>
      </c>
      <c r="J759" t="s">
        <v>1967</v>
      </c>
      <c r="K759" t="s">
        <v>3227</v>
      </c>
      <c r="L759" t="s">
        <v>1967</v>
      </c>
      <c r="M759" t="s">
        <v>980</v>
      </c>
      <c r="N759" t="s">
        <v>1009</v>
      </c>
      <c r="O759" t="s">
        <v>1009</v>
      </c>
      <c r="P759" t="s">
        <v>1089</v>
      </c>
      <c r="Q759" t="s">
        <v>3169</v>
      </c>
      <c r="R759" t="s">
        <v>2187</v>
      </c>
      <c r="S759" t="s">
        <v>4018</v>
      </c>
      <c r="T759" t="s">
        <v>3239</v>
      </c>
      <c r="U759" t="b">
        <v>0</v>
      </c>
      <c r="V759" t="s">
        <v>2190</v>
      </c>
    </row>
    <row r="760" spans="1:22" x14ac:dyDescent="0.25">
      <c r="A760" t="s">
        <v>42</v>
      </c>
      <c r="B760">
        <v>121</v>
      </c>
      <c r="C760" t="s">
        <v>1014</v>
      </c>
      <c r="D760" t="s">
        <v>1369</v>
      </c>
      <c r="E760" t="s">
        <v>1013</v>
      </c>
      <c r="F760">
        <v>4545</v>
      </c>
      <c r="G760" t="s">
        <v>24</v>
      </c>
      <c r="H760" t="s">
        <v>26</v>
      </c>
      <c r="I760" t="s">
        <v>3167</v>
      </c>
      <c r="J760" t="s">
        <v>1016</v>
      </c>
      <c r="K760" t="s">
        <v>3181</v>
      </c>
      <c r="L760" t="s">
        <v>1016</v>
      </c>
      <c r="M760" t="s">
        <v>980</v>
      </c>
      <c r="N760" t="s">
        <v>1015</v>
      </c>
      <c r="O760" t="s">
        <v>1015</v>
      </c>
      <c r="P760" t="s">
        <v>1089</v>
      </c>
      <c r="Q760" t="s">
        <v>3169</v>
      </c>
      <c r="R760" t="s">
        <v>2187</v>
      </c>
      <c r="S760" t="s">
        <v>4018</v>
      </c>
      <c r="T760" t="s">
        <v>3239</v>
      </c>
      <c r="U760" t="b">
        <v>0</v>
      </c>
      <c r="V760" t="s">
        <v>2190</v>
      </c>
    </row>
    <row r="761" spans="1:22" x14ac:dyDescent="0.25">
      <c r="A761" t="s">
        <v>42</v>
      </c>
      <c r="B761">
        <v>121</v>
      </c>
      <c r="C761" t="s">
        <v>1019</v>
      </c>
      <c r="D761" t="s">
        <v>1370</v>
      </c>
      <c r="E761" t="s">
        <v>1018</v>
      </c>
      <c r="F761">
        <v>4233</v>
      </c>
      <c r="G761" t="s">
        <v>24</v>
      </c>
      <c r="H761" t="s">
        <v>26</v>
      </c>
      <c r="I761" t="s">
        <v>3167</v>
      </c>
      <c r="J761" t="s">
        <v>1021</v>
      </c>
      <c r="K761" t="s">
        <v>3183</v>
      </c>
      <c r="L761" t="s">
        <v>1021</v>
      </c>
      <c r="M761" t="s">
        <v>980</v>
      </c>
      <c r="N761" t="s">
        <v>1020</v>
      </c>
      <c r="O761" t="s">
        <v>1020</v>
      </c>
      <c r="P761" t="s">
        <v>1089</v>
      </c>
      <c r="Q761" t="s">
        <v>3169</v>
      </c>
      <c r="R761" t="s">
        <v>2187</v>
      </c>
      <c r="S761" t="s">
        <v>4018</v>
      </c>
      <c r="T761" t="s">
        <v>3239</v>
      </c>
      <c r="U761" t="b">
        <v>0</v>
      </c>
      <c r="V761" t="s">
        <v>2190</v>
      </c>
    </row>
    <row r="762" spans="1:22" x14ac:dyDescent="0.25">
      <c r="A762" t="s">
        <v>42</v>
      </c>
      <c r="B762">
        <v>121</v>
      </c>
      <c r="C762" t="s">
        <v>1024</v>
      </c>
      <c r="D762" t="s">
        <v>1371</v>
      </c>
      <c r="E762" t="s">
        <v>1023</v>
      </c>
      <c r="F762">
        <v>3569</v>
      </c>
      <c r="G762" t="s">
        <v>24</v>
      </c>
      <c r="H762" t="s">
        <v>26</v>
      </c>
      <c r="I762" t="s">
        <v>3167</v>
      </c>
      <c r="J762" t="s">
        <v>1026</v>
      </c>
      <c r="K762" t="s">
        <v>3185</v>
      </c>
      <c r="L762" t="s">
        <v>1026</v>
      </c>
      <c r="M762" t="s">
        <v>1000</v>
      </c>
      <c r="N762" t="s">
        <v>1025</v>
      </c>
      <c r="O762" t="s">
        <v>1025</v>
      </c>
      <c r="P762" t="s">
        <v>1089</v>
      </c>
      <c r="Q762" t="s">
        <v>3169</v>
      </c>
      <c r="R762" t="s">
        <v>2187</v>
      </c>
      <c r="S762" t="s">
        <v>4018</v>
      </c>
      <c r="T762" t="s">
        <v>3239</v>
      </c>
      <c r="U762" t="b">
        <v>0</v>
      </c>
      <c r="V762" t="s">
        <v>2190</v>
      </c>
    </row>
    <row r="763" spans="1:22" x14ac:dyDescent="0.25">
      <c r="A763" t="s">
        <v>42</v>
      </c>
      <c r="B763">
        <v>121</v>
      </c>
      <c r="C763" t="s">
        <v>1028</v>
      </c>
      <c r="D763" t="s">
        <v>2697</v>
      </c>
      <c r="E763" t="s">
        <v>1010</v>
      </c>
      <c r="F763" t="s">
        <v>4020</v>
      </c>
      <c r="G763" t="s">
        <v>24</v>
      </c>
      <c r="H763" t="s">
        <v>26</v>
      </c>
      <c r="I763" t="s">
        <v>3167</v>
      </c>
      <c r="J763" t="s">
        <v>1026</v>
      </c>
      <c r="K763" t="s">
        <v>3185</v>
      </c>
      <c r="L763" t="s">
        <v>1026</v>
      </c>
      <c r="M763" t="s">
        <v>1000</v>
      </c>
      <c r="N763" t="s">
        <v>1025</v>
      </c>
      <c r="O763" t="s">
        <v>1025</v>
      </c>
      <c r="P763" t="s">
        <v>1089</v>
      </c>
      <c r="Q763" t="s">
        <v>3169</v>
      </c>
      <c r="R763" t="s">
        <v>2187</v>
      </c>
      <c r="S763" t="s">
        <v>4018</v>
      </c>
      <c r="T763" t="s">
        <v>1965</v>
      </c>
      <c r="U763" t="b">
        <v>0</v>
      </c>
      <c r="V763" t="s">
        <v>2696</v>
      </c>
    </row>
    <row r="764" spans="1:22" x14ac:dyDescent="0.25">
      <c r="A764" t="s">
        <v>42</v>
      </c>
      <c r="B764">
        <v>121</v>
      </c>
      <c r="C764" t="s">
        <v>1030</v>
      </c>
      <c r="D764" t="s">
        <v>1372</v>
      </c>
      <c r="E764" t="s">
        <v>1029</v>
      </c>
      <c r="F764">
        <v>4091</v>
      </c>
      <c r="G764" t="s">
        <v>24</v>
      </c>
      <c r="H764" t="s">
        <v>26</v>
      </c>
      <c r="I764" t="s">
        <v>3167</v>
      </c>
      <c r="J764" t="s">
        <v>1033</v>
      </c>
      <c r="K764" t="s">
        <v>3189</v>
      </c>
      <c r="L764" t="s">
        <v>1033</v>
      </c>
      <c r="M764" t="s">
        <v>980</v>
      </c>
      <c r="N764" t="s">
        <v>1031</v>
      </c>
      <c r="O764" t="s">
        <v>1031</v>
      </c>
      <c r="P764" t="s">
        <v>1089</v>
      </c>
      <c r="Q764" t="s">
        <v>3169</v>
      </c>
      <c r="R764" t="s">
        <v>2187</v>
      </c>
      <c r="S764" t="s">
        <v>4018</v>
      </c>
      <c r="T764" t="s">
        <v>3239</v>
      </c>
      <c r="U764" t="b">
        <v>0</v>
      </c>
      <c r="V764" t="s">
        <v>2190</v>
      </c>
    </row>
    <row r="765" spans="1:22" x14ac:dyDescent="0.25">
      <c r="A765" t="s">
        <v>42</v>
      </c>
      <c r="B765">
        <v>121</v>
      </c>
      <c r="C765" t="s">
        <v>1036</v>
      </c>
      <c r="D765" t="s">
        <v>1373</v>
      </c>
      <c r="E765" t="s">
        <v>1035</v>
      </c>
      <c r="F765">
        <v>4168</v>
      </c>
      <c r="G765" t="s">
        <v>24</v>
      </c>
      <c r="H765" t="s">
        <v>26</v>
      </c>
      <c r="I765" t="s">
        <v>3167</v>
      </c>
      <c r="J765" t="s">
        <v>1038</v>
      </c>
      <c r="K765" t="s">
        <v>3191</v>
      </c>
      <c r="L765" t="s">
        <v>1038</v>
      </c>
      <c r="M765" t="s">
        <v>980</v>
      </c>
      <c r="N765" t="s">
        <v>1037</v>
      </c>
      <c r="O765" t="s">
        <v>1037</v>
      </c>
      <c r="P765" t="s">
        <v>1089</v>
      </c>
      <c r="Q765" t="s">
        <v>3169</v>
      </c>
      <c r="R765" t="s">
        <v>2187</v>
      </c>
      <c r="S765" t="s">
        <v>4018</v>
      </c>
      <c r="T765" t="s">
        <v>3239</v>
      </c>
      <c r="U765" t="b">
        <v>0</v>
      </c>
      <c r="V765" t="s">
        <v>2190</v>
      </c>
    </row>
    <row r="766" spans="1:22" x14ac:dyDescent="0.25">
      <c r="A766" t="s">
        <v>42</v>
      </c>
      <c r="B766">
        <v>121</v>
      </c>
      <c r="C766" t="s">
        <v>1041</v>
      </c>
      <c r="D766" t="s">
        <v>1374</v>
      </c>
      <c r="E766" t="s">
        <v>1040</v>
      </c>
      <c r="F766">
        <v>3946</v>
      </c>
      <c r="G766" t="s">
        <v>24</v>
      </c>
      <c r="H766" t="s">
        <v>26</v>
      </c>
      <c r="I766" t="s">
        <v>3167</v>
      </c>
      <c r="J766" t="s">
        <v>1043</v>
      </c>
      <c r="K766" t="s">
        <v>3193</v>
      </c>
      <c r="L766" t="s">
        <v>1043</v>
      </c>
      <c r="M766" t="s">
        <v>980</v>
      </c>
      <c r="N766" t="s">
        <v>1042</v>
      </c>
      <c r="O766" t="s">
        <v>1042</v>
      </c>
      <c r="P766" t="s">
        <v>1089</v>
      </c>
      <c r="Q766" t="s">
        <v>3169</v>
      </c>
      <c r="R766" t="s">
        <v>2187</v>
      </c>
      <c r="S766" t="s">
        <v>4018</v>
      </c>
      <c r="T766" t="s">
        <v>3239</v>
      </c>
      <c r="U766" t="b">
        <v>0</v>
      </c>
      <c r="V766" t="s">
        <v>2190</v>
      </c>
    </row>
    <row r="767" spans="1:22" x14ac:dyDescent="0.25">
      <c r="A767" t="s">
        <v>42</v>
      </c>
      <c r="B767">
        <v>121</v>
      </c>
      <c r="C767" t="s">
        <v>1046</v>
      </c>
      <c r="D767" t="s">
        <v>1375</v>
      </c>
      <c r="E767" t="s">
        <v>1045</v>
      </c>
      <c r="F767">
        <v>3038</v>
      </c>
      <c r="G767" t="s">
        <v>24</v>
      </c>
      <c r="H767" t="s">
        <v>26</v>
      </c>
      <c r="I767" t="s">
        <v>3167</v>
      </c>
      <c r="J767" t="s">
        <v>1048</v>
      </c>
      <c r="K767" t="s">
        <v>3195</v>
      </c>
      <c r="L767" t="s">
        <v>1048</v>
      </c>
      <c r="M767" t="s">
        <v>1000</v>
      </c>
      <c r="N767" t="s">
        <v>1047</v>
      </c>
      <c r="O767" t="s">
        <v>1047</v>
      </c>
      <c r="P767" t="s">
        <v>1089</v>
      </c>
      <c r="Q767" t="s">
        <v>3169</v>
      </c>
      <c r="R767" t="s">
        <v>2187</v>
      </c>
      <c r="S767" t="s">
        <v>4018</v>
      </c>
      <c r="T767" t="s">
        <v>3239</v>
      </c>
      <c r="U767" t="b">
        <v>0</v>
      </c>
      <c r="V767" t="s">
        <v>2190</v>
      </c>
    </row>
    <row r="768" spans="1:22" x14ac:dyDescent="0.25">
      <c r="A768" t="s">
        <v>42</v>
      </c>
      <c r="B768">
        <v>121</v>
      </c>
      <c r="C768" t="s">
        <v>1050</v>
      </c>
      <c r="D768" t="s">
        <v>2699</v>
      </c>
      <c r="E768" t="s">
        <v>1032</v>
      </c>
      <c r="F768" t="s">
        <v>4021</v>
      </c>
      <c r="G768" t="s">
        <v>24</v>
      </c>
      <c r="H768" t="s">
        <v>26</v>
      </c>
      <c r="I768" t="s">
        <v>3167</v>
      </c>
      <c r="J768" t="s">
        <v>1048</v>
      </c>
      <c r="K768" t="s">
        <v>3195</v>
      </c>
      <c r="L768" t="s">
        <v>1048</v>
      </c>
      <c r="M768" t="s">
        <v>1000</v>
      </c>
      <c r="N768" t="s">
        <v>1047</v>
      </c>
      <c r="O768" t="s">
        <v>1047</v>
      </c>
      <c r="P768" t="s">
        <v>1089</v>
      </c>
      <c r="Q768" t="s">
        <v>3169</v>
      </c>
      <c r="R768" t="s">
        <v>2187</v>
      </c>
      <c r="S768" t="s">
        <v>4018</v>
      </c>
      <c r="T768" t="s">
        <v>1965</v>
      </c>
      <c r="U768" t="b">
        <v>0</v>
      </c>
      <c r="V768" t="s">
        <v>2696</v>
      </c>
    </row>
    <row r="769" spans="1:22" x14ac:dyDescent="0.25">
      <c r="A769" t="s">
        <v>42</v>
      </c>
      <c r="B769">
        <v>121</v>
      </c>
      <c r="C769" t="s">
        <v>1052</v>
      </c>
      <c r="D769" t="s">
        <v>1376</v>
      </c>
      <c r="E769" t="s">
        <v>1051</v>
      </c>
      <c r="F769">
        <v>3675</v>
      </c>
      <c r="G769" t="s">
        <v>24</v>
      </c>
      <c r="H769" t="s">
        <v>26</v>
      </c>
      <c r="I769" t="s">
        <v>3167</v>
      </c>
      <c r="J769" t="s">
        <v>1055</v>
      </c>
      <c r="K769" t="s">
        <v>3199</v>
      </c>
      <c r="L769" t="s">
        <v>1055</v>
      </c>
      <c r="M769" t="s">
        <v>980</v>
      </c>
      <c r="N769" t="s">
        <v>1053</v>
      </c>
      <c r="O769" t="s">
        <v>1053</v>
      </c>
      <c r="P769" t="s">
        <v>1089</v>
      </c>
      <c r="Q769" t="s">
        <v>3169</v>
      </c>
      <c r="R769" t="s">
        <v>2187</v>
      </c>
      <c r="S769" t="s">
        <v>4018</v>
      </c>
      <c r="T769" t="s">
        <v>3239</v>
      </c>
      <c r="U769" t="b">
        <v>0</v>
      </c>
      <c r="V769" t="s">
        <v>2190</v>
      </c>
    </row>
    <row r="770" spans="1:22" x14ac:dyDescent="0.25">
      <c r="A770" t="s">
        <v>42</v>
      </c>
      <c r="B770">
        <v>122</v>
      </c>
      <c r="C770" t="s">
        <v>979</v>
      </c>
      <c r="D770" t="s">
        <v>1377</v>
      </c>
      <c r="E770" t="s">
        <v>978</v>
      </c>
      <c r="F770">
        <v>4727</v>
      </c>
      <c r="G770" t="s">
        <v>24</v>
      </c>
      <c r="H770" t="s">
        <v>26</v>
      </c>
      <c r="I770" t="s">
        <v>3167</v>
      </c>
      <c r="J770" t="s">
        <v>984</v>
      </c>
      <c r="K770" t="s">
        <v>3168</v>
      </c>
      <c r="L770" t="s">
        <v>984</v>
      </c>
      <c r="M770" t="s">
        <v>980</v>
      </c>
      <c r="N770" t="s">
        <v>981</v>
      </c>
      <c r="O770" t="s">
        <v>981</v>
      </c>
      <c r="P770" t="s">
        <v>1089</v>
      </c>
      <c r="Q770" t="s">
        <v>3169</v>
      </c>
      <c r="R770" t="s">
        <v>2206</v>
      </c>
      <c r="S770" t="s">
        <v>4022</v>
      </c>
      <c r="T770" t="s">
        <v>3239</v>
      </c>
      <c r="U770" t="b">
        <v>0</v>
      </c>
      <c r="V770" t="s">
        <v>2207</v>
      </c>
    </row>
    <row r="771" spans="1:22" x14ac:dyDescent="0.25">
      <c r="A771" t="s">
        <v>42</v>
      </c>
      <c r="B771">
        <v>122</v>
      </c>
      <c r="C771" t="s">
        <v>987</v>
      </c>
      <c r="D771" t="s">
        <v>1379</v>
      </c>
      <c r="E771" t="s">
        <v>986</v>
      </c>
      <c r="F771">
        <v>4646</v>
      </c>
      <c r="G771" t="s">
        <v>24</v>
      </c>
      <c r="H771" t="s">
        <v>26</v>
      </c>
      <c r="I771" t="s">
        <v>3167</v>
      </c>
      <c r="J771" t="s">
        <v>990</v>
      </c>
      <c r="K771" t="s">
        <v>3171</v>
      </c>
      <c r="L771" t="s">
        <v>990</v>
      </c>
      <c r="M771" t="s">
        <v>980</v>
      </c>
      <c r="N771" t="s">
        <v>988</v>
      </c>
      <c r="O771" t="s">
        <v>988</v>
      </c>
      <c r="P771" t="s">
        <v>1089</v>
      </c>
      <c r="Q771" t="s">
        <v>3169</v>
      </c>
      <c r="R771" t="s">
        <v>2206</v>
      </c>
      <c r="S771" t="s">
        <v>4022</v>
      </c>
      <c r="T771" t="s">
        <v>3239</v>
      </c>
      <c r="U771" t="b">
        <v>0</v>
      </c>
      <c r="V771" t="s">
        <v>2207</v>
      </c>
    </row>
    <row r="772" spans="1:22" x14ac:dyDescent="0.25">
      <c r="A772" t="s">
        <v>42</v>
      </c>
      <c r="B772">
        <v>122</v>
      </c>
      <c r="C772" t="s">
        <v>993</v>
      </c>
      <c r="D772" t="s">
        <v>1381</v>
      </c>
      <c r="E772" t="s">
        <v>992</v>
      </c>
      <c r="F772">
        <v>4252</v>
      </c>
      <c r="G772" t="s">
        <v>24</v>
      </c>
      <c r="H772" t="s">
        <v>26</v>
      </c>
      <c r="I772" t="s">
        <v>3167</v>
      </c>
      <c r="J772" t="s">
        <v>996</v>
      </c>
      <c r="K772" t="s">
        <v>3173</v>
      </c>
      <c r="L772" t="s">
        <v>996</v>
      </c>
      <c r="M772" t="s">
        <v>980</v>
      </c>
      <c r="N772" t="s">
        <v>994</v>
      </c>
      <c r="O772" t="s">
        <v>994</v>
      </c>
      <c r="P772" t="s">
        <v>1089</v>
      </c>
      <c r="Q772" t="s">
        <v>3169</v>
      </c>
      <c r="R772" t="s">
        <v>2206</v>
      </c>
      <c r="S772" t="s">
        <v>4022</v>
      </c>
      <c r="T772" t="s">
        <v>3239</v>
      </c>
      <c r="U772" t="b">
        <v>0</v>
      </c>
      <c r="V772" t="s">
        <v>2207</v>
      </c>
    </row>
    <row r="773" spans="1:22" x14ac:dyDescent="0.25">
      <c r="A773" t="s">
        <v>42</v>
      </c>
      <c r="B773">
        <v>122</v>
      </c>
      <c r="C773" t="s">
        <v>999</v>
      </c>
      <c r="D773" t="s">
        <v>1383</v>
      </c>
      <c r="E773" t="s">
        <v>998</v>
      </c>
      <c r="F773">
        <v>4424</v>
      </c>
      <c r="G773" t="s">
        <v>24</v>
      </c>
      <c r="H773" t="s">
        <v>26</v>
      </c>
      <c r="I773" t="s">
        <v>3167</v>
      </c>
      <c r="J773" t="s">
        <v>1003</v>
      </c>
      <c r="K773" t="s">
        <v>3175</v>
      </c>
      <c r="L773" t="s">
        <v>1003</v>
      </c>
      <c r="M773" t="s">
        <v>1000</v>
      </c>
      <c r="N773" t="s">
        <v>1001</v>
      </c>
      <c r="O773" t="s">
        <v>1001</v>
      </c>
      <c r="P773" t="s">
        <v>1089</v>
      </c>
      <c r="Q773" t="s">
        <v>3169</v>
      </c>
      <c r="R773" t="s">
        <v>2206</v>
      </c>
      <c r="S773" t="s">
        <v>4022</v>
      </c>
      <c r="T773" t="s">
        <v>3239</v>
      </c>
      <c r="U773" t="b">
        <v>0</v>
      </c>
      <c r="V773" t="s">
        <v>2207</v>
      </c>
    </row>
    <row r="774" spans="1:22" x14ac:dyDescent="0.25">
      <c r="A774" t="s">
        <v>42</v>
      </c>
      <c r="B774">
        <v>122</v>
      </c>
      <c r="C774" t="s">
        <v>1005</v>
      </c>
      <c r="D774" t="s">
        <v>2701</v>
      </c>
      <c r="E774" t="s">
        <v>982</v>
      </c>
      <c r="F774" t="s">
        <v>4023</v>
      </c>
      <c r="G774" t="s">
        <v>24</v>
      </c>
      <c r="H774" t="s">
        <v>26</v>
      </c>
      <c r="I774" t="s">
        <v>3167</v>
      </c>
      <c r="J774" t="s">
        <v>1003</v>
      </c>
      <c r="K774" t="s">
        <v>3175</v>
      </c>
      <c r="L774" t="s">
        <v>1003</v>
      </c>
      <c r="M774" t="s">
        <v>1000</v>
      </c>
      <c r="N774" t="s">
        <v>1001</v>
      </c>
      <c r="O774" t="s">
        <v>1001</v>
      </c>
      <c r="P774" t="s">
        <v>1089</v>
      </c>
      <c r="Q774" t="s">
        <v>3169</v>
      </c>
      <c r="R774" t="s">
        <v>2206</v>
      </c>
      <c r="S774" t="s">
        <v>4022</v>
      </c>
      <c r="T774" t="s">
        <v>1965</v>
      </c>
      <c r="U774" t="b">
        <v>0</v>
      </c>
      <c r="V774" t="s">
        <v>2207</v>
      </c>
    </row>
    <row r="775" spans="1:22" x14ac:dyDescent="0.25">
      <c r="A775" t="s">
        <v>42</v>
      </c>
      <c r="B775">
        <v>122</v>
      </c>
      <c r="C775" t="s">
        <v>1007</v>
      </c>
      <c r="D775" t="s">
        <v>1385</v>
      </c>
      <c r="E775" t="s">
        <v>1006</v>
      </c>
      <c r="F775">
        <v>4961</v>
      </c>
      <c r="G775" t="s">
        <v>24</v>
      </c>
      <c r="H775" t="s">
        <v>26</v>
      </c>
      <c r="I775" t="s">
        <v>3167</v>
      </c>
      <c r="J775" t="s">
        <v>1967</v>
      </c>
      <c r="K775" t="s">
        <v>3227</v>
      </c>
      <c r="L775" t="s">
        <v>1967</v>
      </c>
      <c r="M775" t="s">
        <v>980</v>
      </c>
      <c r="N775" t="s">
        <v>1009</v>
      </c>
      <c r="O775" t="s">
        <v>1009</v>
      </c>
      <c r="P775" t="s">
        <v>1089</v>
      </c>
      <c r="Q775" t="s">
        <v>3169</v>
      </c>
      <c r="R775" t="s">
        <v>2212</v>
      </c>
      <c r="S775" t="s">
        <v>4022</v>
      </c>
      <c r="T775" t="s">
        <v>3239</v>
      </c>
      <c r="U775" t="b">
        <v>0</v>
      </c>
      <c r="V775" t="s">
        <v>2205</v>
      </c>
    </row>
    <row r="776" spans="1:22" x14ac:dyDescent="0.25">
      <c r="A776" t="s">
        <v>42</v>
      </c>
      <c r="B776">
        <v>122</v>
      </c>
      <c r="C776" t="s">
        <v>1014</v>
      </c>
      <c r="D776" t="s">
        <v>1387</v>
      </c>
      <c r="E776" t="s">
        <v>1013</v>
      </c>
      <c r="F776">
        <v>4763</v>
      </c>
      <c r="G776" t="s">
        <v>24</v>
      </c>
      <c r="H776" t="s">
        <v>26</v>
      </c>
      <c r="I776" t="s">
        <v>3167</v>
      </c>
      <c r="J776" t="s">
        <v>1016</v>
      </c>
      <c r="K776" t="s">
        <v>3181</v>
      </c>
      <c r="L776" t="s">
        <v>1016</v>
      </c>
      <c r="M776" t="s">
        <v>980</v>
      </c>
      <c r="N776" t="s">
        <v>1015</v>
      </c>
      <c r="O776" t="s">
        <v>1015</v>
      </c>
      <c r="P776" t="s">
        <v>1089</v>
      </c>
      <c r="Q776" t="s">
        <v>3169</v>
      </c>
      <c r="R776" t="s">
        <v>2206</v>
      </c>
      <c r="S776" t="s">
        <v>4022</v>
      </c>
      <c r="T776" t="s">
        <v>3239</v>
      </c>
      <c r="U776" t="b">
        <v>0</v>
      </c>
      <c r="V776" t="s">
        <v>2207</v>
      </c>
    </row>
    <row r="777" spans="1:22" x14ac:dyDescent="0.25">
      <c r="A777" t="s">
        <v>42</v>
      </c>
      <c r="B777">
        <v>122</v>
      </c>
      <c r="C777" t="s">
        <v>1019</v>
      </c>
      <c r="D777" t="s">
        <v>1389</v>
      </c>
      <c r="E777" t="s">
        <v>1018</v>
      </c>
      <c r="F777">
        <v>4714</v>
      </c>
      <c r="G777" t="s">
        <v>24</v>
      </c>
      <c r="H777" t="s">
        <v>26</v>
      </c>
      <c r="I777" t="s">
        <v>3167</v>
      </c>
      <c r="J777" t="s">
        <v>1021</v>
      </c>
      <c r="K777" t="s">
        <v>3183</v>
      </c>
      <c r="L777" t="s">
        <v>1021</v>
      </c>
      <c r="M777" t="s">
        <v>980</v>
      </c>
      <c r="N777" t="s">
        <v>1020</v>
      </c>
      <c r="O777" t="s">
        <v>1020</v>
      </c>
      <c r="P777" t="s">
        <v>1089</v>
      </c>
      <c r="Q777" t="s">
        <v>3169</v>
      </c>
      <c r="R777" t="s">
        <v>2206</v>
      </c>
      <c r="S777" t="s">
        <v>4022</v>
      </c>
      <c r="T777" t="s">
        <v>3239</v>
      </c>
      <c r="U777" t="b">
        <v>0</v>
      </c>
      <c r="V777" t="s">
        <v>2207</v>
      </c>
    </row>
    <row r="778" spans="1:22" x14ac:dyDescent="0.25">
      <c r="A778" t="s">
        <v>42</v>
      </c>
      <c r="B778">
        <v>122</v>
      </c>
      <c r="C778" t="s">
        <v>1024</v>
      </c>
      <c r="D778" t="s">
        <v>1391</v>
      </c>
      <c r="E778" t="s">
        <v>1023</v>
      </c>
      <c r="F778">
        <v>4728</v>
      </c>
      <c r="G778" t="s">
        <v>24</v>
      </c>
      <c r="H778" t="s">
        <v>26</v>
      </c>
      <c r="I778" t="s">
        <v>3167</v>
      </c>
      <c r="J778" t="s">
        <v>1026</v>
      </c>
      <c r="K778" t="s">
        <v>3185</v>
      </c>
      <c r="L778" t="s">
        <v>1026</v>
      </c>
      <c r="M778" t="s">
        <v>1000</v>
      </c>
      <c r="N778" t="s">
        <v>1025</v>
      </c>
      <c r="O778" t="s">
        <v>1025</v>
      </c>
      <c r="P778" t="s">
        <v>1089</v>
      </c>
      <c r="Q778" t="s">
        <v>3169</v>
      </c>
      <c r="R778" t="s">
        <v>2206</v>
      </c>
      <c r="S778" t="s">
        <v>4022</v>
      </c>
      <c r="T778" t="s">
        <v>3239</v>
      </c>
      <c r="U778" t="b">
        <v>0</v>
      </c>
      <c r="V778" t="s">
        <v>2207</v>
      </c>
    </row>
    <row r="779" spans="1:22" x14ac:dyDescent="0.25">
      <c r="A779" t="s">
        <v>42</v>
      </c>
      <c r="B779">
        <v>122</v>
      </c>
      <c r="C779" t="s">
        <v>1028</v>
      </c>
      <c r="D779" t="s">
        <v>2704</v>
      </c>
      <c r="E779" t="s">
        <v>1010</v>
      </c>
      <c r="F779" t="s">
        <v>4024</v>
      </c>
      <c r="G779" t="s">
        <v>24</v>
      </c>
      <c r="H779" t="s">
        <v>26</v>
      </c>
      <c r="I779" t="s">
        <v>3167</v>
      </c>
      <c r="J779" t="s">
        <v>1026</v>
      </c>
      <c r="K779" t="s">
        <v>3185</v>
      </c>
      <c r="L779" t="s">
        <v>1026</v>
      </c>
      <c r="M779" t="s">
        <v>1000</v>
      </c>
      <c r="N779" t="s">
        <v>1025</v>
      </c>
      <c r="O779" t="s">
        <v>1025</v>
      </c>
      <c r="P779" t="s">
        <v>1089</v>
      </c>
      <c r="Q779" t="s">
        <v>3169</v>
      </c>
      <c r="R779" t="s">
        <v>2206</v>
      </c>
      <c r="S779" t="s">
        <v>4022</v>
      </c>
      <c r="T779" t="s">
        <v>1965</v>
      </c>
      <c r="U779" t="b">
        <v>0</v>
      </c>
      <c r="V779" t="s">
        <v>2207</v>
      </c>
    </row>
    <row r="780" spans="1:22" x14ac:dyDescent="0.25">
      <c r="A780" t="s">
        <v>42</v>
      </c>
      <c r="B780">
        <v>122</v>
      </c>
      <c r="C780" t="s">
        <v>1030</v>
      </c>
      <c r="D780" t="s">
        <v>1393</v>
      </c>
      <c r="E780" t="s">
        <v>1029</v>
      </c>
      <c r="F780">
        <v>5102</v>
      </c>
      <c r="G780" t="s">
        <v>24</v>
      </c>
      <c r="H780" t="s">
        <v>26</v>
      </c>
      <c r="I780" t="s">
        <v>3167</v>
      </c>
      <c r="J780" t="s">
        <v>1033</v>
      </c>
      <c r="K780" t="s">
        <v>3189</v>
      </c>
      <c r="L780" t="s">
        <v>1033</v>
      </c>
      <c r="M780" t="s">
        <v>980</v>
      </c>
      <c r="N780" t="s">
        <v>1031</v>
      </c>
      <c r="O780" t="s">
        <v>1031</v>
      </c>
      <c r="P780" t="s">
        <v>1089</v>
      </c>
      <c r="Q780" t="s">
        <v>3169</v>
      </c>
      <c r="R780" t="s">
        <v>2206</v>
      </c>
      <c r="S780" t="s">
        <v>4022</v>
      </c>
      <c r="T780" t="s">
        <v>3239</v>
      </c>
      <c r="U780" t="b">
        <v>0</v>
      </c>
      <c r="V780" t="s">
        <v>2207</v>
      </c>
    </row>
    <row r="781" spans="1:22" x14ac:dyDescent="0.25">
      <c r="A781" t="s">
        <v>42</v>
      </c>
      <c r="B781">
        <v>122</v>
      </c>
      <c r="C781" t="s">
        <v>1036</v>
      </c>
      <c r="D781" t="s">
        <v>1395</v>
      </c>
      <c r="E781" t="s">
        <v>1035</v>
      </c>
      <c r="F781">
        <v>5082</v>
      </c>
      <c r="G781" t="s">
        <v>24</v>
      </c>
      <c r="H781" t="s">
        <v>26</v>
      </c>
      <c r="I781" t="s">
        <v>3167</v>
      </c>
      <c r="J781" t="s">
        <v>1038</v>
      </c>
      <c r="K781" t="s">
        <v>3191</v>
      </c>
      <c r="L781" t="s">
        <v>1038</v>
      </c>
      <c r="M781" t="s">
        <v>980</v>
      </c>
      <c r="N781" t="s">
        <v>1037</v>
      </c>
      <c r="O781" t="s">
        <v>1037</v>
      </c>
      <c r="P781" t="s">
        <v>1089</v>
      </c>
      <c r="Q781" t="s">
        <v>3169</v>
      </c>
      <c r="R781" t="s">
        <v>2206</v>
      </c>
      <c r="S781" t="s">
        <v>4022</v>
      </c>
      <c r="T781" t="s">
        <v>3239</v>
      </c>
      <c r="U781" t="b">
        <v>0</v>
      </c>
      <c r="V781" t="s">
        <v>2207</v>
      </c>
    </row>
    <row r="782" spans="1:22" x14ac:dyDescent="0.25">
      <c r="A782" t="s">
        <v>42</v>
      </c>
      <c r="B782">
        <v>122</v>
      </c>
      <c r="C782" t="s">
        <v>1041</v>
      </c>
      <c r="D782" t="s">
        <v>1397</v>
      </c>
      <c r="E782" t="s">
        <v>1040</v>
      </c>
      <c r="F782">
        <v>4802</v>
      </c>
      <c r="G782" t="s">
        <v>24</v>
      </c>
      <c r="H782" t="s">
        <v>26</v>
      </c>
      <c r="I782" t="s">
        <v>3167</v>
      </c>
      <c r="J782" t="s">
        <v>1043</v>
      </c>
      <c r="K782" t="s">
        <v>3193</v>
      </c>
      <c r="L782" t="s">
        <v>1043</v>
      </c>
      <c r="M782" t="s">
        <v>980</v>
      </c>
      <c r="N782" t="s">
        <v>1042</v>
      </c>
      <c r="O782" t="s">
        <v>1042</v>
      </c>
      <c r="P782" t="s">
        <v>1089</v>
      </c>
      <c r="Q782" t="s">
        <v>3169</v>
      </c>
      <c r="R782" t="s">
        <v>2206</v>
      </c>
      <c r="S782" t="s">
        <v>4022</v>
      </c>
      <c r="T782" t="s">
        <v>3239</v>
      </c>
      <c r="U782" t="b">
        <v>0</v>
      </c>
      <c r="V782" t="s">
        <v>2207</v>
      </c>
    </row>
    <row r="783" spans="1:22" x14ac:dyDescent="0.25">
      <c r="A783" t="s">
        <v>42</v>
      </c>
      <c r="B783">
        <v>122</v>
      </c>
      <c r="C783" t="s">
        <v>1046</v>
      </c>
      <c r="D783" t="s">
        <v>1399</v>
      </c>
      <c r="E783" t="s">
        <v>1045</v>
      </c>
      <c r="F783">
        <v>4425</v>
      </c>
      <c r="G783" t="s">
        <v>24</v>
      </c>
      <c r="H783" t="s">
        <v>26</v>
      </c>
      <c r="I783" t="s">
        <v>3167</v>
      </c>
      <c r="J783" t="s">
        <v>1048</v>
      </c>
      <c r="K783" t="s">
        <v>3195</v>
      </c>
      <c r="L783" t="s">
        <v>1048</v>
      </c>
      <c r="M783" t="s">
        <v>1000</v>
      </c>
      <c r="N783" t="s">
        <v>1047</v>
      </c>
      <c r="O783" t="s">
        <v>1047</v>
      </c>
      <c r="P783" t="s">
        <v>1089</v>
      </c>
      <c r="Q783" t="s">
        <v>3169</v>
      </c>
      <c r="R783" t="s">
        <v>2206</v>
      </c>
      <c r="S783" t="s">
        <v>4022</v>
      </c>
      <c r="T783" t="s">
        <v>3239</v>
      </c>
      <c r="U783" t="b">
        <v>0</v>
      </c>
      <c r="V783" t="s">
        <v>2207</v>
      </c>
    </row>
    <row r="784" spans="1:22" x14ac:dyDescent="0.25">
      <c r="A784" t="s">
        <v>42</v>
      </c>
      <c r="B784">
        <v>122</v>
      </c>
      <c r="C784" t="s">
        <v>1050</v>
      </c>
      <c r="D784" t="s">
        <v>2706</v>
      </c>
      <c r="E784" t="s">
        <v>1032</v>
      </c>
      <c r="F784" t="s">
        <v>4025</v>
      </c>
      <c r="G784" t="s">
        <v>24</v>
      </c>
      <c r="H784" t="s">
        <v>26</v>
      </c>
      <c r="I784" t="s">
        <v>3167</v>
      </c>
      <c r="J784" t="s">
        <v>1048</v>
      </c>
      <c r="K784" t="s">
        <v>3195</v>
      </c>
      <c r="L784" t="s">
        <v>1048</v>
      </c>
      <c r="M784" t="s">
        <v>1000</v>
      </c>
      <c r="N784" t="s">
        <v>1047</v>
      </c>
      <c r="O784" t="s">
        <v>1047</v>
      </c>
      <c r="P784" t="s">
        <v>1089</v>
      </c>
      <c r="Q784" t="s">
        <v>3169</v>
      </c>
      <c r="R784" t="s">
        <v>2206</v>
      </c>
      <c r="S784" t="s">
        <v>4022</v>
      </c>
      <c r="T784" t="s">
        <v>1965</v>
      </c>
      <c r="U784" t="b">
        <v>0</v>
      </c>
      <c r="V784" t="s">
        <v>2207</v>
      </c>
    </row>
    <row r="785" spans="1:22" x14ac:dyDescent="0.25">
      <c r="A785" t="s">
        <v>42</v>
      </c>
      <c r="B785">
        <v>122</v>
      </c>
      <c r="C785" t="s">
        <v>1052</v>
      </c>
      <c r="D785" t="s">
        <v>1401</v>
      </c>
      <c r="E785" t="s">
        <v>1051</v>
      </c>
      <c r="F785">
        <v>4730</v>
      </c>
      <c r="G785" t="s">
        <v>24</v>
      </c>
      <c r="H785" t="s">
        <v>26</v>
      </c>
      <c r="I785" t="s">
        <v>3167</v>
      </c>
      <c r="J785" t="s">
        <v>1055</v>
      </c>
      <c r="K785" t="s">
        <v>3199</v>
      </c>
      <c r="L785" t="s">
        <v>1055</v>
      </c>
      <c r="M785" t="s">
        <v>980</v>
      </c>
      <c r="N785" t="s">
        <v>1053</v>
      </c>
      <c r="O785" t="s">
        <v>1053</v>
      </c>
      <c r="P785" t="s">
        <v>1089</v>
      </c>
      <c r="Q785" t="s">
        <v>3169</v>
      </c>
      <c r="R785" t="s">
        <v>2212</v>
      </c>
      <c r="S785" t="s">
        <v>4022</v>
      </c>
      <c r="T785" t="s">
        <v>3239</v>
      </c>
      <c r="U785" t="b">
        <v>0</v>
      </c>
      <c r="V785" t="s">
        <v>2205</v>
      </c>
    </row>
    <row r="786" spans="1:22" x14ac:dyDescent="0.25">
      <c r="A786" t="s">
        <v>42</v>
      </c>
      <c r="B786">
        <v>123</v>
      </c>
      <c r="C786" t="s">
        <v>979</v>
      </c>
      <c r="D786" t="s">
        <v>1403</v>
      </c>
      <c r="E786" t="s">
        <v>978</v>
      </c>
      <c r="F786">
        <v>4384</v>
      </c>
      <c r="G786" t="s">
        <v>24</v>
      </c>
      <c r="H786" t="s">
        <v>26</v>
      </c>
      <c r="I786" t="s">
        <v>3167</v>
      </c>
      <c r="J786" t="s">
        <v>984</v>
      </c>
      <c r="K786" t="s">
        <v>3168</v>
      </c>
      <c r="L786" t="s">
        <v>984</v>
      </c>
      <c r="M786" t="s">
        <v>980</v>
      </c>
      <c r="N786" t="s">
        <v>981</v>
      </c>
      <c r="O786" t="s">
        <v>981</v>
      </c>
      <c r="P786" t="s">
        <v>1089</v>
      </c>
      <c r="Q786" t="s">
        <v>3169</v>
      </c>
      <c r="R786" t="s">
        <v>2222</v>
      </c>
      <c r="S786" t="s">
        <v>4026</v>
      </c>
      <c r="T786" t="s">
        <v>3239</v>
      </c>
      <c r="U786" t="b">
        <v>0</v>
      </c>
      <c r="V786" t="s">
        <v>1950</v>
      </c>
    </row>
    <row r="787" spans="1:22" x14ac:dyDescent="0.25">
      <c r="A787" t="s">
        <v>42</v>
      </c>
      <c r="B787">
        <v>123</v>
      </c>
      <c r="C787" t="s">
        <v>987</v>
      </c>
      <c r="D787" t="s">
        <v>1405</v>
      </c>
      <c r="E787" t="s">
        <v>986</v>
      </c>
      <c r="F787">
        <v>4544</v>
      </c>
      <c r="G787" t="s">
        <v>24</v>
      </c>
      <c r="H787" t="s">
        <v>26</v>
      </c>
      <c r="I787" t="s">
        <v>3167</v>
      </c>
      <c r="J787" t="s">
        <v>990</v>
      </c>
      <c r="K787" t="s">
        <v>3171</v>
      </c>
      <c r="L787" t="s">
        <v>990</v>
      </c>
      <c r="M787" t="s">
        <v>980</v>
      </c>
      <c r="N787" t="s">
        <v>988</v>
      </c>
      <c r="O787" t="s">
        <v>988</v>
      </c>
      <c r="P787" t="s">
        <v>1089</v>
      </c>
      <c r="Q787" t="s">
        <v>3169</v>
      </c>
      <c r="R787" t="s">
        <v>2222</v>
      </c>
      <c r="S787" t="s">
        <v>4026</v>
      </c>
      <c r="T787" t="s">
        <v>3239</v>
      </c>
      <c r="U787" t="b">
        <v>0</v>
      </c>
      <c r="V787" t="s">
        <v>1950</v>
      </c>
    </row>
    <row r="788" spans="1:22" x14ac:dyDescent="0.25">
      <c r="A788" t="s">
        <v>42</v>
      </c>
      <c r="B788">
        <v>123</v>
      </c>
      <c r="C788" t="s">
        <v>993</v>
      </c>
      <c r="D788" t="s">
        <v>1407</v>
      </c>
      <c r="E788" t="s">
        <v>992</v>
      </c>
      <c r="F788">
        <v>5905</v>
      </c>
      <c r="G788" t="s">
        <v>24</v>
      </c>
      <c r="H788" t="s">
        <v>26</v>
      </c>
      <c r="I788" t="s">
        <v>3167</v>
      </c>
      <c r="J788" t="s">
        <v>996</v>
      </c>
      <c r="K788" t="s">
        <v>3173</v>
      </c>
      <c r="L788" t="s">
        <v>996</v>
      </c>
      <c r="M788" t="s">
        <v>980</v>
      </c>
      <c r="N788" t="s">
        <v>994</v>
      </c>
      <c r="O788" t="s">
        <v>994</v>
      </c>
      <c r="P788" t="s">
        <v>1089</v>
      </c>
      <c r="Q788" t="s">
        <v>3169</v>
      </c>
      <c r="R788" t="s">
        <v>2222</v>
      </c>
      <c r="S788" t="s">
        <v>4026</v>
      </c>
      <c r="T788" t="s">
        <v>3239</v>
      </c>
      <c r="U788" t="b">
        <v>0</v>
      </c>
      <c r="V788" t="s">
        <v>1950</v>
      </c>
    </row>
    <row r="789" spans="1:22" x14ac:dyDescent="0.25">
      <c r="A789" t="s">
        <v>42</v>
      </c>
      <c r="B789">
        <v>123</v>
      </c>
      <c r="C789" t="s">
        <v>999</v>
      </c>
      <c r="D789" t="s">
        <v>1409</v>
      </c>
      <c r="E789" t="s">
        <v>998</v>
      </c>
      <c r="F789">
        <v>6535</v>
      </c>
      <c r="G789" t="s">
        <v>24</v>
      </c>
      <c r="H789" t="s">
        <v>26</v>
      </c>
      <c r="I789" t="s">
        <v>3167</v>
      </c>
      <c r="J789" t="s">
        <v>1003</v>
      </c>
      <c r="K789" t="s">
        <v>3175</v>
      </c>
      <c r="L789" t="s">
        <v>1003</v>
      </c>
      <c r="M789" t="s">
        <v>1000</v>
      </c>
      <c r="N789" t="s">
        <v>1001</v>
      </c>
      <c r="O789" t="s">
        <v>1001</v>
      </c>
      <c r="P789" t="s">
        <v>1089</v>
      </c>
      <c r="Q789" t="s">
        <v>3169</v>
      </c>
      <c r="R789" t="s">
        <v>2222</v>
      </c>
      <c r="S789" t="s">
        <v>4026</v>
      </c>
      <c r="T789" t="s">
        <v>3239</v>
      </c>
      <c r="U789" t="b">
        <v>0</v>
      </c>
      <c r="V789" t="s">
        <v>1950</v>
      </c>
    </row>
    <row r="790" spans="1:22" x14ac:dyDescent="0.25">
      <c r="A790" t="s">
        <v>42</v>
      </c>
      <c r="B790">
        <v>123</v>
      </c>
      <c r="C790" t="s">
        <v>1005</v>
      </c>
      <c r="D790" t="s">
        <v>2708</v>
      </c>
      <c r="E790" t="s">
        <v>982</v>
      </c>
      <c r="F790" t="s">
        <v>4027</v>
      </c>
      <c r="G790" t="s">
        <v>24</v>
      </c>
      <c r="H790" t="s">
        <v>26</v>
      </c>
      <c r="I790" t="s">
        <v>3167</v>
      </c>
      <c r="J790" t="s">
        <v>1003</v>
      </c>
      <c r="K790" t="s">
        <v>3175</v>
      </c>
      <c r="L790" t="s">
        <v>1003</v>
      </c>
      <c r="M790" t="s">
        <v>1000</v>
      </c>
      <c r="N790" t="s">
        <v>1001</v>
      </c>
      <c r="O790" t="s">
        <v>1001</v>
      </c>
      <c r="P790" t="s">
        <v>1089</v>
      </c>
      <c r="Q790" t="s">
        <v>3169</v>
      </c>
      <c r="R790" t="s">
        <v>2225</v>
      </c>
      <c r="S790" t="s">
        <v>4026</v>
      </c>
      <c r="T790" t="s">
        <v>1965</v>
      </c>
      <c r="U790" t="b">
        <v>0</v>
      </c>
      <c r="V790" t="s">
        <v>2227</v>
      </c>
    </row>
    <row r="791" spans="1:22" x14ac:dyDescent="0.25">
      <c r="A791" t="s">
        <v>42</v>
      </c>
      <c r="B791">
        <v>123</v>
      </c>
      <c r="C791" t="s">
        <v>1007</v>
      </c>
      <c r="D791" t="s">
        <v>1411</v>
      </c>
      <c r="E791" t="s">
        <v>1006</v>
      </c>
      <c r="F791">
        <v>5054</v>
      </c>
      <c r="G791" t="s">
        <v>24</v>
      </c>
      <c r="H791" t="s">
        <v>26</v>
      </c>
      <c r="I791" t="s">
        <v>3167</v>
      </c>
      <c r="J791" t="s">
        <v>1967</v>
      </c>
      <c r="K791" t="s">
        <v>3227</v>
      </c>
      <c r="L791" t="s">
        <v>1967</v>
      </c>
      <c r="M791" t="s">
        <v>980</v>
      </c>
      <c r="N791" t="s">
        <v>1009</v>
      </c>
      <c r="O791" t="s">
        <v>1009</v>
      </c>
      <c r="P791" t="s">
        <v>1089</v>
      </c>
      <c r="Q791" t="s">
        <v>3169</v>
      </c>
      <c r="R791" t="s">
        <v>2222</v>
      </c>
      <c r="S791" t="s">
        <v>4026</v>
      </c>
      <c r="T791" t="s">
        <v>3239</v>
      </c>
      <c r="U791" t="b">
        <v>0</v>
      </c>
      <c r="V791" t="s">
        <v>1950</v>
      </c>
    </row>
    <row r="792" spans="1:22" x14ac:dyDescent="0.25">
      <c r="A792" t="s">
        <v>42</v>
      </c>
      <c r="B792">
        <v>123</v>
      </c>
      <c r="C792" t="s">
        <v>1014</v>
      </c>
      <c r="D792" t="s">
        <v>1413</v>
      </c>
      <c r="E792" t="s">
        <v>1013</v>
      </c>
      <c r="F792">
        <v>4892</v>
      </c>
      <c r="G792" t="s">
        <v>24</v>
      </c>
      <c r="H792" t="s">
        <v>26</v>
      </c>
      <c r="I792" t="s">
        <v>3167</v>
      </c>
      <c r="J792" t="s">
        <v>1016</v>
      </c>
      <c r="K792" t="s">
        <v>3181</v>
      </c>
      <c r="L792" t="s">
        <v>1016</v>
      </c>
      <c r="M792" t="s">
        <v>980</v>
      </c>
      <c r="N792" t="s">
        <v>1015</v>
      </c>
      <c r="O792" t="s">
        <v>1015</v>
      </c>
      <c r="P792" t="s">
        <v>1089</v>
      </c>
      <c r="Q792" t="s">
        <v>3169</v>
      </c>
      <c r="R792" t="s">
        <v>2222</v>
      </c>
      <c r="S792" t="s">
        <v>4026</v>
      </c>
      <c r="T792" t="s">
        <v>3239</v>
      </c>
      <c r="U792" t="b">
        <v>0</v>
      </c>
      <c r="V792" t="s">
        <v>1950</v>
      </c>
    </row>
    <row r="793" spans="1:22" x14ac:dyDescent="0.25">
      <c r="A793" t="s">
        <v>42</v>
      </c>
      <c r="B793">
        <v>123</v>
      </c>
      <c r="C793" t="s">
        <v>1019</v>
      </c>
      <c r="D793" t="s">
        <v>1415</v>
      </c>
      <c r="E793" t="s">
        <v>1018</v>
      </c>
      <c r="F793">
        <v>4964</v>
      </c>
      <c r="G793" t="s">
        <v>24</v>
      </c>
      <c r="H793" t="s">
        <v>26</v>
      </c>
      <c r="I793" t="s">
        <v>3167</v>
      </c>
      <c r="J793" t="s">
        <v>1021</v>
      </c>
      <c r="K793" t="s">
        <v>3183</v>
      </c>
      <c r="L793" t="s">
        <v>1021</v>
      </c>
      <c r="M793" t="s">
        <v>980</v>
      </c>
      <c r="N793" t="s">
        <v>1020</v>
      </c>
      <c r="O793" t="s">
        <v>1020</v>
      </c>
      <c r="P793" t="s">
        <v>1089</v>
      </c>
      <c r="Q793" t="s">
        <v>3169</v>
      </c>
      <c r="R793" t="s">
        <v>2222</v>
      </c>
      <c r="S793" t="s">
        <v>4026</v>
      </c>
      <c r="T793" t="s">
        <v>3239</v>
      </c>
      <c r="U793" t="b">
        <v>0</v>
      </c>
      <c r="V793" t="s">
        <v>1950</v>
      </c>
    </row>
    <row r="794" spans="1:22" x14ac:dyDescent="0.25">
      <c r="A794" t="s">
        <v>42</v>
      </c>
      <c r="B794">
        <v>123</v>
      </c>
      <c r="C794" t="s">
        <v>1024</v>
      </c>
      <c r="D794" t="s">
        <v>1417</v>
      </c>
      <c r="E794" t="s">
        <v>1023</v>
      </c>
      <c r="F794">
        <v>4852</v>
      </c>
      <c r="G794" t="s">
        <v>24</v>
      </c>
      <c r="H794" t="s">
        <v>26</v>
      </c>
      <c r="I794" t="s">
        <v>3167</v>
      </c>
      <c r="J794" t="s">
        <v>1026</v>
      </c>
      <c r="K794" t="s">
        <v>3185</v>
      </c>
      <c r="L794" t="s">
        <v>1026</v>
      </c>
      <c r="M794" t="s">
        <v>1000</v>
      </c>
      <c r="N794" t="s">
        <v>1025</v>
      </c>
      <c r="O794" t="s">
        <v>1025</v>
      </c>
      <c r="P794" t="s">
        <v>1089</v>
      </c>
      <c r="Q794" t="s">
        <v>3169</v>
      </c>
      <c r="R794" t="s">
        <v>2222</v>
      </c>
      <c r="S794" t="s">
        <v>4026</v>
      </c>
      <c r="T794" t="s">
        <v>3239</v>
      </c>
      <c r="U794" t="b">
        <v>0</v>
      </c>
      <c r="V794" t="s">
        <v>1950</v>
      </c>
    </row>
    <row r="795" spans="1:22" x14ac:dyDescent="0.25">
      <c r="A795" t="s">
        <v>42</v>
      </c>
      <c r="B795">
        <v>123</v>
      </c>
      <c r="C795" t="s">
        <v>1028</v>
      </c>
      <c r="D795" t="s">
        <v>2711</v>
      </c>
      <c r="E795" t="s">
        <v>1010</v>
      </c>
      <c r="F795" t="s">
        <v>4028</v>
      </c>
      <c r="G795" t="s">
        <v>24</v>
      </c>
      <c r="H795" t="s">
        <v>26</v>
      </c>
      <c r="I795" t="s">
        <v>3167</v>
      </c>
      <c r="J795" t="s">
        <v>1026</v>
      </c>
      <c r="K795" t="s">
        <v>3185</v>
      </c>
      <c r="L795" t="s">
        <v>1026</v>
      </c>
      <c r="M795" t="s">
        <v>1000</v>
      </c>
      <c r="N795" t="s">
        <v>1025</v>
      </c>
      <c r="O795" t="s">
        <v>1025</v>
      </c>
      <c r="P795" t="s">
        <v>1089</v>
      </c>
      <c r="Q795" t="s">
        <v>3169</v>
      </c>
      <c r="R795" t="s">
        <v>2225</v>
      </c>
      <c r="S795" t="s">
        <v>4026</v>
      </c>
      <c r="T795" t="s">
        <v>1965</v>
      </c>
      <c r="U795" t="b">
        <v>0</v>
      </c>
      <c r="V795" t="s">
        <v>2227</v>
      </c>
    </row>
    <row r="796" spans="1:22" x14ac:dyDescent="0.25">
      <c r="A796" t="s">
        <v>42</v>
      </c>
      <c r="B796">
        <v>123</v>
      </c>
      <c r="C796" t="s">
        <v>1030</v>
      </c>
      <c r="D796" t="s">
        <v>1419</v>
      </c>
      <c r="E796" t="s">
        <v>1029</v>
      </c>
      <c r="F796">
        <v>4989</v>
      </c>
      <c r="G796" t="s">
        <v>24</v>
      </c>
      <c r="H796" t="s">
        <v>26</v>
      </c>
      <c r="I796" t="s">
        <v>3167</v>
      </c>
      <c r="J796" t="s">
        <v>1033</v>
      </c>
      <c r="K796" t="s">
        <v>3189</v>
      </c>
      <c r="L796" t="s">
        <v>1033</v>
      </c>
      <c r="M796" t="s">
        <v>980</v>
      </c>
      <c r="N796" t="s">
        <v>1031</v>
      </c>
      <c r="O796" t="s">
        <v>1031</v>
      </c>
      <c r="P796" t="s">
        <v>1089</v>
      </c>
      <c r="Q796" t="s">
        <v>3169</v>
      </c>
      <c r="R796" t="s">
        <v>2222</v>
      </c>
      <c r="S796" t="s">
        <v>4026</v>
      </c>
      <c r="T796" t="s">
        <v>3239</v>
      </c>
      <c r="U796" t="b">
        <v>0</v>
      </c>
      <c r="V796" t="s">
        <v>1950</v>
      </c>
    </row>
    <row r="797" spans="1:22" x14ac:dyDescent="0.25">
      <c r="A797" t="s">
        <v>42</v>
      </c>
      <c r="B797">
        <v>123</v>
      </c>
      <c r="C797" t="s">
        <v>1036</v>
      </c>
      <c r="D797" t="s">
        <v>1421</v>
      </c>
      <c r="E797" t="s">
        <v>1035</v>
      </c>
      <c r="F797">
        <v>5111</v>
      </c>
      <c r="G797" t="s">
        <v>24</v>
      </c>
      <c r="H797" t="s">
        <v>26</v>
      </c>
      <c r="I797" t="s">
        <v>3167</v>
      </c>
      <c r="J797" t="s">
        <v>1038</v>
      </c>
      <c r="K797" t="s">
        <v>3191</v>
      </c>
      <c r="L797" t="s">
        <v>1038</v>
      </c>
      <c r="M797" t="s">
        <v>980</v>
      </c>
      <c r="N797" t="s">
        <v>1037</v>
      </c>
      <c r="O797" t="s">
        <v>1037</v>
      </c>
      <c r="P797" t="s">
        <v>1089</v>
      </c>
      <c r="Q797" t="s">
        <v>3169</v>
      </c>
      <c r="R797" t="s">
        <v>2222</v>
      </c>
      <c r="S797" t="s">
        <v>4026</v>
      </c>
      <c r="T797" t="s">
        <v>3239</v>
      </c>
      <c r="U797" t="b">
        <v>0</v>
      </c>
      <c r="V797" t="s">
        <v>1950</v>
      </c>
    </row>
    <row r="798" spans="1:22" x14ac:dyDescent="0.25">
      <c r="A798" t="s">
        <v>42</v>
      </c>
      <c r="B798">
        <v>123</v>
      </c>
      <c r="C798" t="s">
        <v>1041</v>
      </c>
      <c r="D798" t="s">
        <v>1423</v>
      </c>
      <c r="E798" t="s">
        <v>1040</v>
      </c>
      <c r="F798">
        <v>4625</v>
      </c>
      <c r="G798" t="s">
        <v>24</v>
      </c>
      <c r="H798" t="s">
        <v>26</v>
      </c>
      <c r="I798" t="s">
        <v>3167</v>
      </c>
      <c r="J798" t="s">
        <v>1043</v>
      </c>
      <c r="K798" t="s">
        <v>3193</v>
      </c>
      <c r="L798" t="s">
        <v>1043</v>
      </c>
      <c r="M798" t="s">
        <v>980</v>
      </c>
      <c r="N798" t="s">
        <v>1042</v>
      </c>
      <c r="O798" t="s">
        <v>1042</v>
      </c>
      <c r="P798" t="s">
        <v>1089</v>
      </c>
      <c r="Q798" t="s">
        <v>3169</v>
      </c>
      <c r="R798" t="s">
        <v>2222</v>
      </c>
      <c r="S798" t="s">
        <v>4026</v>
      </c>
      <c r="T798" t="s">
        <v>3239</v>
      </c>
      <c r="U798" t="b">
        <v>0</v>
      </c>
      <c r="V798" t="s">
        <v>1950</v>
      </c>
    </row>
    <row r="799" spans="1:22" x14ac:dyDescent="0.25">
      <c r="A799" t="s">
        <v>42</v>
      </c>
      <c r="B799">
        <v>123</v>
      </c>
      <c r="C799" t="s">
        <v>1046</v>
      </c>
      <c r="D799" t="s">
        <v>1425</v>
      </c>
      <c r="E799" t="s">
        <v>1045</v>
      </c>
      <c r="F799">
        <v>9709</v>
      </c>
      <c r="G799" t="s">
        <v>24</v>
      </c>
      <c r="H799" t="s">
        <v>26</v>
      </c>
      <c r="I799" t="s">
        <v>3167</v>
      </c>
      <c r="J799" t="s">
        <v>1048</v>
      </c>
      <c r="K799" t="s">
        <v>3195</v>
      </c>
      <c r="L799" t="s">
        <v>1048</v>
      </c>
      <c r="M799" t="s">
        <v>1000</v>
      </c>
      <c r="N799" t="s">
        <v>1047</v>
      </c>
      <c r="O799" t="s">
        <v>1047</v>
      </c>
      <c r="P799" t="s">
        <v>1089</v>
      </c>
      <c r="Q799" t="s">
        <v>3169</v>
      </c>
      <c r="R799" t="s">
        <v>2222</v>
      </c>
      <c r="S799" t="s">
        <v>4026</v>
      </c>
      <c r="T799" t="s">
        <v>3239</v>
      </c>
      <c r="U799" t="b">
        <v>0</v>
      </c>
      <c r="V799" t="s">
        <v>1950</v>
      </c>
    </row>
    <row r="800" spans="1:22" x14ac:dyDescent="0.25">
      <c r="A800" t="s">
        <v>42</v>
      </c>
      <c r="B800">
        <v>123</v>
      </c>
      <c r="C800" t="s">
        <v>1050</v>
      </c>
      <c r="D800" t="s">
        <v>2713</v>
      </c>
      <c r="E800" t="s">
        <v>1032</v>
      </c>
      <c r="F800" t="s">
        <v>4029</v>
      </c>
      <c r="G800" t="s">
        <v>24</v>
      </c>
      <c r="H800" t="s">
        <v>26</v>
      </c>
      <c r="I800" t="s">
        <v>3167</v>
      </c>
      <c r="J800" t="s">
        <v>1048</v>
      </c>
      <c r="K800" t="s">
        <v>3195</v>
      </c>
      <c r="L800" t="s">
        <v>1048</v>
      </c>
      <c r="M800" t="s">
        <v>1000</v>
      </c>
      <c r="N800" t="s">
        <v>1047</v>
      </c>
      <c r="O800" t="s">
        <v>1047</v>
      </c>
      <c r="P800" t="s">
        <v>1089</v>
      </c>
      <c r="Q800" t="s">
        <v>3169</v>
      </c>
      <c r="R800" t="s">
        <v>2225</v>
      </c>
      <c r="S800" t="s">
        <v>4026</v>
      </c>
      <c r="T800" t="s">
        <v>1965</v>
      </c>
      <c r="U800" t="b">
        <v>0</v>
      </c>
      <c r="V800" t="s">
        <v>2227</v>
      </c>
    </row>
    <row r="801" spans="1:22" x14ac:dyDescent="0.25">
      <c r="A801" t="s">
        <v>42</v>
      </c>
      <c r="B801">
        <v>123</v>
      </c>
      <c r="C801" t="s">
        <v>1052</v>
      </c>
      <c r="D801" t="s">
        <v>1427</v>
      </c>
      <c r="E801" t="s">
        <v>1051</v>
      </c>
      <c r="F801">
        <v>10902</v>
      </c>
      <c r="G801" t="s">
        <v>24</v>
      </c>
      <c r="H801" t="s">
        <v>26</v>
      </c>
      <c r="I801" t="s">
        <v>3167</v>
      </c>
      <c r="J801" t="s">
        <v>1055</v>
      </c>
      <c r="K801" t="s">
        <v>3199</v>
      </c>
      <c r="L801" t="s">
        <v>1055</v>
      </c>
      <c r="M801" t="s">
        <v>980</v>
      </c>
      <c r="N801" t="s">
        <v>1053</v>
      </c>
      <c r="O801" t="s">
        <v>1053</v>
      </c>
      <c r="P801" t="s">
        <v>1089</v>
      </c>
      <c r="Q801" t="s">
        <v>3169</v>
      </c>
      <c r="R801" t="s">
        <v>2222</v>
      </c>
      <c r="S801" t="s">
        <v>4026</v>
      </c>
      <c r="T801" t="s">
        <v>3239</v>
      </c>
      <c r="U801" t="b">
        <v>0</v>
      </c>
      <c r="V801" t="s">
        <v>1950</v>
      </c>
    </row>
    <row r="802" spans="1:22" x14ac:dyDescent="0.25">
      <c r="A802" t="s">
        <v>42</v>
      </c>
      <c r="B802">
        <v>124</v>
      </c>
      <c r="C802" t="s">
        <v>979</v>
      </c>
      <c r="D802" t="s">
        <v>2975</v>
      </c>
      <c r="E802" t="s">
        <v>978</v>
      </c>
      <c r="F802" t="s">
        <v>4030</v>
      </c>
      <c r="G802" t="s">
        <v>24</v>
      </c>
      <c r="H802" t="s">
        <v>26</v>
      </c>
      <c r="I802" t="s">
        <v>3167</v>
      </c>
      <c r="J802" t="s">
        <v>984</v>
      </c>
      <c r="K802" t="s">
        <v>3168</v>
      </c>
      <c r="L802" t="s">
        <v>984</v>
      </c>
      <c r="M802" t="s">
        <v>980</v>
      </c>
      <c r="N802" t="s">
        <v>981</v>
      </c>
      <c r="O802" t="s">
        <v>981</v>
      </c>
      <c r="P802" t="s">
        <v>1089</v>
      </c>
      <c r="Q802" t="s">
        <v>3169</v>
      </c>
      <c r="R802" t="s">
        <v>446</v>
      </c>
      <c r="S802" t="s">
        <v>2976</v>
      </c>
      <c r="T802" t="s">
        <v>1965</v>
      </c>
      <c r="U802" t="b">
        <v>0</v>
      </c>
      <c r="V802" t="s">
        <v>2160</v>
      </c>
    </row>
    <row r="803" spans="1:22" x14ac:dyDescent="0.25">
      <c r="A803" t="s">
        <v>42</v>
      </c>
      <c r="B803">
        <v>124</v>
      </c>
      <c r="C803" t="s">
        <v>987</v>
      </c>
      <c r="D803" t="s">
        <v>2992</v>
      </c>
      <c r="E803" t="s">
        <v>986</v>
      </c>
      <c r="F803" t="s">
        <v>4031</v>
      </c>
      <c r="G803" t="s">
        <v>24</v>
      </c>
      <c r="H803" t="s">
        <v>26</v>
      </c>
      <c r="I803" t="s">
        <v>3167</v>
      </c>
      <c r="J803" t="s">
        <v>990</v>
      </c>
      <c r="K803" t="s">
        <v>3171</v>
      </c>
      <c r="L803" t="s">
        <v>990</v>
      </c>
      <c r="M803" t="s">
        <v>980</v>
      </c>
      <c r="N803" t="s">
        <v>988</v>
      </c>
      <c r="O803" t="s">
        <v>988</v>
      </c>
      <c r="P803" t="s">
        <v>1089</v>
      </c>
      <c r="Q803" t="s">
        <v>3169</v>
      </c>
      <c r="R803" t="s">
        <v>446</v>
      </c>
      <c r="S803" t="s">
        <v>2976</v>
      </c>
      <c r="T803" t="s">
        <v>1965</v>
      </c>
      <c r="U803" t="b">
        <v>0</v>
      </c>
      <c r="V803" t="s">
        <v>2160</v>
      </c>
    </row>
    <row r="804" spans="1:22" x14ac:dyDescent="0.25">
      <c r="A804" t="s">
        <v>42</v>
      </c>
      <c r="B804">
        <v>124</v>
      </c>
      <c r="C804" t="s">
        <v>993</v>
      </c>
      <c r="D804" t="s">
        <v>3001</v>
      </c>
      <c r="E804" t="s">
        <v>992</v>
      </c>
      <c r="F804" t="s">
        <v>4032</v>
      </c>
      <c r="G804" t="s">
        <v>24</v>
      </c>
      <c r="H804" t="s">
        <v>26</v>
      </c>
      <c r="I804" t="s">
        <v>3167</v>
      </c>
      <c r="J804" t="s">
        <v>996</v>
      </c>
      <c r="K804" t="s">
        <v>3173</v>
      </c>
      <c r="L804" t="s">
        <v>996</v>
      </c>
      <c r="M804" t="s">
        <v>980</v>
      </c>
      <c r="N804" t="s">
        <v>994</v>
      </c>
      <c r="O804" t="s">
        <v>994</v>
      </c>
      <c r="P804" t="s">
        <v>1089</v>
      </c>
      <c r="Q804" t="s">
        <v>3169</v>
      </c>
      <c r="R804" t="s">
        <v>446</v>
      </c>
      <c r="S804" t="s">
        <v>2976</v>
      </c>
      <c r="T804" t="s">
        <v>1965</v>
      </c>
      <c r="U804" t="b">
        <v>0</v>
      </c>
      <c r="V804" t="s">
        <v>2160</v>
      </c>
    </row>
    <row r="805" spans="1:22" x14ac:dyDescent="0.25">
      <c r="A805" t="s">
        <v>42</v>
      </c>
      <c r="B805">
        <v>124</v>
      </c>
      <c r="C805" t="s">
        <v>999</v>
      </c>
      <c r="D805" t="s">
        <v>3010</v>
      </c>
      <c r="E805" t="s">
        <v>998</v>
      </c>
      <c r="F805" t="s">
        <v>4033</v>
      </c>
      <c r="G805" t="s">
        <v>24</v>
      </c>
      <c r="H805" t="s">
        <v>26</v>
      </c>
      <c r="I805" t="s">
        <v>3167</v>
      </c>
      <c r="J805" t="s">
        <v>1003</v>
      </c>
      <c r="K805" t="s">
        <v>3175</v>
      </c>
      <c r="L805" t="s">
        <v>1003</v>
      </c>
      <c r="M805" t="s">
        <v>1000</v>
      </c>
      <c r="N805" t="s">
        <v>1001</v>
      </c>
      <c r="O805" t="s">
        <v>1001</v>
      </c>
      <c r="P805" t="s">
        <v>1089</v>
      </c>
      <c r="Q805" t="s">
        <v>3169</v>
      </c>
      <c r="R805" t="s">
        <v>446</v>
      </c>
      <c r="S805" t="s">
        <v>2976</v>
      </c>
      <c r="T805" t="s">
        <v>1965</v>
      </c>
      <c r="U805" t="b">
        <v>0</v>
      </c>
      <c r="V805" t="s">
        <v>2160</v>
      </c>
    </row>
    <row r="806" spans="1:22" x14ac:dyDescent="0.25">
      <c r="A806" t="s">
        <v>42</v>
      </c>
      <c r="B806">
        <v>124</v>
      </c>
      <c r="C806" t="s">
        <v>1005</v>
      </c>
      <c r="D806" t="s">
        <v>3019</v>
      </c>
      <c r="E806" t="s">
        <v>982</v>
      </c>
      <c r="F806" t="s">
        <v>4033</v>
      </c>
      <c r="G806" t="s">
        <v>24</v>
      </c>
      <c r="H806" t="s">
        <v>26</v>
      </c>
      <c r="I806" t="s">
        <v>3167</v>
      </c>
      <c r="J806" t="s">
        <v>1003</v>
      </c>
      <c r="K806" t="s">
        <v>3175</v>
      </c>
      <c r="L806" t="s">
        <v>1003</v>
      </c>
      <c r="M806" t="s">
        <v>1000</v>
      </c>
      <c r="N806" t="s">
        <v>1001</v>
      </c>
      <c r="O806" t="s">
        <v>1001</v>
      </c>
      <c r="P806" t="s">
        <v>1089</v>
      </c>
      <c r="Q806" t="s">
        <v>3169</v>
      </c>
      <c r="R806" t="s">
        <v>446</v>
      </c>
      <c r="S806" t="s">
        <v>2976</v>
      </c>
      <c r="T806" t="s">
        <v>1965</v>
      </c>
      <c r="U806" t="b">
        <v>0</v>
      </c>
      <c r="V806" t="s">
        <v>2160</v>
      </c>
    </row>
    <row r="807" spans="1:22" x14ac:dyDescent="0.25">
      <c r="A807" t="s">
        <v>42</v>
      </c>
      <c r="B807">
        <v>124</v>
      </c>
      <c r="C807" t="s">
        <v>1007</v>
      </c>
      <c r="D807" t="s">
        <v>3028</v>
      </c>
      <c r="E807" t="s">
        <v>1006</v>
      </c>
      <c r="F807" t="s">
        <v>4034</v>
      </c>
      <c r="G807" t="s">
        <v>24</v>
      </c>
      <c r="H807" t="s">
        <v>26</v>
      </c>
      <c r="I807" t="s">
        <v>3167</v>
      </c>
      <c r="J807" t="s">
        <v>1967</v>
      </c>
      <c r="K807" t="s">
        <v>3227</v>
      </c>
      <c r="L807" t="s">
        <v>1967</v>
      </c>
      <c r="M807" t="s">
        <v>1008</v>
      </c>
      <c r="N807" t="s">
        <v>1009</v>
      </c>
      <c r="O807" t="s">
        <v>1009</v>
      </c>
      <c r="P807" t="s">
        <v>1089</v>
      </c>
      <c r="Q807" t="s">
        <v>3169</v>
      </c>
      <c r="R807" t="s">
        <v>446</v>
      </c>
      <c r="S807" t="s">
        <v>2976</v>
      </c>
      <c r="T807" t="s">
        <v>1965</v>
      </c>
      <c r="U807" t="b">
        <v>0</v>
      </c>
      <c r="V807" t="s">
        <v>2160</v>
      </c>
    </row>
    <row r="808" spans="1:22" x14ac:dyDescent="0.25">
      <c r="A808" t="s">
        <v>42</v>
      </c>
      <c r="B808">
        <v>124</v>
      </c>
      <c r="C808" t="s">
        <v>1014</v>
      </c>
      <c r="D808" t="s">
        <v>3037</v>
      </c>
      <c r="E808" t="s">
        <v>1013</v>
      </c>
      <c r="F808" t="s">
        <v>4035</v>
      </c>
      <c r="G808" t="s">
        <v>24</v>
      </c>
      <c r="H808" t="s">
        <v>26</v>
      </c>
      <c r="I808" t="s">
        <v>3167</v>
      </c>
      <c r="J808" t="s">
        <v>1016</v>
      </c>
      <c r="K808" t="s">
        <v>3181</v>
      </c>
      <c r="L808" t="s">
        <v>1016</v>
      </c>
      <c r="M808" t="s">
        <v>980</v>
      </c>
      <c r="N808" t="s">
        <v>1015</v>
      </c>
      <c r="O808" t="s">
        <v>1015</v>
      </c>
      <c r="P808" t="s">
        <v>1089</v>
      </c>
      <c r="Q808" t="s">
        <v>3169</v>
      </c>
      <c r="R808" t="s">
        <v>446</v>
      </c>
      <c r="S808" t="s">
        <v>2976</v>
      </c>
      <c r="T808" t="s">
        <v>1965</v>
      </c>
      <c r="U808" t="b">
        <v>0</v>
      </c>
      <c r="V808" t="s">
        <v>2160</v>
      </c>
    </row>
    <row r="809" spans="1:22" x14ac:dyDescent="0.25">
      <c r="A809" t="s">
        <v>42</v>
      </c>
      <c r="B809">
        <v>124</v>
      </c>
      <c r="C809" t="s">
        <v>1019</v>
      </c>
      <c r="D809" t="s">
        <v>3046</v>
      </c>
      <c r="E809" t="s">
        <v>1018</v>
      </c>
      <c r="F809" t="s">
        <v>4036</v>
      </c>
      <c r="G809" t="s">
        <v>24</v>
      </c>
      <c r="H809" t="s">
        <v>26</v>
      </c>
      <c r="I809" t="s">
        <v>3167</v>
      </c>
      <c r="J809" t="s">
        <v>1021</v>
      </c>
      <c r="K809" t="s">
        <v>3183</v>
      </c>
      <c r="L809" t="s">
        <v>1021</v>
      </c>
      <c r="M809" t="s">
        <v>980</v>
      </c>
      <c r="N809" t="s">
        <v>1020</v>
      </c>
      <c r="O809" t="s">
        <v>1020</v>
      </c>
      <c r="P809" t="s">
        <v>1089</v>
      </c>
      <c r="Q809" t="s">
        <v>3169</v>
      </c>
      <c r="R809" t="s">
        <v>446</v>
      </c>
      <c r="S809" t="s">
        <v>2976</v>
      </c>
      <c r="T809" t="s">
        <v>1965</v>
      </c>
      <c r="U809" t="b">
        <v>0</v>
      </c>
      <c r="V809" t="s">
        <v>2160</v>
      </c>
    </row>
    <row r="810" spans="1:22" x14ac:dyDescent="0.25">
      <c r="A810" t="s">
        <v>42</v>
      </c>
      <c r="B810">
        <v>124</v>
      </c>
      <c r="C810" t="s">
        <v>1024</v>
      </c>
      <c r="D810" t="s">
        <v>3055</v>
      </c>
      <c r="E810" t="s">
        <v>1023</v>
      </c>
      <c r="F810" t="s">
        <v>4037</v>
      </c>
      <c r="G810" t="s">
        <v>24</v>
      </c>
      <c r="H810" t="s">
        <v>26</v>
      </c>
      <c r="I810" t="s">
        <v>3167</v>
      </c>
      <c r="J810" t="s">
        <v>1026</v>
      </c>
      <c r="K810" t="s">
        <v>3185</v>
      </c>
      <c r="L810" t="s">
        <v>1026</v>
      </c>
      <c r="M810" t="s">
        <v>1000</v>
      </c>
      <c r="N810" t="s">
        <v>1025</v>
      </c>
      <c r="O810" t="s">
        <v>1025</v>
      </c>
      <c r="P810" t="s">
        <v>1089</v>
      </c>
      <c r="Q810" t="s">
        <v>3169</v>
      </c>
      <c r="R810" t="s">
        <v>446</v>
      </c>
      <c r="S810" t="s">
        <v>2976</v>
      </c>
      <c r="T810" t="s">
        <v>1965</v>
      </c>
      <c r="U810" t="b">
        <v>0</v>
      </c>
      <c r="V810" t="s">
        <v>2160</v>
      </c>
    </row>
    <row r="811" spans="1:22" x14ac:dyDescent="0.25">
      <c r="A811" t="s">
        <v>42</v>
      </c>
      <c r="B811">
        <v>124</v>
      </c>
      <c r="C811" t="s">
        <v>1028</v>
      </c>
      <c r="D811" t="s">
        <v>3064</v>
      </c>
      <c r="E811" t="s">
        <v>1010</v>
      </c>
      <c r="F811" t="s">
        <v>4037</v>
      </c>
      <c r="G811" t="s">
        <v>24</v>
      </c>
      <c r="H811" t="s">
        <v>26</v>
      </c>
      <c r="I811" t="s">
        <v>3167</v>
      </c>
      <c r="J811" t="s">
        <v>1026</v>
      </c>
      <c r="K811" t="s">
        <v>3185</v>
      </c>
      <c r="L811" t="s">
        <v>1026</v>
      </c>
      <c r="M811" t="s">
        <v>1000</v>
      </c>
      <c r="N811" t="s">
        <v>1025</v>
      </c>
      <c r="O811" t="s">
        <v>1025</v>
      </c>
      <c r="P811" t="s">
        <v>1089</v>
      </c>
      <c r="Q811" t="s">
        <v>3169</v>
      </c>
      <c r="R811" t="s">
        <v>446</v>
      </c>
      <c r="S811" t="s">
        <v>2976</v>
      </c>
      <c r="T811" t="s">
        <v>1965</v>
      </c>
      <c r="U811" t="b">
        <v>0</v>
      </c>
      <c r="V811" t="s">
        <v>2160</v>
      </c>
    </row>
    <row r="812" spans="1:22" x14ac:dyDescent="0.25">
      <c r="A812" t="s">
        <v>42</v>
      </c>
      <c r="B812">
        <v>124</v>
      </c>
      <c r="C812" t="s">
        <v>1030</v>
      </c>
      <c r="D812" t="s">
        <v>3073</v>
      </c>
      <c r="E812" t="s">
        <v>1029</v>
      </c>
      <c r="F812" t="s">
        <v>4038</v>
      </c>
      <c r="G812" t="s">
        <v>24</v>
      </c>
      <c r="H812" t="s">
        <v>26</v>
      </c>
      <c r="I812" t="s">
        <v>3167</v>
      </c>
      <c r="J812" t="s">
        <v>1033</v>
      </c>
      <c r="K812" t="s">
        <v>3189</v>
      </c>
      <c r="L812" t="s">
        <v>1033</v>
      </c>
      <c r="M812" t="s">
        <v>980</v>
      </c>
      <c r="N812" t="s">
        <v>1031</v>
      </c>
      <c r="O812" t="s">
        <v>1031</v>
      </c>
      <c r="P812" t="s">
        <v>1089</v>
      </c>
      <c r="Q812" t="s">
        <v>3169</v>
      </c>
      <c r="R812" t="s">
        <v>446</v>
      </c>
      <c r="S812" t="s">
        <v>2976</v>
      </c>
      <c r="T812" t="s">
        <v>1965</v>
      </c>
      <c r="U812" t="b">
        <v>0</v>
      </c>
      <c r="V812" t="s">
        <v>2160</v>
      </c>
    </row>
    <row r="813" spans="1:22" x14ac:dyDescent="0.25">
      <c r="A813" t="s">
        <v>42</v>
      </c>
      <c r="B813">
        <v>124</v>
      </c>
      <c r="C813" t="s">
        <v>1036</v>
      </c>
      <c r="D813" t="s">
        <v>3082</v>
      </c>
      <c r="E813" t="s">
        <v>1035</v>
      </c>
      <c r="F813" t="s">
        <v>4039</v>
      </c>
      <c r="G813" t="s">
        <v>24</v>
      </c>
      <c r="H813" t="s">
        <v>26</v>
      </c>
      <c r="I813" t="s">
        <v>3167</v>
      </c>
      <c r="J813" t="s">
        <v>1038</v>
      </c>
      <c r="K813" t="s">
        <v>3191</v>
      </c>
      <c r="L813" t="s">
        <v>1038</v>
      </c>
      <c r="M813" t="s">
        <v>980</v>
      </c>
      <c r="N813" t="s">
        <v>1037</v>
      </c>
      <c r="O813" t="s">
        <v>1037</v>
      </c>
      <c r="P813" t="s">
        <v>1089</v>
      </c>
      <c r="Q813" t="s">
        <v>3169</v>
      </c>
      <c r="R813" t="s">
        <v>446</v>
      </c>
      <c r="S813" t="s">
        <v>2976</v>
      </c>
      <c r="T813" t="s">
        <v>1965</v>
      </c>
      <c r="U813" t="b">
        <v>0</v>
      </c>
      <c r="V813" t="s">
        <v>2160</v>
      </c>
    </row>
    <row r="814" spans="1:22" x14ac:dyDescent="0.25">
      <c r="A814" t="s">
        <v>42</v>
      </c>
      <c r="B814">
        <v>124</v>
      </c>
      <c r="C814" t="s">
        <v>1041</v>
      </c>
      <c r="D814" t="s">
        <v>3091</v>
      </c>
      <c r="E814" t="s">
        <v>1040</v>
      </c>
      <c r="F814" t="s">
        <v>4040</v>
      </c>
      <c r="G814" t="s">
        <v>24</v>
      </c>
      <c r="H814" t="s">
        <v>26</v>
      </c>
      <c r="I814" t="s">
        <v>3167</v>
      </c>
      <c r="J814" t="s">
        <v>1043</v>
      </c>
      <c r="K814" t="s">
        <v>3193</v>
      </c>
      <c r="L814" t="s">
        <v>1043</v>
      </c>
      <c r="M814" t="s">
        <v>980</v>
      </c>
      <c r="N814" t="s">
        <v>1042</v>
      </c>
      <c r="O814" t="s">
        <v>1042</v>
      </c>
      <c r="P814" t="s">
        <v>1089</v>
      </c>
      <c r="Q814" t="s">
        <v>3169</v>
      </c>
      <c r="R814" t="s">
        <v>446</v>
      </c>
      <c r="S814" t="s">
        <v>2976</v>
      </c>
      <c r="T814" t="s">
        <v>1965</v>
      </c>
      <c r="U814" t="b">
        <v>0</v>
      </c>
      <c r="V814" t="s">
        <v>2160</v>
      </c>
    </row>
    <row r="815" spans="1:22" x14ac:dyDescent="0.25">
      <c r="A815" t="s">
        <v>42</v>
      </c>
      <c r="B815">
        <v>124</v>
      </c>
      <c r="C815" t="s">
        <v>1046</v>
      </c>
      <c r="D815" t="s">
        <v>3100</v>
      </c>
      <c r="E815" t="s">
        <v>1045</v>
      </c>
      <c r="F815" t="s">
        <v>4041</v>
      </c>
      <c r="G815" t="s">
        <v>24</v>
      </c>
      <c r="H815" t="s">
        <v>26</v>
      </c>
      <c r="I815" t="s">
        <v>3167</v>
      </c>
      <c r="J815" t="s">
        <v>1048</v>
      </c>
      <c r="K815" t="s">
        <v>3195</v>
      </c>
      <c r="L815" t="s">
        <v>1048</v>
      </c>
      <c r="M815" t="s">
        <v>1000</v>
      </c>
      <c r="N815" t="s">
        <v>1047</v>
      </c>
      <c r="O815" t="s">
        <v>1047</v>
      </c>
      <c r="P815" t="s">
        <v>1089</v>
      </c>
      <c r="Q815" t="s">
        <v>3169</v>
      </c>
      <c r="R815" t="s">
        <v>446</v>
      </c>
      <c r="S815" t="s">
        <v>2976</v>
      </c>
      <c r="T815" t="s">
        <v>1965</v>
      </c>
      <c r="U815" t="b">
        <v>0</v>
      </c>
      <c r="V815" t="s">
        <v>2160</v>
      </c>
    </row>
    <row r="816" spans="1:22" x14ac:dyDescent="0.25">
      <c r="A816" t="s">
        <v>42</v>
      </c>
      <c r="B816">
        <v>124</v>
      </c>
      <c r="C816" t="s">
        <v>1050</v>
      </c>
      <c r="D816" t="s">
        <v>3109</v>
      </c>
      <c r="E816" t="s">
        <v>1032</v>
      </c>
      <c r="F816" t="s">
        <v>4041</v>
      </c>
      <c r="G816" t="s">
        <v>24</v>
      </c>
      <c r="H816" t="s">
        <v>26</v>
      </c>
      <c r="I816" t="s">
        <v>3167</v>
      </c>
      <c r="J816" t="s">
        <v>1048</v>
      </c>
      <c r="K816" t="s">
        <v>3195</v>
      </c>
      <c r="L816" t="s">
        <v>1048</v>
      </c>
      <c r="M816" t="s">
        <v>1000</v>
      </c>
      <c r="N816" t="s">
        <v>1047</v>
      </c>
      <c r="O816" t="s">
        <v>1047</v>
      </c>
      <c r="P816" t="s">
        <v>1089</v>
      </c>
      <c r="Q816" t="s">
        <v>3169</v>
      </c>
      <c r="R816" t="s">
        <v>446</v>
      </c>
      <c r="S816" t="s">
        <v>2976</v>
      </c>
      <c r="T816" t="s">
        <v>1965</v>
      </c>
      <c r="U816" t="b">
        <v>0</v>
      </c>
      <c r="V816" t="s">
        <v>2160</v>
      </c>
    </row>
    <row r="817" spans="1:22" x14ac:dyDescent="0.25">
      <c r="A817" t="s">
        <v>42</v>
      </c>
      <c r="B817">
        <v>124</v>
      </c>
      <c r="C817" t="s">
        <v>1052</v>
      </c>
      <c r="D817" t="s">
        <v>3118</v>
      </c>
      <c r="E817" t="s">
        <v>1051</v>
      </c>
      <c r="F817" t="s">
        <v>4042</v>
      </c>
      <c r="G817" t="s">
        <v>24</v>
      </c>
      <c r="H817" t="s">
        <v>26</v>
      </c>
      <c r="I817" t="s">
        <v>3167</v>
      </c>
      <c r="J817" t="s">
        <v>1055</v>
      </c>
      <c r="K817" t="s">
        <v>3199</v>
      </c>
      <c r="L817" t="s">
        <v>1055</v>
      </c>
      <c r="M817" t="s">
        <v>980</v>
      </c>
      <c r="N817" t="s">
        <v>1053</v>
      </c>
      <c r="O817" t="s">
        <v>1053</v>
      </c>
      <c r="P817" t="s">
        <v>1089</v>
      </c>
      <c r="Q817" t="s">
        <v>3169</v>
      </c>
      <c r="R817" t="s">
        <v>446</v>
      </c>
      <c r="S817" t="s">
        <v>2976</v>
      </c>
      <c r="T817" t="s">
        <v>1965</v>
      </c>
      <c r="U817" t="b">
        <v>0</v>
      </c>
      <c r="V817" t="s">
        <v>2160</v>
      </c>
    </row>
    <row r="818" spans="1:22" x14ac:dyDescent="0.25">
      <c r="A818" t="s">
        <v>42</v>
      </c>
      <c r="B818">
        <v>126</v>
      </c>
      <c r="C818" t="s">
        <v>979</v>
      </c>
      <c r="D818" t="s">
        <v>1429</v>
      </c>
      <c r="E818" t="s">
        <v>978</v>
      </c>
      <c r="F818">
        <v>9848</v>
      </c>
      <c r="G818" t="s">
        <v>24</v>
      </c>
      <c r="H818" t="s">
        <v>26</v>
      </c>
      <c r="I818" t="s">
        <v>3167</v>
      </c>
      <c r="J818" t="s">
        <v>984</v>
      </c>
      <c r="K818" t="s">
        <v>3168</v>
      </c>
      <c r="L818" t="s">
        <v>984</v>
      </c>
      <c r="M818" t="s">
        <v>980</v>
      </c>
      <c r="N818" t="s">
        <v>981</v>
      </c>
      <c r="O818" t="s">
        <v>981</v>
      </c>
      <c r="P818" t="s">
        <v>1089</v>
      </c>
      <c r="Q818" t="s">
        <v>3169</v>
      </c>
      <c r="R818" t="s">
        <v>2243</v>
      </c>
      <c r="S818" t="s">
        <v>4043</v>
      </c>
      <c r="T818" t="s">
        <v>3239</v>
      </c>
      <c r="U818" t="b">
        <v>0</v>
      </c>
      <c r="V818" t="s">
        <v>2242</v>
      </c>
    </row>
    <row r="819" spans="1:22" x14ac:dyDescent="0.25">
      <c r="A819" t="s">
        <v>42</v>
      </c>
      <c r="B819">
        <v>126</v>
      </c>
      <c r="C819" t="s">
        <v>987</v>
      </c>
      <c r="D819" t="s">
        <v>1431</v>
      </c>
      <c r="E819" t="s">
        <v>986</v>
      </c>
      <c r="F819">
        <v>9706</v>
      </c>
      <c r="G819" t="s">
        <v>24</v>
      </c>
      <c r="H819" t="s">
        <v>26</v>
      </c>
      <c r="I819" t="s">
        <v>3167</v>
      </c>
      <c r="J819" t="s">
        <v>990</v>
      </c>
      <c r="K819" t="s">
        <v>3171</v>
      </c>
      <c r="L819" t="s">
        <v>990</v>
      </c>
      <c r="M819" t="s">
        <v>980</v>
      </c>
      <c r="N819" t="s">
        <v>988</v>
      </c>
      <c r="O819" t="s">
        <v>988</v>
      </c>
      <c r="P819" t="s">
        <v>1089</v>
      </c>
      <c r="Q819" t="s">
        <v>3169</v>
      </c>
      <c r="R819" t="s">
        <v>2243</v>
      </c>
      <c r="S819" t="s">
        <v>4043</v>
      </c>
      <c r="T819" t="s">
        <v>3239</v>
      </c>
      <c r="U819" t="b">
        <v>0</v>
      </c>
      <c r="V819" t="s">
        <v>2242</v>
      </c>
    </row>
    <row r="820" spans="1:22" x14ac:dyDescent="0.25">
      <c r="A820" t="s">
        <v>42</v>
      </c>
      <c r="B820">
        <v>126</v>
      </c>
      <c r="C820" t="s">
        <v>993</v>
      </c>
      <c r="D820" t="s">
        <v>1433</v>
      </c>
      <c r="E820" t="s">
        <v>992</v>
      </c>
      <c r="F820">
        <v>8860</v>
      </c>
      <c r="G820" t="s">
        <v>24</v>
      </c>
      <c r="H820" t="s">
        <v>26</v>
      </c>
      <c r="I820" t="s">
        <v>3167</v>
      </c>
      <c r="J820" t="s">
        <v>996</v>
      </c>
      <c r="K820" t="s">
        <v>3173</v>
      </c>
      <c r="L820" t="s">
        <v>996</v>
      </c>
      <c r="M820" t="s">
        <v>980</v>
      </c>
      <c r="N820" t="s">
        <v>994</v>
      </c>
      <c r="O820" t="s">
        <v>994</v>
      </c>
      <c r="P820" t="s">
        <v>1089</v>
      </c>
      <c r="Q820" t="s">
        <v>3169</v>
      </c>
      <c r="R820" t="s">
        <v>2243</v>
      </c>
      <c r="S820" t="s">
        <v>4043</v>
      </c>
      <c r="T820" t="s">
        <v>3239</v>
      </c>
      <c r="U820" t="b">
        <v>0</v>
      </c>
      <c r="V820" t="s">
        <v>2242</v>
      </c>
    </row>
    <row r="821" spans="1:22" x14ac:dyDescent="0.25">
      <c r="A821" t="s">
        <v>42</v>
      </c>
      <c r="B821">
        <v>126</v>
      </c>
      <c r="C821" t="s">
        <v>999</v>
      </c>
      <c r="D821" t="s">
        <v>1435</v>
      </c>
      <c r="E821" t="s">
        <v>998</v>
      </c>
      <c r="F821">
        <v>9236</v>
      </c>
      <c r="G821" t="s">
        <v>24</v>
      </c>
      <c r="H821" t="s">
        <v>26</v>
      </c>
      <c r="I821" t="s">
        <v>3167</v>
      </c>
      <c r="J821" t="s">
        <v>1003</v>
      </c>
      <c r="K821" t="s">
        <v>3175</v>
      </c>
      <c r="L821" t="s">
        <v>1003</v>
      </c>
      <c r="M821" t="s">
        <v>1000</v>
      </c>
      <c r="N821" t="s">
        <v>1001</v>
      </c>
      <c r="O821" t="s">
        <v>1001</v>
      </c>
      <c r="P821" t="s">
        <v>1089</v>
      </c>
      <c r="Q821" t="s">
        <v>3169</v>
      </c>
      <c r="R821" t="s">
        <v>2243</v>
      </c>
      <c r="S821" t="s">
        <v>4043</v>
      </c>
      <c r="T821" t="s">
        <v>3239</v>
      </c>
      <c r="U821" t="b">
        <v>0</v>
      </c>
      <c r="V821" t="s">
        <v>2242</v>
      </c>
    </row>
    <row r="822" spans="1:22" x14ac:dyDescent="0.25">
      <c r="A822" t="s">
        <v>42</v>
      </c>
      <c r="B822">
        <v>126</v>
      </c>
      <c r="C822" t="s">
        <v>1005</v>
      </c>
      <c r="D822" t="s">
        <v>2715</v>
      </c>
      <c r="E822" t="s">
        <v>982</v>
      </c>
      <c r="F822" t="s">
        <v>4044</v>
      </c>
      <c r="G822" t="s">
        <v>24</v>
      </c>
      <c r="H822" t="s">
        <v>26</v>
      </c>
      <c r="I822" t="s">
        <v>3167</v>
      </c>
      <c r="J822" t="s">
        <v>1003</v>
      </c>
      <c r="K822" t="s">
        <v>3175</v>
      </c>
      <c r="L822" t="s">
        <v>1003</v>
      </c>
      <c r="M822" t="s">
        <v>1000</v>
      </c>
      <c r="N822" t="s">
        <v>1001</v>
      </c>
      <c r="O822" t="s">
        <v>1001</v>
      </c>
      <c r="P822" t="s">
        <v>1089</v>
      </c>
      <c r="Q822" t="s">
        <v>3169</v>
      </c>
      <c r="R822" t="s">
        <v>2243</v>
      </c>
      <c r="S822" t="s">
        <v>4043</v>
      </c>
      <c r="T822" t="s">
        <v>1965</v>
      </c>
      <c r="U822" t="b">
        <v>0</v>
      </c>
      <c r="V822" t="s">
        <v>2717</v>
      </c>
    </row>
    <row r="823" spans="1:22" x14ac:dyDescent="0.25">
      <c r="A823" t="s">
        <v>42</v>
      </c>
      <c r="B823">
        <v>126</v>
      </c>
      <c r="C823" t="s">
        <v>1007</v>
      </c>
      <c r="D823" t="s">
        <v>1437</v>
      </c>
      <c r="E823" t="s">
        <v>1006</v>
      </c>
      <c r="F823">
        <v>9306</v>
      </c>
      <c r="G823" t="s">
        <v>24</v>
      </c>
      <c r="H823" t="s">
        <v>26</v>
      </c>
      <c r="I823" t="s">
        <v>3167</v>
      </c>
      <c r="J823" t="s">
        <v>1967</v>
      </c>
      <c r="K823" t="s">
        <v>3227</v>
      </c>
      <c r="L823" t="s">
        <v>1967</v>
      </c>
      <c r="M823" t="s">
        <v>980</v>
      </c>
      <c r="N823" t="s">
        <v>1009</v>
      </c>
      <c r="O823" t="s">
        <v>1009</v>
      </c>
      <c r="P823" t="s">
        <v>1089</v>
      </c>
      <c r="Q823" t="s">
        <v>3169</v>
      </c>
      <c r="R823" t="s">
        <v>2243</v>
      </c>
      <c r="S823" t="s">
        <v>4043</v>
      </c>
      <c r="T823" t="s">
        <v>3239</v>
      </c>
      <c r="U823" t="b">
        <v>0</v>
      </c>
      <c r="V823" t="s">
        <v>2242</v>
      </c>
    </row>
    <row r="824" spans="1:22" x14ac:dyDescent="0.25">
      <c r="A824" t="s">
        <v>42</v>
      </c>
      <c r="B824">
        <v>126</v>
      </c>
      <c r="C824" t="s">
        <v>1014</v>
      </c>
      <c r="D824" t="s">
        <v>1439</v>
      </c>
      <c r="E824" t="s">
        <v>1013</v>
      </c>
      <c r="F824">
        <v>9508</v>
      </c>
      <c r="G824" t="s">
        <v>24</v>
      </c>
      <c r="H824" t="s">
        <v>26</v>
      </c>
      <c r="I824" t="s">
        <v>3167</v>
      </c>
      <c r="J824" t="s">
        <v>1016</v>
      </c>
      <c r="K824" t="s">
        <v>3181</v>
      </c>
      <c r="L824" t="s">
        <v>1016</v>
      </c>
      <c r="M824" t="s">
        <v>980</v>
      </c>
      <c r="N824" t="s">
        <v>1015</v>
      </c>
      <c r="O824" t="s">
        <v>1015</v>
      </c>
      <c r="P824" t="s">
        <v>1089</v>
      </c>
      <c r="Q824" t="s">
        <v>3169</v>
      </c>
      <c r="R824" t="s">
        <v>2243</v>
      </c>
      <c r="S824" t="s">
        <v>4043</v>
      </c>
      <c r="T824" t="s">
        <v>3239</v>
      </c>
      <c r="U824" t="b">
        <v>0</v>
      </c>
      <c r="V824" t="s">
        <v>2242</v>
      </c>
    </row>
    <row r="825" spans="1:22" x14ac:dyDescent="0.25">
      <c r="A825" t="s">
        <v>42</v>
      </c>
      <c r="B825">
        <v>126</v>
      </c>
      <c r="C825" t="s">
        <v>1019</v>
      </c>
      <c r="D825" t="s">
        <v>1441</v>
      </c>
      <c r="E825" t="s">
        <v>1018</v>
      </c>
      <c r="F825">
        <v>9864</v>
      </c>
      <c r="G825" t="s">
        <v>24</v>
      </c>
      <c r="H825" t="s">
        <v>26</v>
      </c>
      <c r="I825" t="s">
        <v>3167</v>
      </c>
      <c r="J825" t="s">
        <v>1021</v>
      </c>
      <c r="K825" t="s">
        <v>3183</v>
      </c>
      <c r="L825" t="s">
        <v>1021</v>
      </c>
      <c r="M825" t="s">
        <v>980</v>
      </c>
      <c r="N825" t="s">
        <v>1020</v>
      </c>
      <c r="O825" t="s">
        <v>1020</v>
      </c>
      <c r="P825" t="s">
        <v>1089</v>
      </c>
      <c r="Q825" t="s">
        <v>3169</v>
      </c>
      <c r="R825" t="s">
        <v>2243</v>
      </c>
      <c r="S825" t="s">
        <v>4043</v>
      </c>
      <c r="T825" t="s">
        <v>3239</v>
      </c>
      <c r="U825" t="b">
        <v>0</v>
      </c>
      <c r="V825" t="s">
        <v>2242</v>
      </c>
    </row>
    <row r="826" spans="1:22" x14ac:dyDescent="0.25">
      <c r="A826" t="s">
        <v>42</v>
      </c>
      <c r="B826">
        <v>126</v>
      </c>
      <c r="C826" t="s">
        <v>1024</v>
      </c>
      <c r="D826" t="s">
        <v>1443</v>
      </c>
      <c r="E826" t="s">
        <v>1023</v>
      </c>
      <c r="F826">
        <v>10303</v>
      </c>
      <c r="G826" t="s">
        <v>24</v>
      </c>
      <c r="H826" t="s">
        <v>26</v>
      </c>
      <c r="I826" t="s">
        <v>3167</v>
      </c>
      <c r="J826" t="s">
        <v>1026</v>
      </c>
      <c r="K826" t="s">
        <v>3185</v>
      </c>
      <c r="L826" t="s">
        <v>1026</v>
      </c>
      <c r="M826" t="s">
        <v>1000</v>
      </c>
      <c r="N826" t="s">
        <v>1025</v>
      </c>
      <c r="O826" t="s">
        <v>1025</v>
      </c>
      <c r="P826" t="s">
        <v>1089</v>
      </c>
      <c r="Q826" t="s">
        <v>3169</v>
      </c>
      <c r="R826" t="s">
        <v>2243</v>
      </c>
      <c r="S826" t="s">
        <v>4043</v>
      </c>
      <c r="T826" t="s">
        <v>3239</v>
      </c>
      <c r="U826" t="b">
        <v>0</v>
      </c>
      <c r="V826" t="s">
        <v>2242</v>
      </c>
    </row>
    <row r="827" spans="1:22" x14ac:dyDescent="0.25">
      <c r="A827" t="s">
        <v>42</v>
      </c>
      <c r="B827">
        <v>126</v>
      </c>
      <c r="C827" t="s">
        <v>1028</v>
      </c>
      <c r="D827" t="s">
        <v>2718</v>
      </c>
      <c r="E827" t="s">
        <v>1010</v>
      </c>
      <c r="F827" t="s">
        <v>4045</v>
      </c>
      <c r="G827" t="s">
        <v>24</v>
      </c>
      <c r="H827" t="s">
        <v>26</v>
      </c>
      <c r="I827" t="s">
        <v>3167</v>
      </c>
      <c r="J827" t="s">
        <v>1026</v>
      </c>
      <c r="K827" t="s">
        <v>3185</v>
      </c>
      <c r="L827" t="s">
        <v>1026</v>
      </c>
      <c r="M827" t="s">
        <v>1000</v>
      </c>
      <c r="N827" t="s">
        <v>1025</v>
      </c>
      <c r="O827" t="s">
        <v>1025</v>
      </c>
      <c r="P827" t="s">
        <v>1089</v>
      </c>
      <c r="Q827" t="s">
        <v>3169</v>
      </c>
      <c r="R827" t="s">
        <v>2243</v>
      </c>
      <c r="S827" t="s">
        <v>4043</v>
      </c>
      <c r="T827" t="s">
        <v>1965</v>
      </c>
      <c r="U827" t="b">
        <v>0</v>
      </c>
      <c r="V827" t="s">
        <v>2717</v>
      </c>
    </row>
    <row r="828" spans="1:22" x14ac:dyDescent="0.25">
      <c r="A828" t="s">
        <v>42</v>
      </c>
      <c r="B828">
        <v>126</v>
      </c>
      <c r="C828" t="s">
        <v>1030</v>
      </c>
      <c r="D828" t="s">
        <v>1445</v>
      </c>
      <c r="E828" t="s">
        <v>1029</v>
      </c>
      <c r="F828">
        <v>10431</v>
      </c>
      <c r="G828" t="s">
        <v>24</v>
      </c>
      <c r="H828" t="s">
        <v>26</v>
      </c>
      <c r="I828" t="s">
        <v>3167</v>
      </c>
      <c r="J828" t="s">
        <v>1033</v>
      </c>
      <c r="K828" t="s">
        <v>3189</v>
      </c>
      <c r="L828" t="s">
        <v>1033</v>
      </c>
      <c r="M828" t="s">
        <v>980</v>
      </c>
      <c r="N828" t="s">
        <v>1031</v>
      </c>
      <c r="O828" t="s">
        <v>1031</v>
      </c>
      <c r="P828" t="s">
        <v>1089</v>
      </c>
      <c r="Q828" t="s">
        <v>3169</v>
      </c>
      <c r="R828" t="s">
        <v>2243</v>
      </c>
      <c r="S828" t="s">
        <v>4043</v>
      </c>
      <c r="T828" t="s">
        <v>3239</v>
      </c>
      <c r="U828" t="b">
        <v>0</v>
      </c>
      <c r="V828" t="s">
        <v>2242</v>
      </c>
    </row>
    <row r="829" spans="1:22" x14ac:dyDescent="0.25">
      <c r="A829" t="s">
        <v>42</v>
      </c>
      <c r="B829">
        <v>126</v>
      </c>
      <c r="C829" t="s">
        <v>1036</v>
      </c>
      <c r="D829" t="s">
        <v>1447</v>
      </c>
      <c r="E829" t="s">
        <v>1035</v>
      </c>
      <c r="F829">
        <v>10784</v>
      </c>
      <c r="G829" t="s">
        <v>24</v>
      </c>
      <c r="H829" t="s">
        <v>26</v>
      </c>
      <c r="I829" t="s">
        <v>3167</v>
      </c>
      <c r="J829" t="s">
        <v>1038</v>
      </c>
      <c r="K829" t="s">
        <v>3191</v>
      </c>
      <c r="L829" t="s">
        <v>1038</v>
      </c>
      <c r="M829" t="s">
        <v>980</v>
      </c>
      <c r="N829" t="s">
        <v>1037</v>
      </c>
      <c r="O829" t="s">
        <v>1037</v>
      </c>
      <c r="P829" t="s">
        <v>1089</v>
      </c>
      <c r="Q829" t="s">
        <v>3169</v>
      </c>
      <c r="R829" t="s">
        <v>2243</v>
      </c>
      <c r="S829" t="s">
        <v>4043</v>
      </c>
      <c r="T829" t="s">
        <v>3239</v>
      </c>
      <c r="U829" t="b">
        <v>0</v>
      </c>
      <c r="V829" t="s">
        <v>2242</v>
      </c>
    </row>
    <row r="830" spans="1:22" x14ac:dyDescent="0.25">
      <c r="A830" t="s">
        <v>42</v>
      </c>
      <c r="B830">
        <v>126</v>
      </c>
      <c r="C830" t="s">
        <v>1041</v>
      </c>
      <c r="D830" t="s">
        <v>1449</v>
      </c>
      <c r="E830" t="s">
        <v>1040</v>
      </c>
      <c r="F830">
        <v>10902</v>
      </c>
      <c r="G830" t="s">
        <v>24</v>
      </c>
      <c r="H830" t="s">
        <v>26</v>
      </c>
      <c r="I830" t="s">
        <v>3167</v>
      </c>
      <c r="J830" t="s">
        <v>1043</v>
      </c>
      <c r="K830" t="s">
        <v>3193</v>
      </c>
      <c r="L830" t="s">
        <v>1043</v>
      </c>
      <c r="M830" t="s">
        <v>980</v>
      </c>
      <c r="N830" t="s">
        <v>1042</v>
      </c>
      <c r="O830" t="s">
        <v>1042</v>
      </c>
      <c r="P830" t="s">
        <v>1089</v>
      </c>
      <c r="Q830" t="s">
        <v>3169</v>
      </c>
      <c r="R830" t="s">
        <v>2243</v>
      </c>
      <c r="S830" t="s">
        <v>4043</v>
      </c>
      <c r="T830" t="s">
        <v>3239</v>
      </c>
      <c r="U830" t="b">
        <v>0</v>
      </c>
      <c r="V830" t="s">
        <v>2242</v>
      </c>
    </row>
    <row r="831" spans="1:22" x14ac:dyDescent="0.25">
      <c r="A831" t="s">
        <v>42</v>
      </c>
      <c r="B831">
        <v>126</v>
      </c>
      <c r="C831" t="s">
        <v>1046</v>
      </c>
      <c r="D831" t="s">
        <v>1451</v>
      </c>
      <c r="E831" t="s">
        <v>1045</v>
      </c>
      <c r="F831">
        <v>9613</v>
      </c>
      <c r="G831" t="s">
        <v>24</v>
      </c>
      <c r="H831" t="s">
        <v>26</v>
      </c>
      <c r="I831" t="s">
        <v>3167</v>
      </c>
      <c r="J831" t="s">
        <v>1048</v>
      </c>
      <c r="K831" t="s">
        <v>3195</v>
      </c>
      <c r="L831" t="s">
        <v>1048</v>
      </c>
      <c r="M831" t="s">
        <v>1000</v>
      </c>
      <c r="N831" t="s">
        <v>1047</v>
      </c>
      <c r="O831" t="s">
        <v>1047</v>
      </c>
      <c r="P831" t="s">
        <v>1089</v>
      </c>
      <c r="Q831" t="s">
        <v>3169</v>
      </c>
      <c r="R831" t="s">
        <v>2243</v>
      </c>
      <c r="S831" t="s">
        <v>4043</v>
      </c>
      <c r="T831" t="s">
        <v>3239</v>
      </c>
      <c r="U831" t="b">
        <v>0</v>
      </c>
      <c r="V831" t="s">
        <v>2242</v>
      </c>
    </row>
    <row r="832" spans="1:22" x14ac:dyDescent="0.25">
      <c r="A832" t="s">
        <v>42</v>
      </c>
      <c r="B832">
        <v>126</v>
      </c>
      <c r="C832" t="s">
        <v>1050</v>
      </c>
      <c r="D832" t="s">
        <v>2720</v>
      </c>
      <c r="E832" t="s">
        <v>1032</v>
      </c>
      <c r="F832" t="s">
        <v>4046</v>
      </c>
      <c r="G832" t="s">
        <v>24</v>
      </c>
      <c r="H832" t="s">
        <v>26</v>
      </c>
      <c r="I832" t="s">
        <v>3167</v>
      </c>
      <c r="J832" t="s">
        <v>1048</v>
      </c>
      <c r="K832" t="s">
        <v>3195</v>
      </c>
      <c r="L832" t="s">
        <v>1048</v>
      </c>
      <c r="M832" t="s">
        <v>1000</v>
      </c>
      <c r="N832" t="s">
        <v>1047</v>
      </c>
      <c r="O832" t="s">
        <v>1047</v>
      </c>
      <c r="P832" t="s">
        <v>1089</v>
      </c>
      <c r="Q832" t="s">
        <v>3169</v>
      </c>
      <c r="R832" t="s">
        <v>2243</v>
      </c>
      <c r="S832" t="s">
        <v>4043</v>
      </c>
      <c r="T832" t="s">
        <v>1965</v>
      </c>
      <c r="U832" t="b">
        <v>0</v>
      </c>
      <c r="V832" t="s">
        <v>2717</v>
      </c>
    </row>
    <row r="833" spans="1:22" x14ac:dyDescent="0.25">
      <c r="A833" t="s">
        <v>42</v>
      </c>
      <c r="B833">
        <v>126</v>
      </c>
      <c r="C833" t="s">
        <v>1052</v>
      </c>
      <c r="D833" t="s">
        <v>1453</v>
      </c>
      <c r="E833" t="s">
        <v>1051</v>
      </c>
      <c r="F833">
        <v>9522</v>
      </c>
      <c r="G833" t="s">
        <v>24</v>
      </c>
      <c r="H833" t="s">
        <v>26</v>
      </c>
      <c r="I833" t="s">
        <v>3167</v>
      </c>
      <c r="J833" t="s">
        <v>1055</v>
      </c>
      <c r="K833" t="s">
        <v>3199</v>
      </c>
      <c r="L833" t="s">
        <v>1055</v>
      </c>
      <c r="M833" t="s">
        <v>980</v>
      </c>
      <c r="N833" t="s">
        <v>1053</v>
      </c>
      <c r="O833" t="s">
        <v>1053</v>
      </c>
      <c r="P833" t="s">
        <v>1089</v>
      </c>
      <c r="Q833" t="s">
        <v>3169</v>
      </c>
      <c r="R833" t="s">
        <v>2243</v>
      </c>
      <c r="S833" t="s">
        <v>4043</v>
      </c>
      <c r="T833" t="s">
        <v>3239</v>
      </c>
      <c r="U833" t="b">
        <v>0</v>
      </c>
      <c r="V833" t="s">
        <v>2242</v>
      </c>
    </row>
    <row r="834" spans="1:22" x14ac:dyDescent="0.25">
      <c r="A834" t="s">
        <v>42</v>
      </c>
      <c r="B834">
        <v>127</v>
      </c>
      <c r="C834" t="s">
        <v>979</v>
      </c>
      <c r="D834" t="s">
        <v>1455</v>
      </c>
      <c r="E834" t="s">
        <v>978</v>
      </c>
      <c r="F834">
        <v>0</v>
      </c>
      <c r="G834" t="s">
        <v>24</v>
      </c>
      <c r="H834" t="s">
        <v>26</v>
      </c>
      <c r="I834" t="s">
        <v>3167</v>
      </c>
      <c r="J834" t="s">
        <v>984</v>
      </c>
      <c r="K834" t="s">
        <v>3168</v>
      </c>
      <c r="L834" t="s">
        <v>984</v>
      </c>
      <c r="M834" t="s">
        <v>980</v>
      </c>
      <c r="N834" t="s">
        <v>981</v>
      </c>
      <c r="O834" t="s">
        <v>981</v>
      </c>
      <c r="P834" t="s">
        <v>1089</v>
      </c>
      <c r="Q834" t="s">
        <v>3169</v>
      </c>
      <c r="R834" t="s">
        <v>2257</v>
      </c>
      <c r="S834" t="s">
        <v>2257</v>
      </c>
      <c r="T834" t="s">
        <v>3271</v>
      </c>
      <c r="U834" t="b">
        <v>0</v>
      </c>
      <c r="V834" t="s">
        <v>1950</v>
      </c>
    </row>
    <row r="835" spans="1:22" x14ac:dyDescent="0.25">
      <c r="A835" t="s">
        <v>42</v>
      </c>
      <c r="B835">
        <v>127</v>
      </c>
      <c r="C835" t="s">
        <v>987</v>
      </c>
      <c r="D835" t="s">
        <v>1456</v>
      </c>
      <c r="E835" t="s">
        <v>986</v>
      </c>
      <c r="F835">
        <v>0</v>
      </c>
      <c r="G835" t="s">
        <v>24</v>
      </c>
      <c r="H835" t="s">
        <v>26</v>
      </c>
      <c r="I835" t="s">
        <v>3167</v>
      </c>
      <c r="J835" t="s">
        <v>990</v>
      </c>
      <c r="K835" t="s">
        <v>3171</v>
      </c>
      <c r="L835" t="s">
        <v>990</v>
      </c>
      <c r="M835" t="s">
        <v>980</v>
      </c>
      <c r="N835" t="s">
        <v>988</v>
      </c>
      <c r="O835" t="s">
        <v>988</v>
      </c>
      <c r="P835" t="s">
        <v>1089</v>
      </c>
      <c r="Q835" t="s">
        <v>3169</v>
      </c>
      <c r="R835" t="s">
        <v>2257</v>
      </c>
      <c r="S835" t="s">
        <v>2257</v>
      </c>
      <c r="T835" t="s">
        <v>3271</v>
      </c>
      <c r="U835" t="b">
        <v>0</v>
      </c>
      <c r="V835" t="s">
        <v>1950</v>
      </c>
    </row>
    <row r="836" spans="1:22" x14ac:dyDescent="0.25">
      <c r="A836" t="s">
        <v>42</v>
      </c>
      <c r="B836">
        <v>127</v>
      </c>
      <c r="C836" t="s">
        <v>993</v>
      </c>
      <c r="D836" t="s">
        <v>1457</v>
      </c>
      <c r="E836" t="s">
        <v>992</v>
      </c>
      <c r="F836">
        <v>0</v>
      </c>
      <c r="G836" t="s">
        <v>24</v>
      </c>
      <c r="H836" t="s">
        <v>26</v>
      </c>
      <c r="I836" t="s">
        <v>3167</v>
      </c>
      <c r="J836" t="s">
        <v>996</v>
      </c>
      <c r="K836" t="s">
        <v>3173</v>
      </c>
      <c r="L836" t="s">
        <v>996</v>
      </c>
      <c r="M836" t="s">
        <v>980</v>
      </c>
      <c r="N836" t="s">
        <v>994</v>
      </c>
      <c r="O836" t="s">
        <v>994</v>
      </c>
      <c r="P836" t="s">
        <v>1089</v>
      </c>
      <c r="Q836" t="s">
        <v>3169</v>
      </c>
      <c r="R836" t="s">
        <v>2257</v>
      </c>
      <c r="S836" t="s">
        <v>2257</v>
      </c>
      <c r="T836" t="s">
        <v>3271</v>
      </c>
      <c r="U836" t="b">
        <v>0</v>
      </c>
      <c r="V836" t="s">
        <v>1950</v>
      </c>
    </row>
    <row r="837" spans="1:22" x14ac:dyDescent="0.25">
      <c r="A837" t="s">
        <v>42</v>
      </c>
      <c r="B837">
        <v>127</v>
      </c>
      <c r="C837" t="s">
        <v>999</v>
      </c>
      <c r="D837" t="s">
        <v>1458</v>
      </c>
      <c r="E837" t="s">
        <v>998</v>
      </c>
      <c r="F837">
        <v>355</v>
      </c>
      <c r="G837" t="s">
        <v>24</v>
      </c>
      <c r="H837" t="s">
        <v>26</v>
      </c>
      <c r="I837" t="s">
        <v>3167</v>
      </c>
      <c r="J837" t="s">
        <v>1003</v>
      </c>
      <c r="K837" t="s">
        <v>3175</v>
      </c>
      <c r="L837" t="s">
        <v>1003</v>
      </c>
      <c r="M837" t="s">
        <v>1000</v>
      </c>
      <c r="N837" t="s">
        <v>1001</v>
      </c>
      <c r="O837" t="s">
        <v>1001</v>
      </c>
      <c r="P837" t="s">
        <v>1089</v>
      </c>
      <c r="Q837" t="s">
        <v>3169</v>
      </c>
      <c r="R837" t="s">
        <v>2261</v>
      </c>
      <c r="S837" t="s">
        <v>2257</v>
      </c>
      <c r="T837" t="s">
        <v>3239</v>
      </c>
      <c r="U837" t="b">
        <v>0</v>
      </c>
      <c r="V837" t="s">
        <v>2260</v>
      </c>
    </row>
    <row r="838" spans="1:22" x14ac:dyDescent="0.25">
      <c r="A838" t="s">
        <v>42</v>
      </c>
      <c r="B838">
        <v>127</v>
      </c>
      <c r="C838" t="s">
        <v>1005</v>
      </c>
      <c r="D838" t="s">
        <v>2722</v>
      </c>
      <c r="E838" t="s">
        <v>982</v>
      </c>
      <c r="F838" t="s">
        <v>4047</v>
      </c>
      <c r="G838" t="s">
        <v>24</v>
      </c>
      <c r="H838" t="s">
        <v>26</v>
      </c>
      <c r="I838" t="s">
        <v>3167</v>
      </c>
      <c r="J838" t="s">
        <v>1003</v>
      </c>
      <c r="K838" t="s">
        <v>3175</v>
      </c>
      <c r="L838" t="s">
        <v>1003</v>
      </c>
      <c r="M838" t="s">
        <v>1000</v>
      </c>
      <c r="N838" t="s">
        <v>1001</v>
      </c>
      <c r="O838" t="s">
        <v>1001</v>
      </c>
      <c r="P838" t="s">
        <v>1089</v>
      </c>
      <c r="Q838" t="s">
        <v>3169</v>
      </c>
      <c r="R838" t="s">
        <v>2261</v>
      </c>
      <c r="S838" t="s">
        <v>2257</v>
      </c>
      <c r="T838" t="s">
        <v>1965</v>
      </c>
      <c r="U838" t="b">
        <v>0</v>
      </c>
      <c r="V838" t="s">
        <v>2724</v>
      </c>
    </row>
    <row r="839" spans="1:22" x14ac:dyDescent="0.25">
      <c r="A839" t="s">
        <v>42</v>
      </c>
      <c r="B839">
        <v>127</v>
      </c>
      <c r="C839" t="s">
        <v>1007</v>
      </c>
      <c r="D839" t="s">
        <v>1459</v>
      </c>
      <c r="E839" t="s">
        <v>1006</v>
      </c>
      <c r="F839">
        <v>0</v>
      </c>
      <c r="G839" t="s">
        <v>24</v>
      </c>
      <c r="H839" t="s">
        <v>26</v>
      </c>
      <c r="I839" t="s">
        <v>3167</v>
      </c>
      <c r="J839" t="s">
        <v>1011</v>
      </c>
      <c r="K839" t="s">
        <v>3179</v>
      </c>
      <c r="L839" t="s">
        <v>1011</v>
      </c>
      <c r="M839" t="s">
        <v>1008</v>
      </c>
      <c r="N839" t="s">
        <v>1009</v>
      </c>
      <c r="O839" t="s">
        <v>1009</v>
      </c>
      <c r="P839" t="s">
        <v>1089</v>
      </c>
      <c r="Q839" t="s">
        <v>3169</v>
      </c>
      <c r="R839" t="s">
        <v>2257</v>
      </c>
      <c r="S839" t="s">
        <v>2257</v>
      </c>
      <c r="T839" t="s">
        <v>3271</v>
      </c>
      <c r="U839" t="b">
        <v>0</v>
      </c>
      <c r="V839" t="s">
        <v>1950</v>
      </c>
    </row>
    <row r="840" spans="1:22" x14ac:dyDescent="0.25">
      <c r="A840" t="s">
        <v>42</v>
      </c>
      <c r="B840">
        <v>127</v>
      </c>
      <c r="C840" t="s">
        <v>1014</v>
      </c>
      <c r="D840" t="s">
        <v>1460</v>
      </c>
      <c r="E840" t="s">
        <v>1013</v>
      </c>
      <c r="F840">
        <v>0</v>
      </c>
      <c r="G840" t="s">
        <v>24</v>
      </c>
      <c r="H840" t="s">
        <v>26</v>
      </c>
      <c r="I840" t="s">
        <v>3167</v>
      </c>
      <c r="J840" t="s">
        <v>1016</v>
      </c>
      <c r="K840" t="s">
        <v>3181</v>
      </c>
      <c r="L840" t="s">
        <v>1016</v>
      </c>
      <c r="M840" t="s">
        <v>980</v>
      </c>
      <c r="N840" t="s">
        <v>1015</v>
      </c>
      <c r="O840" t="s">
        <v>1015</v>
      </c>
      <c r="P840" t="s">
        <v>1089</v>
      </c>
      <c r="Q840" t="s">
        <v>3169</v>
      </c>
      <c r="R840" t="s">
        <v>2257</v>
      </c>
      <c r="S840" t="s">
        <v>2257</v>
      </c>
      <c r="T840" t="s">
        <v>3271</v>
      </c>
      <c r="U840" t="b">
        <v>0</v>
      </c>
      <c r="V840" t="s">
        <v>1950</v>
      </c>
    </row>
    <row r="841" spans="1:22" x14ac:dyDescent="0.25">
      <c r="A841" t="s">
        <v>42</v>
      </c>
      <c r="B841">
        <v>127</v>
      </c>
      <c r="C841" t="s">
        <v>1019</v>
      </c>
      <c r="D841" t="s">
        <v>1461</v>
      </c>
      <c r="E841" t="s">
        <v>1018</v>
      </c>
      <c r="F841">
        <v>0</v>
      </c>
      <c r="G841" t="s">
        <v>24</v>
      </c>
      <c r="H841" t="s">
        <v>26</v>
      </c>
      <c r="I841" t="s">
        <v>3167</v>
      </c>
      <c r="J841" t="s">
        <v>1021</v>
      </c>
      <c r="K841" t="s">
        <v>3183</v>
      </c>
      <c r="L841" t="s">
        <v>1021</v>
      </c>
      <c r="M841" t="s">
        <v>980</v>
      </c>
      <c r="N841" t="s">
        <v>1020</v>
      </c>
      <c r="O841" t="s">
        <v>1020</v>
      </c>
      <c r="P841" t="s">
        <v>1089</v>
      </c>
      <c r="Q841" t="s">
        <v>3169</v>
      </c>
      <c r="R841" t="s">
        <v>2257</v>
      </c>
      <c r="S841" t="s">
        <v>2257</v>
      </c>
      <c r="T841" t="s">
        <v>3271</v>
      </c>
      <c r="U841" t="b">
        <v>0</v>
      </c>
      <c r="V841" t="s">
        <v>1950</v>
      </c>
    </row>
    <row r="842" spans="1:22" x14ac:dyDescent="0.25">
      <c r="A842" t="s">
        <v>42</v>
      </c>
      <c r="B842">
        <v>127</v>
      </c>
      <c r="C842" t="s">
        <v>1024</v>
      </c>
      <c r="D842" t="s">
        <v>1462</v>
      </c>
      <c r="E842" t="s">
        <v>1023</v>
      </c>
      <c r="F842">
        <v>0</v>
      </c>
      <c r="G842" t="s">
        <v>24</v>
      </c>
      <c r="H842" t="s">
        <v>26</v>
      </c>
      <c r="I842" t="s">
        <v>3167</v>
      </c>
      <c r="J842" t="s">
        <v>1026</v>
      </c>
      <c r="K842" t="s">
        <v>3185</v>
      </c>
      <c r="L842" t="s">
        <v>1026</v>
      </c>
      <c r="M842" t="s">
        <v>1000</v>
      </c>
      <c r="N842" t="s">
        <v>1025</v>
      </c>
      <c r="O842" t="s">
        <v>1025</v>
      </c>
      <c r="P842" t="s">
        <v>1089</v>
      </c>
      <c r="Q842" t="s">
        <v>3169</v>
      </c>
      <c r="R842" t="s">
        <v>2257</v>
      </c>
      <c r="S842" t="s">
        <v>2257</v>
      </c>
      <c r="T842" t="s">
        <v>3271</v>
      </c>
      <c r="U842" t="b">
        <v>0</v>
      </c>
      <c r="V842" t="s">
        <v>1950</v>
      </c>
    </row>
    <row r="843" spans="1:22" x14ac:dyDescent="0.25">
      <c r="A843" t="s">
        <v>42</v>
      </c>
      <c r="B843">
        <v>127</v>
      </c>
      <c r="C843" t="s">
        <v>1028</v>
      </c>
      <c r="D843" t="s">
        <v>2725</v>
      </c>
      <c r="E843" t="s">
        <v>1010</v>
      </c>
      <c r="F843" t="s">
        <v>3218</v>
      </c>
      <c r="G843" t="s">
        <v>24</v>
      </c>
      <c r="H843" t="s">
        <v>26</v>
      </c>
      <c r="I843" t="s">
        <v>3167</v>
      </c>
      <c r="J843" t="s">
        <v>1026</v>
      </c>
      <c r="K843" t="s">
        <v>3185</v>
      </c>
      <c r="L843" t="s">
        <v>1026</v>
      </c>
      <c r="M843" t="s">
        <v>1000</v>
      </c>
      <c r="N843" t="s">
        <v>1025</v>
      </c>
      <c r="O843" t="s">
        <v>1025</v>
      </c>
      <c r="P843" t="s">
        <v>1089</v>
      </c>
      <c r="Q843" t="s">
        <v>3169</v>
      </c>
      <c r="R843" t="s">
        <v>2257</v>
      </c>
      <c r="S843" t="s">
        <v>2257</v>
      </c>
      <c r="T843" t="s">
        <v>1965</v>
      </c>
      <c r="U843" t="b">
        <v>0</v>
      </c>
      <c r="V843" t="s">
        <v>2710</v>
      </c>
    </row>
    <row r="844" spans="1:22" x14ac:dyDescent="0.25">
      <c r="A844" t="s">
        <v>42</v>
      </c>
      <c r="B844">
        <v>127</v>
      </c>
      <c r="C844" t="s">
        <v>1030</v>
      </c>
      <c r="D844" t="s">
        <v>1463</v>
      </c>
      <c r="E844" t="s">
        <v>1029</v>
      </c>
      <c r="F844">
        <v>0</v>
      </c>
      <c r="G844" t="s">
        <v>24</v>
      </c>
      <c r="H844" t="s">
        <v>26</v>
      </c>
      <c r="I844" t="s">
        <v>3167</v>
      </c>
      <c r="J844" t="s">
        <v>1033</v>
      </c>
      <c r="K844" t="s">
        <v>3189</v>
      </c>
      <c r="L844" t="s">
        <v>1033</v>
      </c>
      <c r="M844" t="s">
        <v>980</v>
      </c>
      <c r="N844" t="s">
        <v>1031</v>
      </c>
      <c r="O844" t="s">
        <v>1031</v>
      </c>
      <c r="P844" t="s">
        <v>1089</v>
      </c>
      <c r="Q844" t="s">
        <v>3169</v>
      </c>
      <c r="R844" t="s">
        <v>2257</v>
      </c>
      <c r="S844" t="s">
        <v>2257</v>
      </c>
      <c r="T844" t="s">
        <v>3271</v>
      </c>
      <c r="U844" t="b">
        <v>0</v>
      </c>
      <c r="V844" t="s">
        <v>1950</v>
      </c>
    </row>
    <row r="845" spans="1:22" x14ac:dyDescent="0.25">
      <c r="A845" t="s">
        <v>42</v>
      </c>
      <c r="B845">
        <v>127</v>
      </c>
      <c r="C845" t="s">
        <v>1036</v>
      </c>
      <c r="D845" t="s">
        <v>1464</v>
      </c>
      <c r="E845" t="s">
        <v>1035</v>
      </c>
      <c r="F845">
        <v>0</v>
      </c>
      <c r="G845" t="s">
        <v>24</v>
      </c>
      <c r="H845" t="s">
        <v>26</v>
      </c>
      <c r="I845" t="s">
        <v>3167</v>
      </c>
      <c r="J845" t="s">
        <v>1038</v>
      </c>
      <c r="K845" t="s">
        <v>3191</v>
      </c>
      <c r="L845" t="s">
        <v>1038</v>
      </c>
      <c r="M845" t="s">
        <v>980</v>
      </c>
      <c r="N845" t="s">
        <v>1037</v>
      </c>
      <c r="O845" t="s">
        <v>1037</v>
      </c>
      <c r="P845" t="s">
        <v>1089</v>
      </c>
      <c r="Q845" t="s">
        <v>3169</v>
      </c>
      <c r="R845" t="s">
        <v>2257</v>
      </c>
      <c r="S845" t="s">
        <v>2257</v>
      </c>
      <c r="T845" t="s">
        <v>3271</v>
      </c>
      <c r="U845" t="b">
        <v>0</v>
      </c>
      <c r="V845" t="s">
        <v>1950</v>
      </c>
    </row>
    <row r="846" spans="1:22" x14ac:dyDescent="0.25">
      <c r="A846" t="s">
        <v>42</v>
      </c>
      <c r="B846">
        <v>127</v>
      </c>
      <c r="C846" t="s">
        <v>1041</v>
      </c>
      <c r="D846" t="s">
        <v>1465</v>
      </c>
      <c r="E846" t="s">
        <v>1040</v>
      </c>
      <c r="F846">
        <v>0</v>
      </c>
      <c r="G846" t="s">
        <v>24</v>
      </c>
      <c r="H846" t="s">
        <v>26</v>
      </c>
      <c r="I846" t="s">
        <v>3167</v>
      </c>
      <c r="J846" t="s">
        <v>1043</v>
      </c>
      <c r="K846" t="s">
        <v>3193</v>
      </c>
      <c r="L846" t="s">
        <v>1043</v>
      </c>
      <c r="M846" t="s">
        <v>980</v>
      </c>
      <c r="N846" t="s">
        <v>1042</v>
      </c>
      <c r="O846" t="s">
        <v>1042</v>
      </c>
      <c r="P846" t="s">
        <v>1089</v>
      </c>
      <c r="Q846" t="s">
        <v>3169</v>
      </c>
      <c r="R846" t="s">
        <v>2257</v>
      </c>
      <c r="S846" t="s">
        <v>2257</v>
      </c>
      <c r="T846" t="s">
        <v>3271</v>
      </c>
      <c r="U846" t="b">
        <v>0</v>
      </c>
      <c r="V846" t="s">
        <v>1950</v>
      </c>
    </row>
    <row r="847" spans="1:22" x14ac:dyDescent="0.25">
      <c r="A847" t="s">
        <v>42</v>
      </c>
      <c r="B847">
        <v>127</v>
      </c>
      <c r="C847" t="s">
        <v>1046</v>
      </c>
      <c r="D847" t="s">
        <v>1466</v>
      </c>
      <c r="E847" t="s">
        <v>1045</v>
      </c>
      <c r="F847">
        <v>0</v>
      </c>
      <c r="G847" t="s">
        <v>24</v>
      </c>
      <c r="H847" t="s">
        <v>26</v>
      </c>
      <c r="I847" t="s">
        <v>3167</v>
      </c>
      <c r="J847" t="s">
        <v>1048</v>
      </c>
      <c r="K847" t="s">
        <v>3195</v>
      </c>
      <c r="L847" t="s">
        <v>1048</v>
      </c>
      <c r="M847" t="s">
        <v>1000</v>
      </c>
      <c r="N847" t="s">
        <v>1047</v>
      </c>
      <c r="O847" t="s">
        <v>1047</v>
      </c>
      <c r="P847" t="s">
        <v>1089</v>
      </c>
      <c r="Q847" t="s">
        <v>3169</v>
      </c>
      <c r="R847" t="s">
        <v>2257</v>
      </c>
      <c r="S847" t="s">
        <v>2257</v>
      </c>
      <c r="T847" t="s">
        <v>3271</v>
      </c>
      <c r="U847" t="b">
        <v>0</v>
      </c>
      <c r="V847" t="s">
        <v>1950</v>
      </c>
    </row>
    <row r="848" spans="1:22" x14ac:dyDescent="0.25">
      <c r="A848" t="s">
        <v>42</v>
      </c>
      <c r="B848">
        <v>127</v>
      </c>
      <c r="C848" t="s">
        <v>1050</v>
      </c>
      <c r="D848" t="s">
        <v>2726</v>
      </c>
      <c r="E848" t="s">
        <v>1032</v>
      </c>
      <c r="F848" t="s">
        <v>3218</v>
      </c>
      <c r="G848" t="s">
        <v>24</v>
      </c>
      <c r="H848" t="s">
        <v>26</v>
      </c>
      <c r="I848" t="s">
        <v>3167</v>
      </c>
      <c r="J848" t="s">
        <v>1048</v>
      </c>
      <c r="K848" t="s">
        <v>3195</v>
      </c>
      <c r="L848" t="s">
        <v>1048</v>
      </c>
      <c r="M848" t="s">
        <v>1000</v>
      </c>
      <c r="N848" t="s">
        <v>1047</v>
      </c>
      <c r="O848" t="s">
        <v>1047</v>
      </c>
      <c r="P848" t="s">
        <v>1089</v>
      </c>
      <c r="Q848" t="s">
        <v>3169</v>
      </c>
      <c r="R848" t="s">
        <v>2257</v>
      </c>
      <c r="S848" t="s">
        <v>2257</v>
      </c>
      <c r="T848" t="s">
        <v>1965</v>
      </c>
      <c r="U848" t="b">
        <v>0</v>
      </c>
      <c r="V848" t="s">
        <v>2710</v>
      </c>
    </row>
    <row r="849" spans="1:22" x14ac:dyDescent="0.25">
      <c r="A849" t="s">
        <v>42</v>
      </c>
      <c r="B849">
        <v>127</v>
      </c>
      <c r="C849" t="s">
        <v>1052</v>
      </c>
      <c r="D849" t="s">
        <v>1467</v>
      </c>
      <c r="E849" t="s">
        <v>1051</v>
      </c>
      <c r="F849">
        <v>0</v>
      </c>
      <c r="G849" t="s">
        <v>24</v>
      </c>
      <c r="H849" t="s">
        <v>26</v>
      </c>
      <c r="I849" t="s">
        <v>3167</v>
      </c>
      <c r="J849" t="s">
        <v>1055</v>
      </c>
      <c r="K849" t="s">
        <v>3199</v>
      </c>
      <c r="L849" t="s">
        <v>1055</v>
      </c>
      <c r="M849" t="s">
        <v>980</v>
      </c>
      <c r="N849" t="s">
        <v>1053</v>
      </c>
      <c r="O849" t="s">
        <v>1053</v>
      </c>
      <c r="P849" t="s">
        <v>1089</v>
      </c>
      <c r="Q849" t="s">
        <v>3169</v>
      </c>
      <c r="R849" t="s">
        <v>2257</v>
      </c>
      <c r="S849" t="s">
        <v>2257</v>
      </c>
      <c r="T849" t="s">
        <v>3271</v>
      </c>
      <c r="U849" t="b">
        <v>0</v>
      </c>
      <c r="V849" t="s">
        <v>1950</v>
      </c>
    </row>
    <row r="850" spans="1:22" x14ac:dyDescent="0.25">
      <c r="A850" t="s">
        <v>42</v>
      </c>
      <c r="B850">
        <v>128</v>
      </c>
      <c r="C850" t="s">
        <v>979</v>
      </c>
      <c r="D850" t="s">
        <v>1468</v>
      </c>
      <c r="E850" t="s">
        <v>978</v>
      </c>
      <c r="F850">
        <v>18678</v>
      </c>
      <c r="G850" t="s">
        <v>24</v>
      </c>
      <c r="H850" t="s">
        <v>26</v>
      </c>
      <c r="I850" t="s">
        <v>3167</v>
      </c>
      <c r="J850" t="s">
        <v>984</v>
      </c>
      <c r="K850" t="s">
        <v>3168</v>
      </c>
      <c r="L850" t="s">
        <v>984</v>
      </c>
      <c r="M850" t="s">
        <v>980</v>
      </c>
      <c r="N850" t="s">
        <v>981</v>
      </c>
      <c r="O850" t="s">
        <v>981</v>
      </c>
      <c r="P850" t="s">
        <v>1089</v>
      </c>
      <c r="Q850" t="s">
        <v>3169</v>
      </c>
      <c r="R850" t="s">
        <v>337</v>
      </c>
      <c r="S850" t="s">
        <v>337</v>
      </c>
      <c r="T850" t="s">
        <v>3239</v>
      </c>
      <c r="U850" t="b">
        <v>0</v>
      </c>
      <c r="V850" t="s">
        <v>2263</v>
      </c>
    </row>
    <row r="851" spans="1:22" x14ac:dyDescent="0.25">
      <c r="A851" t="s">
        <v>42</v>
      </c>
      <c r="B851">
        <v>128</v>
      </c>
      <c r="C851" t="s">
        <v>987</v>
      </c>
      <c r="D851" t="s">
        <v>1469</v>
      </c>
      <c r="E851" t="s">
        <v>986</v>
      </c>
      <c r="F851">
        <v>18545</v>
      </c>
      <c r="G851" t="s">
        <v>24</v>
      </c>
      <c r="H851" t="s">
        <v>26</v>
      </c>
      <c r="I851" t="s">
        <v>3167</v>
      </c>
      <c r="J851" t="s">
        <v>990</v>
      </c>
      <c r="K851" t="s">
        <v>3171</v>
      </c>
      <c r="L851" t="s">
        <v>990</v>
      </c>
      <c r="M851" t="s">
        <v>980</v>
      </c>
      <c r="N851" t="s">
        <v>988</v>
      </c>
      <c r="O851" t="s">
        <v>988</v>
      </c>
      <c r="P851" t="s">
        <v>1089</v>
      </c>
      <c r="Q851" t="s">
        <v>3169</v>
      </c>
      <c r="R851" t="s">
        <v>337</v>
      </c>
      <c r="S851" t="s">
        <v>337</v>
      </c>
      <c r="T851" t="s">
        <v>3239</v>
      </c>
      <c r="U851" t="b">
        <v>0</v>
      </c>
      <c r="V851" t="s">
        <v>2263</v>
      </c>
    </row>
    <row r="852" spans="1:22" x14ac:dyDescent="0.25">
      <c r="A852" t="s">
        <v>42</v>
      </c>
      <c r="B852">
        <v>128</v>
      </c>
      <c r="C852" t="s">
        <v>993</v>
      </c>
      <c r="D852" t="s">
        <v>1471</v>
      </c>
      <c r="E852" t="s">
        <v>992</v>
      </c>
      <c r="F852">
        <v>18144</v>
      </c>
      <c r="G852" t="s">
        <v>24</v>
      </c>
      <c r="H852" t="s">
        <v>26</v>
      </c>
      <c r="I852" t="s">
        <v>3167</v>
      </c>
      <c r="J852" t="s">
        <v>996</v>
      </c>
      <c r="K852" t="s">
        <v>3173</v>
      </c>
      <c r="L852" t="s">
        <v>996</v>
      </c>
      <c r="M852" t="s">
        <v>980</v>
      </c>
      <c r="N852" t="s">
        <v>994</v>
      </c>
      <c r="O852" t="s">
        <v>994</v>
      </c>
      <c r="P852" t="s">
        <v>1089</v>
      </c>
      <c r="Q852" t="s">
        <v>3169</v>
      </c>
      <c r="R852" t="s">
        <v>337</v>
      </c>
      <c r="S852" t="s">
        <v>337</v>
      </c>
      <c r="T852" t="s">
        <v>3239</v>
      </c>
      <c r="U852" t="b">
        <v>0</v>
      </c>
      <c r="V852" t="s">
        <v>2263</v>
      </c>
    </row>
    <row r="853" spans="1:22" x14ac:dyDescent="0.25">
      <c r="A853" t="s">
        <v>42</v>
      </c>
      <c r="B853">
        <v>128</v>
      </c>
      <c r="C853" t="s">
        <v>999</v>
      </c>
      <c r="D853" t="s">
        <v>1473</v>
      </c>
      <c r="E853" t="s">
        <v>998</v>
      </c>
      <c r="F853">
        <v>18358</v>
      </c>
      <c r="G853" t="s">
        <v>24</v>
      </c>
      <c r="H853" t="s">
        <v>26</v>
      </c>
      <c r="I853" t="s">
        <v>3167</v>
      </c>
      <c r="J853" t="s">
        <v>1003</v>
      </c>
      <c r="K853" t="s">
        <v>3175</v>
      </c>
      <c r="L853" t="s">
        <v>1003</v>
      </c>
      <c r="M853" t="s">
        <v>1000</v>
      </c>
      <c r="N853" t="s">
        <v>1001</v>
      </c>
      <c r="O853" t="s">
        <v>1001</v>
      </c>
      <c r="P853" t="s">
        <v>1089</v>
      </c>
      <c r="Q853" t="s">
        <v>3169</v>
      </c>
      <c r="R853" t="s">
        <v>337</v>
      </c>
      <c r="S853" t="s">
        <v>337</v>
      </c>
      <c r="T853" t="s">
        <v>3239</v>
      </c>
      <c r="U853" t="b">
        <v>0</v>
      </c>
      <c r="V853" t="s">
        <v>2263</v>
      </c>
    </row>
    <row r="854" spans="1:22" x14ac:dyDescent="0.25">
      <c r="A854" t="s">
        <v>42</v>
      </c>
      <c r="B854">
        <v>128</v>
      </c>
      <c r="C854" t="s">
        <v>1005</v>
      </c>
      <c r="D854" t="s">
        <v>2727</v>
      </c>
      <c r="E854" t="s">
        <v>982</v>
      </c>
      <c r="F854" t="s">
        <v>4048</v>
      </c>
      <c r="G854" t="s">
        <v>24</v>
      </c>
      <c r="H854" t="s">
        <v>26</v>
      </c>
      <c r="I854" t="s">
        <v>3167</v>
      </c>
      <c r="J854" t="s">
        <v>1003</v>
      </c>
      <c r="K854" t="s">
        <v>3175</v>
      </c>
      <c r="L854" t="s">
        <v>1003</v>
      </c>
      <c r="M854" t="s">
        <v>1000</v>
      </c>
      <c r="N854" t="s">
        <v>1001</v>
      </c>
      <c r="O854" t="s">
        <v>1001</v>
      </c>
      <c r="P854" t="s">
        <v>1089</v>
      </c>
      <c r="Q854" t="s">
        <v>3169</v>
      </c>
      <c r="R854" t="s">
        <v>337</v>
      </c>
      <c r="S854" t="s">
        <v>337</v>
      </c>
      <c r="T854" t="s">
        <v>1965</v>
      </c>
      <c r="U854" t="b">
        <v>0</v>
      </c>
      <c r="V854" t="s">
        <v>2729</v>
      </c>
    </row>
    <row r="855" spans="1:22" x14ac:dyDescent="0.25">
      <c r="A855" t="s">
        <v>42</v>
      </c>
      <c r="B855">
        <v>128</v>
      </c>
      <c r="C855" t="s">
        <v>1007</v>
      </c>
      <c r="D855" t="s">
        <v>1475</v>
      </c>
      <c r="E855" t="s">
        <v>1006</v>
      </c>
      <c r="F855">
        <v>18210</v>
      </c>
      <c r="G855" t="s">
        <v>24</v>
      </c>
      <c r="H855" t="s">
        <v>26</v>
      </c>
      <c r="I855" t="s">
        <v>3167</v>
      </c>
      <c r="J855" t="s">
        <v>1967</v>
      </c>
      <c r="K855" t="s">
        <v>3227</v>
      </c>
      <c r="L855" t="s">
        <v>1967</v>
      </c>
      <c r="M855" t="s">
        <v>980</v>
      </c>
      <c r="N855" t="s">
        <v>1009</v>
      </c>
      <c r="O855" t="s">
        <v>1009</v>
      </c>
      <c r="P855" t="s">
        <v>1089</v>
      </c>
      <c r="Q855" t="s">
        <v>3169</v>
      </c>
      <c r="R855" t="s">
        <v>337</v>
      </c>
      <c r="S855" t="s">
        <v>337</v>
      </c>
      <c r="T855" t="s">
        <v>3239</v>
      </c>
      <c r="U855" t="b">
        <v>0</v>
      </c>
      <c r="V855" t="s">
        <v>2263</v>
      </c>
    </row>
    <row r="856" spans="1:22" x14ac:dyDescent="0.25">
      <c r="A856" t="s">
        <v>42</v>
      </c>
      <c r="B856">
        <v>128</v>
      </c>
      <c r="C856" t="s">
        <v>1014</v>
      </c>
      <c r="D856" t="s">
        <v>1476</v>
      </c>
      <c r="E856" t="s">
        <v>1013</v>
      </c>
      <c r="F856">
        <v>18324</v>
      </c>
      <c r="G856" t="s">
        <v>24</v>
      </c>
      <c r="H856" t="s">
        <v>26</v>
      </c>
      <c r="I856" t="s">
        <v>3167</v>
      </c>
      <c r="J856" t="s">
        <v>1016</v>
      </c>
      <c r="K856" t="s">
        <v>3181</v>
      </c>
      <c r="L856" t="s">
        <v>1016</v>
      </c>
      <c r="M856" t="s">
        <v>980</v>
      </c>
      <c r="N856" t="s">
        <v>1015</v>
      </c>
      <c r="O856" t="s">
        <v>1015</v>
      </c>
      <c r="P856" t="s">
        <v>1089</v>
      </c>
      <c r="Q856" t="s">
        <v>3169</v>
      </c>
      <c r="R856" t="s">
        <v>337</v>
      </c>
      <c r="S856" t="s">
        <v>337</v>
      </c>
      <c r="T856" t="s">
        <v>3239</v>
      </c>
      <c r="U856" t="b">
        <v>0</v>
      </c>
      <c r="V856" t="s">
        <v>2263</v>
      </c>
    </row>
    <row r="857" spans="1:22" x14ac:dyDescent="0.25">
      <c r="A857" t="s">
        <v>42</v>
      </c>
      <c r="B857">
        <v>128</v>
      </c>
      <c r="C857" t="s">
        <v>1019</v>
      </c>
      <c r="D857" t="s">
        <v>1477</v>
      </c>
      <c r="E857" t="s">
        <v>1018</v>
      </c>
      <c r="F857">
        <v>18686</v>
      </c>
      <c r="G857" t="s">
        <v>24</v>
      </c>
      <c r="H857" t="s">
        <v>26</v>
      </c>
      <c r="I857" t="s">
        <v>3167</v>
      </c>
      <c r="J857" t="s">
        <v>1021</v>
      </c>
      <c r="K857" t="s">
        <v>3183</v>
      </c>
      <c r="L857" t="s">
        <v>1021</v>
      </c>
      <c r="M857" t="s">
        <v>980</v>
      </c>
      <c r="N857" t="s">
        <v>1020</v>
      </c>
      <c r="O857" t="s">
        <v>1020</v>
      </c>
      <c r="P857" t="s">
        <v>1089</v>
      </c>
      <c r="Q857" t="s">
        <v>3169</v>
      </c>
      <c r="R857" t="s">
        <v>337</v>
      </c>
      <c r="S857" t="s">
        <v>337</v>
      </c>
      <c r="T857" t="s">
        <v>3239</v>
      </c>
      <c r="U857" t="b">
        <v>0</v>
      </c>
      <c r="V857" t="s">
        <v>2263</v>
      </c>
    </row>
    <row r="858" spans="1:22" x14ac:dyDescent="0.25">
      <c r="A858" t="s">
        <v>42</v>
      </c>
      <c r="B858">
        <v>128</v>
      </c>
      <c r="C858" t="s">
        <v>1024</v>
      </c>
      <c r="D858" t="s">
        <v>1478</v>
      </c>
      <c r="E858" t="s">
        <v>1023</v>
      </c>
      <c r="F858">
        <v>18139</v>
      </c>
      <c r="G858" t="s">
        <v>24</v>
      </c>
      <c r="H858" t="s">
        <v>26</v>
      </c>
      <c r="I858" t="s">
        <v>3167</v>
      </c>
      <c r="J858" t="s">
        <v>1026</v>
      </c>
      <c r="K858" t="s">
        <v>3185</v>
      </c>
      <c r="L858" t="s">
        <v>1026</v>
      </c>
      <c r="M858" t="s">
        <v>1000</v>
      </c>
      <c r="N858" t="s">
        <v>1025</v>
      </c>
      <c r="O858" t="s">
        <v>1025</v>
      </c>
      <c r="P858" t="s">
        <v>1089</v>
      </c>
      <c r="Q858" t="s">
        <v>3169</v>
      </c>
      <c r="R858" t="s">
        <v>337</v>
      </c>
      <c r="S858" t="s">
        <v>337</v>
      </c>
      <c r="T858" t="s">
        <v>3239</v>
      </c>
      <c r="U858" t="b">
        <v>0</v>
      </c>
      <c r="V858" t="s">
        <v>2263</v>
      </c>
    </row>
    <row r="859" spans="1:22" x14ac:dyDescent="0.25">
      <c r="A859" t="s">
        <v>42</v>
      </c>
      <c r="B859">
        <v>128</v>
      </c>
      <c r="C859" t="s">
        <v>1028</v>
      </c>
      <c r="D859" t="s">
        <v>2730</v>
      </c>
      <c r="E859" t="s">
        <v>1010</v>
      </c>
      <c r="F859" t="s">
        <v>4049</v>
      </c>
      <c r="G859" t="s">
        <v>24</v>
      </c>
      <c r="H859" t="s">
        <v>26</v>
      </c>
      <c r="I859" t="s">
        <v>3167</v>
      </c>
      <c r="J859" t="s">
        <v>1026</v>
      </c>
      <c r="K859" t="s">
        <v>3185</v>
      </c>
      <c r="L859" t="s">
        <v>1026</v>
      </c>
      <c r="M859" t="s">
        <v>1000</v>
      </c>
      <c r="N859" t="s">
        <v>1025</v>
      </c>
      <c r="O859" t="s">
        <v>1025</v>
      </c>
      <c r="P859" t="s">
        <v>1089</v>
      </c>
      <c r="Q859" t="s">
        <v>3169</v>
      </c>
      <c r="R859" t="s">
        <v>337</v>
      </c>
      <c r="S859" t="s">
        <v>337</v>
      </c>
      <c r="T859" t="s">
        <v>1965</v>
      </c>
      <c r="U859" t="b">
        <v>0</v>
      </c>
      <c r="V859" t="s">
        <v>2729</v>
      </c>
    </row>
    <row r="860" spans="1:22" x14ac:dyDescent="0.25">
      <c r="A860" t="s">
        <v>42</v>
      </c>
      <c r="B860">
        <v>128</v>
      </c>
      <c r="C860" t="s">
        <v>1030</v>
      </c>
      <c r="D860" t="s">
        <v>1479</v>
      </c>
      <c r="E860" t="s">
        <v>1029</v>
      </c>
      <c r="F860">
        <v>18333</v>
      </c>
      <c r="G860" t="s">
        <v>24</v>
      </c>
      <c r="H860" t="s">
        <v>26</v>
      </c>
      <c r="I860" t="s">
        <v>3167</v>
      </c>
      <c r="J860" t="s">
        <v>1033</v>
      </c>
      <c r="K860" t="s">
        <v>3189</v>
      </c>
      <c r="L860" t="s">
        <v>1033</v>
      </c>
      <c r="M860" t="s">
        <v>980</v>
      </c>
      <c r="N860" t="s">
        <v>1031</v>
      </c>
      <c r="O860" t="s">
        <v>1031</v>
      </c>
      <c r="P860" t="s">
        <v>1089</v>
      </c>
      <c r="Q860" t="s">
        <v>3169</v>
      </c>
      <c r="R860" t="s">
        <v>337</v>
      </c>
      <c r="S860" t="s">
        <v>337</v>
      </c>
      <c r="T860" t="s">
        <v>3239</v>
      </c>
      <c r="U860" t="b">
        <v>0</v>
      </c>
      <c r="V860" t="s">
        <v>2263</v>
      </c>
    </row>
    <row r="861" spans="1:22" x14ac:dyDescent="0.25">
      <c r="A861" t="s">
        <v>42</v>
      </c>
      <c r="B861">
        <v>128</v>
      </c>
      <c r="C861" t="s">
        <v>1036</v>
      </c>
      <c r="D861" t="s">
        <v>1480</v>
      </c>
      <c r="E861" t="s">
        <v>1035</v>
      </c>
      <c r="F861">
        <v>18663</v>
      </c>
      <c r="G861" t="s">
        <v>24</v>
      </c>
      <c r="H861" t="s">
        <v>26</v>
      </c>
      <c r="I861" t="s">
        <v>3167</v>
      </c>
      <c r="J861" t="s">
        <v>1038</v>
      </c>
      <c r="K861" t="s">
        <v>3191</v>
      </c>
      <c r="L861" t="s">
        <v>1038</v>
      </c>
      <c r="M861" t="s">
        <v>980</v>
      </c>
      <c r="N861" t="s">
        <v>1037</v>
      </c>
      <c r="O861" t="s">
        <v>1037</v>
      </c>
      <c r="P861" t="s">
        <v>1089</v>
      </c>
      <c r="Q861" t="s">
        <v>3169</v>
      </c>
      <c r="R861" t="s">
        <v>337</v>
      </c>
      <c r="S861" t="s">
        <v>337</v>
      </c>
      <c r="T861" t="s">
        <v>3239</v>
      </c>
      <c r="U861" t="b">
        <v>0</v>
      </c>
      <c r="V861" t="s">
        <v>2263</v>
      </c>
    </row>
    <row r="862" spans="1:22" x14ac:dyDescent="0.25">
      <c r="A862" t="s">
        <v>42</v>
      </c>
      <c r="B862">
        <v>128</v>
      </c>
      <c r="C862" t="s">
        <v>1041</v>
      </c>
      <c r="D862" t="s">
        <v>1481</v>
      </c>
      <c r="E862" t="s">
        <v>1040</v>
      </c>
      <c r="F862">
        <v>18662</v>
      </c>
      <c r="G862" t="s">
        <v>24</v>
      </c>
      <c r="H862" t="s">
        <v>26</v>
      </c>
      <c r="I862" t="s">
        <v>3167</v>
      </c>
      <c r="J862" t="s">
        <v>1043</v>
      </c>
      <c r="K862" t="s">
        <v>3193</v>
      </c>
      <c r="L862" t="s">
        <v>1043</v>
      </c>
      <c r="M862" t="s">
        <v>980</v>
      </c>
      <c r="N862" t="s">
        <v>1042</v>
      </c>
      <c r="O862" t="s">
        <v>1042</v>
      </c>
      <c r="P862" t="s">
        <v>1089</v>
      </c>
      <c r="Q862" t="s">
        <v>3169</v>
      </c>
      <c r="R862" t="s">
        <v>337</v>
      </c>
      <c r="S862" t="s">
        <v>337</v>
      </c>
      <c r="T862" t="s">
        <v>3239</v>
      </c>
      <c r="U862" t="b">
        <v>0</v>
      </c>
      <c r="V862" t="s">
        <v>2263</v>
      </c>
    </row>
    <row r="863" spans="1:22" x14ac:dyDescent="0.25">
      <c r="A863" t="s">
        <v>42</v>
      </c>
      <c r="B863">
        <v>128</v>
      </c>
      <c r="C863" t="s">
        <v>1046</v>
      </c>
      <c r="D863" t="s">
        <v>1482</v>
      </c>
      <c r="E863" t="s">
        <v>1045</v>
      </c>
      <c r="F863">
        <v>15491</v>
      </c>
      <c r="G863" t="s">
        <v>24</v>
      </c>
      <c r="H863" t="s">
        <v>26</v>
      </c>
      <c r="I863" t="s">
        <v>3167</v>
      </c>
      <c r="J863" t="s">
        <v>1048</v>
      </c>
      <c r="K863" t="s">
        <v>3195</v>
      </c>
      <c r="L863" t="s">
        <v>1048</v>
      </c>
      <c r="M863" t="s">
        <v>1000</v>
      </c>
      <c r="N863" t="s">
        <v>1047</v>
      </c>
      <c r="O863" t="s">
        <v>1047</v>
      </c>
      <c r="P863" t="s">
        <v>1089</v>
      </c>
      <c r="Q863" t="s">
        <v>3169</v>
      </c>
      <c r="R863" t="s">
        <v>337</v>
      </c>
      <c r="S863" t="s">
        <v>337</v>
      </c>
      <c r="T863" t="s">
        <v>3239</v>
      </c>
      <c r="U863" t="b">
        <v>0</v>
      </c>
      <c r="V863" t="s">
        <v>2263</v>
      </c>
    </row>
    <row r="864" spans="1:22" x14ac:dyDescent="0.25">
      <c r="A864" t="s">
        <v>42</v>
      </c>
      <c r="B864">
        <v>128</v>
      </c>
      <c r="C864" t="s">
        <v>1050</v>
      </c>
      <c r="D864" t="s">
        <v>2732</v>
      </c>
      <c r="E864" t="s">
        <v>1032</v>
      </c>
      <c r="F864" t="s">
        <v>4050</v>
      </c>
      <c r="G864" t="s">
        <v>24</v>
      </c>
      <c r="H864" t="s">
        <v>26</v>
      </c>
      <c r="I864" t="s">
        <v>3167</v>
      </c>
      <c r="J864" t="s">
        <v>1048</v>
      </c>
      <c r="K864" t="s">
        <v>3195</v>
      </c>
      <c r="L864" t="s">
        <v>1048</v>
      </c>
      <c r="M864" t="s">
        <v>1000</v>
      </c>
      <c r="N864" t="s">
        <v>1047</v>
      </c>
      <c r="O864" t="s">
        <v>1047</v>
      </c>
      <c r="P864" t="s">
        <v>1089</v>
      </c>
      <c r="Q864" t="s">
        <v>3169</v>
      </c>
      <c r="R864" t="s">
        <v>337</v>
      </c>
      <c r="S864" t="s">
        <v>337</v>
      </c>
      <c r="T864" t="s">
        <v>1965</v>
      </c>
      <c r="U864" t="b">
        <v>0</v>
      </c>
      <c r="V864" t="s">
        <v>2729</v>
      </c>
    </row>
    <row r="865" spans="1:22" x14ac:dyDescent="0.25">
      <c r="A865" t="s">
        <v>42</v>
      </c>
      <c r="B865">
        <v>128</v>
      </c>
      <c r="C865" t="s">
        <v>1052</v>
      </c>
      <c r="D865" t="s">
        <v>1484</v>
      </c>
      <c r="E865" t="s">
        <v>1051</v>
      </c>
      <c r="F865">
        <v>15411</v>
      </c>
      <c r="G865" t="s">
        <v>24</v>
      </c>
      <c r="H865" t="s">
        <v>26</v>
      </c>
      <c r="I865" t="s">
        <v>3167</v>
      </c>
      <c r="J865" t="s">
        <v>1055</v>
      </c>
      <c r="K865" t="s">
        <v>3199</v>
      </c>
      <c r="L865" t="s">
        <v>1055</v>
      </c>
      <c r="M865" t="s">
        <v>980</v>
      </c>
      <c r="N865" t="s">
        <v>1053</v>
      </c>
      <c r="O865" t="s">
        <v>1053</v>
      </c>
      <c r="P865" t="s">
        <v>1089</v>
      </c>
      <c r="Q865" t="s">
        <v>3169</v>
      </c>
      <c r="R865" t="s">
        <v>337</v>
      </c>
      <c r="S865" t="s">
        <v>337</v>
      </c>
      <c r="T865" t="s">
        <v>3239</v>
      </c>
      <c r="U865" t="b">
        <v>0</v>
      </c>
      <c r="V865" t="s">
        <v>2263</v>
      </c>
    </row>
    <row r="866" spans="1:22" x14ac:dyDescent="0.25">
      <c r="A866" t="s">
        <v>42</v>
      </c>
      <c r="B866">
        <v>129</v>
      </c>
      <c r="C866" t="s">
        <v>979</v>
      </c>
      <c r="D866" t="s">
        <v>2276</v>
      </c>
      <c r="E866" t="s">
        <v>978</v>
      </c>
      <c r="F866" t="s">
        <v>4051</v>
      </c>
      <c r="G866" t="s">
        <v>24</v>
      </c>
      <c r="H866" t="s">
        <v>26</v>
      </c>
      <c r="I866" t="s">
        <v>3167</v>
      </c>
      <c r="J866" t="s">
        <v>984</v>
      </c>
      <c r="K866" t="s">
        <v>3168</v>
      </c>
      <c r="L866" t="s">
        <v>984</v>
      </c>
      <c r="M866" t="s">
        <v>980</v>
      </c>
      <c r="N866" t="s">
        <v>981</v>
      </c>
      <c r="O866" t="s">
        <v>981</v>
      </c>
      <c r="P866" t="s">
        <v>1089</v>
      </c>
      <c r="Q866" t="s">
        <v>3169</v>
      </c>
      <c r="R866" t="s">
        <v>2280</v>
      </c>
      <c r="S866" t="s">
        <v>4052</v>
      </c>
      <c r="T866" t="s">
        <v>1965</v>
      </c>
      <c r="U866" t="b">
        <v>0</v>
      </c>
      <c r="V866" t="s">
        <v>2734</v>
      </c>
    </row>
    <row r="867" spans="1:22" x14ac:dyDescent="0.25">
      <c r="A867" t="s">
        <v>42</v>
      </c>
      <c r="B867">
        <v>129</v>
      </c>
      <c r="C867" t="s">
        <v>987</v>
      </c>
      <c r="D867" t="s">
        <v>2281</v>
      </c>
      <c r="E867" t="s">
        <v>986</v>
      </c>
      <c r="F867" t="s">
        <v>4053</v>
      </c>
      <c r="G867" t="s">
        <v>24</v>
      </c>
      <c r="H867" t="s">
        <v>26</v>
      </c>
      <c r="I867" t="s">
        <v>3167</v>
      </c>
      <c r="J867" t="s">
        <v>990</v>
      </c>
      <c r="K867" t="s">
        <v>3171</v>
      </c>
      <c r="L867" t="s">
        <v>990</v>
      </c>
      <c r="M867" t="s">
        <v>980</v>
      </c>
      <c r="N867" t="s">
        <v>988</v>
      </c>
      <c r="O867" t="s">
        <v>988</v>
      </c>
      <c r="P867" t="s">
        <v>1089</v>
      </c>
      <c r="Q867" t="s">
        <v>3169</v>
      </c>
      <c r="R867" t="s">
        <v>2280</v>
      </c>
      <c r="S867" t="s">
        <v>4052</v>
      </c>
      <c r="T867" t="s">
        <v>1965</v>
      </c>
      <c r="U867" t="b">
        <v>0</v>
      </c>
      <c r="V867" t="s">
        <v>2734</v>
      </c>
    </row>
    <row r="868" spans="1:22" x14ac:dyDescent="0.25">
      <c r="A868" t="s">
        <v>42</v>
      </c>
      <c r="B868">
        <v>129</v>
      </c>
      <c r="C868" t="s">
        <v>993</v>
      </c>
      <c r="D868" t="s">
        <v>2283</v>
      </c>
      <c r="E868" t="s">
        <v>992</v>
      </c>
      <c r="F868" t="s">
        <v>4054</v>
      </c>
      <c r="G868" t="s">
        <v>24</v>
      </c>
      <c r="H868" t="s">
        <v>26</v>
      </c>
      <c r="I868" t="s">
        <v>3167</v>
      </c>
      <c r="J868" t="s">
        <v>996</v>
      </c>
      <c r="K868" t="s">
        <v>3173</v>
      </c>
      <c r="L868" t="s">
        <v>996</v>
      </c>
      <c r="M868" t="s">
        <v>980</v>
      </c>
      <c r="N868" t="s">
        <v>994</v>
      </c>
      <c r="O868" t="s">
        <v>994</v>
      </c>
      <c r="P868" t="s">
        <v>1089</v>
      </c>
      <c r="Q868" t="s">
        <v>3169</v>
      </c>
      <c r="R868" t="s">
        <v>2280</v>
      </c>
      <c r="S868" t="s">
        <v>4052</v>
      </c>
      <c r="T868" t="s">
        <v>1965</v>
      </c>
      <c r="U868" t="b">
        <v>0</v>
      </c>
      <c r="V868" t="s">
        <v>2734</v>
      </c>
    </row>
    <row r="869" spans="1:22" x14ac:dyDescent="0.25">
      <c r="A869" t="s">
        <v>42</v>
      </c>
      <c r="B869">
        <v>129</v>
      </c>
      <c r="C869" t="s">
        <v>999</v>
      </c>
      <c r="D869" t="s">
        <v>2285</v>
      </c>
      <c r="E869" t="s">
        <v>998</v>
      </c>
      <c r="F869" t="s">
        <v>4055</v>
      </c>
      <c r="G869" t="s">
        <v>24</v>
      </c>
      <c r="H869" t="s">
        <v>26</v>
      </c>
      <c r="I869" t="s">
        <v>3167</v>
      </c>
      <c r="J869" t="s">
        <v>1003</v>
      </c>
      <c r="K869" t="s">
        <v>3175</v>
      </c>
      <c r="L869" t="s">
        <v>1003</v>
      </c>
      <c r="M869" t="s">
        <v>1000</v>
      </c>
      <c r="N869" t="s">
        <v>1001</v>
      </c>
      <c r="O869" t="s">
        <v>1001</v>
      </c>
      <c r="P869" t="s">
        <v>1089</v>
      </c>
      <c r="Q869" t="s">
        <v>3169</v>
      </c>
      <c r="R869" t="s">
        <v>2289</v>
      </c>
      <c r="S869" t="s">
        <v>4052</v>
      </c>
      <c r="T869" t="s">
        <v>1965</v>
      </c>
      <c r="U869" t="b">
        <v>0</v>
      </c>
      <c r="V869" t="s">
        <v>2735</v>
      </c>
    </row>
    <row r="870" spans="1:22" x14ac:dyDescent="0.25">
      <c r="A870" t="s">
        <v>42</v>
      </c>
      <c r="B870">
        <v>129</v>
      </c>
      <c r="C870" t="s">
        <v>1005</v>
      </c>
      <c r="D870" t="s">
        <v>2736</v>
      </c>
      <c r="E870" t="s">
        <v>982</v>
      </c>
      <c r="F870" t="s">
        <v>4055</v>
      </c>
      <c r="G870" t="s">
        <v>24</v>
      </c>
      <c r="H870" t="s">
        <v>26</v>
      </c>
      <c r="I870" t="s">
        <v>3167</v>
      </c>
      <c r="J870" t="s">
        <v>1003</v>
      </c>
      <c r="K870" t="s">
        <v>3175</v>
      </c>
      <c r="L870" t="s">
        <v>1003</v>
      </c>
      <c r="M870" t="s">
        <v>1000</v>
      </c>
      <c r="N870" t="s">
        <v>1001</v>
      </c>
      <c r="O870" t="s">
        <v>1001</v>
      </c>
      <c r="P870" t="s">
        <v>1089</v>
      </c>
      <c r="Q870" t="s">
        <v>3169</v>
      </c>
      <c r="R870" t="s">
        <v>2289</v>
      </c>
      <c r="S870" t="s">
        <v>4052</v>
      </c>
      <c r="T870" t="s">
        <v>1965</v>
      </c>
      <c r="U870" t="b">
        <v>0</v>
      </c>
      <c r="V870" t="s">
        <v>2735</v>
      </c>
    </row>
    <row r="871" spans="1:22" x14ac:dyDescent="0.25">
      <c r="A871" t="s">
        <v>42</v>
      </c>
      <c r="B871">
        <v>129</v>
      </c>
      <c r="C871" t="s">
        <v>1007</v>
      </c>
      <c r="D871" t="s">
        <v>2290</v>
      </c>
      <c r="E871" t="s">
        <v>1006</v>
      </c>
      <c r="F871" t="s">
        <v>4056</v>
      </c>
      <c r="G871" t="s">
        <v>24</v>
      </c>
      <c r="H871" t="s">
        <v>26</v>
      </c>
      <c r="I871" t="s">
        <v>3167</v>
      </c>
      <c r="J871" t="s">
        <v>1967</v>
      </c>
      <c r="K871" t="s">
        <v>3227</v>
      </c>
      <c r="L871" t="s">
        <v>1967</v>
      </c>
      <c r="M871" t="s">
        <v>980</v>
      </c>
      <c r="N871" t="s">
        <v>1009</v>
      </c>
      <c r="O871" t="s">
        <v>1009</v>
      </c>
      <c r="P871" t="s">
        <v>1089</v>
      </c>
      <c r="Q871" t="s">
        <v>3169</v>
      </c>
      <c r="R871" t="s">
        <v>2278</v>
      </c>
      <c r="S871" t="s">
        <v>4052</v>
      </c>
      <c r="T871" t="s">
        <v>1965</v>
      </c>
      <c r="U871" t="b">
        <v>0</v>
      </c>
      <c r="V871" t="s">
        <v>2710</v>
      </c>
    </row>
    <row r="872" spans="1:22" x14ac:dyDescent="0.25">
      <c r="A872" t="s">
        <v>42</v>
      </c>
      <c r="B872">
        <v>129</v>
      </c>
      <c r="C872" t="s">
        <v>1014</v>
      </c>
      <c r="D872" t="s">
        <v>2292</v>
      </c>
      <c r="E872" t="s">
        <v>1013</v>
      </c>
      <c r="F872" t="s">
        <v>4057</v>
      </c>
      <c r="G872" t="s">
        <v>24</v>
      </c>
      <c r="H872" t="s">
        <v>26</v>
      </c>
      <c r="I872" t="s">
        <v>3167</v>
      </c>
      <c r="J872" t="s">
        <v>1016</v>
      </c>
      <c r="K872" t="s">
        <v>3181</v>
      </c>
      <c r="L872" t="s">
        <v>1016</v>
      </c>
      <c r="M872" t="s">
        <v>980</v>
      </c>
      <c r="N872" t="s">
        <v>1015</v>
      </c>
      <c r="O872" t="s">
        <v>1015</v>
      </c>
      <c r="P872" t="s">
        <v>1089</v>
      </c>
      <c r="Q872" t="s">
        <v>3169</v>
      </c>
      <c r="R872" t="s">
        <v>2280</v>
      </c>
      <c r="S872" t="s">
        <v>4052</v>
      </c>
      <c r="T872" t="s">
        <v>1965</v>
      </c>
      <c r="U872" t="b">
        <v>0</v>
      </c>
      <c r="V872" t="s">
        <v>2734</v>
      </c>
    </row>
    <row r="873" spans="1:22" x14ac:dyDescent="0.25">
      <c r="A873" t="s">
        <v>42</v>
      </c>
      <c r="B873">
        <v>129</v>
      </c>
      <c r="C873" t="s">
        <v>1019</v>
      </c>
      <c r="D873" t="s">
        <v>2294</v>
      </c>
      <c r="E873" t="s">
        <v>1018</v>
      </c>
      <c r="F873" t="s">
        <v>4058</v>
      </c>
      <c r="G873" t="s">
        <v>24</v>
      </c>
      <c r="H873" t="s">
        <v>26</v>
      </c>
      <c r="I873" t="s">
        <v>3167</v>
      </c>
      <c r="J873" t="s">
        <v>1021</v>
      </c>
      <c r="K873" t="s">
        <v>3183</v>
      </c>
      <c r="L873" t="s">
        <v>1021</v>
      </c>
      <c r="M873" t="s">
        <v>980</v>
      </c>
      <c r="N873" t="s">
        <v>1020</v>
      </c>
      <c r="O873" t="s">
        <v>1020</v>
      </c>
      <c r="P873" t="s">
        <v>1089</v>
      </c>
      <c r="Q873" t="s">
        <v>3169</v>
      </c>
      <c r="R873" t="s">
        <v>2280</v>
      </c>
      <c r="S873" t="s">
        <v>4052</v>
      </c>
      <c r="T873" t="s">
        <v>1965</v>
      </c>
      <c r="U873" t="b">
        <v>0</v>
      </c>
      <c r="V873" t="s">
        <v>2734</v>
      </c>
    </row>
    <row r="874" spans="1:22" x14ac:dyDescent="0.25">
      <c r="A874" t="s">
        <v>42</v>
      </c>
      <c r="B874">
        <v>129</v>
      </c>
      <c r="C874" t="s">
        <v>1024</v>
      </c>
      <c r="D874" t="s">
        <v>2296</v>
      </c>
      <c r="E874" t="s">
        <v>1023</v>
      </c>
      <c r="F874" t="s">
        <v>4059</v>
      </c>
      <c r="G874" t="s">
        <v>24</v>
      </c>
      <c r="H874" t="s">
        <v>26</v>
      </c>
      <c r="I874" t="s">
        <v>3167</v>
      </c>
      <c r="J874" t="s">
        <v>1026</v>
      </c>
      <c r="K874" t="s">
        <v>3185</v>
      </c>
      <c r="L874" t="s">
        <v>1026</v>
      </c>
      <c r="M874" t="s">
        <v>1000</v>
      </c>
      <c r="N874" t="s">
        <v>1025</v>
      </c>
      <c r="O874" t="s">
        <v>1025</v>
      </c>
      <c r="P874" t="s">
        <v>1089</v>
      </c>
      <c r="Q874" t="s">
        <v>3169</v>
      </c>
      <c r="R874" t="s">
        <v>2299</v>
      </c>
      <c r="S874" t="s">
        <v>4052</v>
      </c>
      <c r="T874" t="s">
        <v>1965</v>
      </c>
      <c r="U874" t="b">
        <v>0</v>
      </c>
      <c r="V874" t="s">
        <v>2738</v>
      </c>
    </row>
    <row r="875" spans="1:22" x14ac:dyDescent="0.25">
      <c r="A875" t="s">
        <v>42</v>
      </c>
      <c r="B875">
        <v>129</v>
      </c>
      <c r="C875" t="s">
        <v>1028</v>
      </c>
      <c r="D875" t="s">
        <v>2739</v>
      </c>
      <c r="E875" t="s">
        <v>1010</v>
      </c>
      <c r="F875" t="s">
        <v>4059</v>
      </c>
      <c r="G875" t="s">
        <v>24</v>
      </c>
      <c r="H875" t="s">
        <v>26</v>
      </c>
      <c r="I875" t="s">
        <v>3167</v>
      </c>
      <c r="J875" t="s">
        <v>1026</v>
      </c>
      <c r="K875" t="s">
        <v>3185</v>
      </c>
      <c r="L875" t="s">
        <v>1026</v>
      </c>
      <c r="M875" t="s">
        <v>1000</v>
      </c>
      <c r="N875" t="s">
        <v>1025</v>
      </c>
      <c r="O875" t="s">
        <v>1025</v>
      </c>
      <c r="P875" t="s">
        <v>1089</v>
      </c>
      <c r="Q875" t="s">
        <v>3169</v>
      </c>
      <c r="R875" t="s">
        <v>2299</v>
      </c>
      <c r="S875" t="s">
        <v>4052</v>
      </c>
      <c r="T875" t="s">
        <v>1965</v>
      </c>
      <c r="U875" t="b">
        <v>0</v>
      </c>
      <c r="V875" t="s">
        <v>2738</v>
      </c>
    </row>
    <row r="876" spans="1:22" x14ac:dyDescent="0.25">
      <c r="A876" t="s">
        <v>42</v>
      </c>
      <c r="B876">
        <v>129</v>
      </c>
      <c r="C876" t="s">
        <v>1030</v>
      </c>
      <c r="D876" t="s">
        <v>1485</v>
      </c>
      <c r="E876" t="s">
        <v>1029</v>
      </c>
      <c r="F876">
        <v>46774</v>
      </c>
      <c r="G876" t="s">
        <v>24</v>
      </c>
      <c r="H876" t="s">
        <v>26</v>
      </c>
      <c r="I876" t="s">
        <v>3167</v>
      </c>
      <c r="J876" t="s">
        <v>1033</v>
      </c>
      <c r="K876" t="s">
        <v>3189</v>
      </c>
      <c r="L876" t="s">
        <v>1033</v>
      </c>
      <c r="M876" t="s">
        <v>980</v>
      </c>
      <c r="N876" t="s">
        <v>1031</v>
      </c>
      <c r="O876" t="s">
        <v>1031</v>
      </c>
      <c r="P876" t="s">
        <v>1089</v>
      </c>
      <c r="Q876" t="s">
        <v>3169</v>
      </c>
      <c r="R876" t="s">
        <v>2302</v>
      </c>
      <c r="S876" t="s">
        <v>4052</v>
      </c>
      <c r="T876" t="s">
        <v>3239</v>
      </c>
      <c r="U876" t="b">
        <v>0</v>
      </c>
      <c r="V876" t="s">
        <v>2301</v>
      </c>
    </row>
    <row r="877" spans="1:22" x14ac:dyDescent="0.25">
      <c r="A877" t="s">
        <v>42</v>
      </c>
      <c r="B877">
        <v>129</v>
      </c>
      <c r="C877" t="s">
        <v>1036</v>
      </c>
      <c r="D877" t="s">
        <v>1487</v>
      </c>
      <c r="E877" t="s">
        <v>1035</v>
      </c>
      <c r="F877">
        <v>48277</v>
      </c>
      <c r="G877" t="s">
        <v>24</v>
      </c>
      <c r="H877" t="s">
        <v>26</v>
      </c>
      <c r="I877" t="s">
        <v>3167</v>
      </c>
      <c r="J877" t="s">
        <v>1038</v>
      </c>
      <c r="K877" t="s">
        <v>3191</v>
      </c>
      <c r="L877" t="s">
        <v>1038</v>
      </c>
      <c r="M877" t="s">
        <v>980</v>
      </c>
      <c r="N877" t="s">
        <v>1037</v>
      </c>
      <c r="O877" t="s">
        <v>1037</v>
      </c>
      <c r="P877" t="s">
        <v>1089</v>
      </c>
      <c r="Q877" t="s">
        <v>3169</v>
      </c>
      <c r="R877" t="s">
        <v>2302</v>
      </c>
      <c r="S877" t="s">
        <v>4052</v>
      </c>
      <c r="T877" t="s">
        <v>3239</v>
      </c>
      <c r="U877" t="b">
        <v>0</v>
      </c>
      <c r="V877" t="s">
        <v>2301</v>
      </c>
    </row>
    <row r="878" spans="1:22" x14ac:dyDescent="0.25">
      <c r="A878" t="s">
        <v>42</v>
      </c>
      <c r="B878">
        <v>129</v>
      </c>
      <c r="C878" t="s">
        <v>1041</v>
      </c>
      <c r="D878" t="s">
        <v>1489</v>
      </c>
      <c r="E878" t="s">
        <v>1040</v>
      </c>
      <c r="F878">
        <v>49234</v>
      </c>
      <c r="G878" t="s">
        <v>24</v>
      </c>
      <c r="H878" t="s">
        <v>26</v>
      </c>
      <c r="I878" t="s">
        <v>3167</v>
      </c>
      <c r="J878" t="s">
        <v>1043</v>
      </c>
      <c r="K878" t="s">
        <v>3193</v>
      </c>
      <c r="L878" t="s">
        <v>1043</v>
      </c>
      <c r="M878" t="s">
        <v>980</v>
      </c>
      <c r="N878" t="s">
        <v>1042</v>
      </c>
      <c r="O878" t="s">
        <v>1042</v>
      </c>
      <c r="P878" t="s">
        <v>1089</v>
      </c>
      <c r="Q878" t="s">
        <v>3169</v>
      </c>
      <c r="R878" t="s">
        <v>2302</v>
      </c>
      <c r="S878" t="s">
        <v>4052</v>
      </c>
      <c r="T878" t="s">
        <v>3239</v>
      </c>
      <c r="U878" t="b">
        <v>0</v>
      </c>
      <c r="V878" t="s">
        <v>2301</v>
      </c>
    </row>
    <row r="879" spans="1:22" x14ac:dyDescent="0.25">
      <c r="A879" t="s">
        <v>42</v>
      </c>
      <c r="B879">
        <v>129</v>
      </c>
      <c r="C879" t="s">
        <v>1046</v>
      </c>
      <c r="D879" t="s">
        <v>1491</v>
      </c>
      <c r="E879" t="s">
        <v>1045</v>
      </c>
      <c r="F879">
        <v>48668</v>
      </c>
      <c r="G879" t="s">
        <v>24</v>
      </c>
      <c r="H879" t="s">
        <v>26</v>
      </c>
      <c r="I879" t="s">
        <v>3167</v>
      </c>
      <c r="J879" t="s">
        <v>1048</v>
      </c>
      <c r="K879" t="s">
        <v>3195</v>
      </c>
      <c r="L879" t="s">
        <v>1048</v>
      </c>
      <c r="M879" t="s">
        <v>1000</v>
      </c>
      <c r="N879" t="s">
        <v>1047</v>
      </c>
      <c r="O879" t="s">
        <v>1047</v>
      </c>
      <c r="P879" t="s">
        <v>1089</v>
      </c>
      <c r="Q879" t="s">
        <v>3169</v>
      </c>
      <c r="R879" t="s">
        <v>2299</v>
      </c>
      <c r="S879" t="s">
        <v>4052</v>
      </c>
      <c r="T879" t="s">
        <v>3239</v>
      </c>
      <c r="U879" t="b">
        <v>0</v>
      </c>
      <c r="V879" t="s">
        <v>2298</v>
      </c>
    </row>
    <row r="880" spans="1:22" x14ac:dyDescent="0.25">
      <c r="A880" t="s">
        <v>42</v>
      </c>
      <c r="B880">
        <v>129</v>
      </c>
      <c r="C880" t="s">
        <v>1050</v>
      </c>
      <c r="D880" t="s">
        <v>2741</v>
      </c>
      <c r="E880" t="s">
        <v>1032</v>
      </c>
      <c r="F880" t="s">
        <v>4060</v>
      </c>
      <c r="G880" t="s">
        <v>24</v>
      </c>
      <c r="H880" t="s">
        <v>26</v>
      </c>
      <c r="I880" t="s">
        <v>3167</v>
      </c>
      <c r="J880" t="s">
        <v>1048</v>
      </c>
      <c r="K880" t="s">
        <v>3195</v>
      </c>
      <c r="L880" t="s">
        <v>1048</v>
      </c>
      <c r="M880" t="s">
        <v>1000</v>
      </c>
      <c r="N880" t="s">
        <v>1047</v>
      </c>
      <c r="O880" t="s">
        <v>1047</v>
      </c>
      <c r="P880" t="s">
        <v>1089</v>
      </c>
      <c r="Q880" t="s">
        <v>3169</v>
      </c>
      <c r="R880" t="s">
        <v>2299</v>
      </c>
      <c r="S880" t="s">
        <v>4052</v>
      </c>
      <c r="T880" t="s">
        <v>1965</v>
      </c>
      <c r="U880" t="b">
        <v>0</v>
      </c>
      <c r="V880" t="s">
        <v>2738</v>
      </c>
    </row>
    <row r="881" spans="1:22" x14ac:dyDescent="0.25">
      <c r="A881" t="s">
        <v>42</v>
      </c>
      <c r="B881">
        <v>129</v>
      </c>
      <c r="C881" t="s">
        <v>1052</v>
      </c>
      <c r="D881" t="s">
        <v>2306</v>
      </c>
      <c r="E881" t="s">
        <v>1051</v>
      </c>
      <c r="F881" t="s">
        <v>4061</v>
      </c>
      <c r="G881" t="s">
        <v>24</v>
      </c>
      <c r="H881" t="s">
        <v>26</v>
      </c>
      <c r="I881" t="s">
        <v>3167</v>
      </c>
      <c r="J881" t="s">
        <v>1055</v>
      </c>
      <c r="K881" t="s">
        <v>3199</v>
      </c>
      <c r="L881" t="s">
        <v>1055</v>
      </c>
      <c r="M881" t="s">
        <v>980</v>
      </c>
      <c r="N881" t="s">
        <v>1053</v>
      </c>
      <c r="O881" t="s">
        <v>1053</v>
      </c>
      <c r="P881" t="s">
        <v>1089</v>
      </c>
      <c r="Q881" t="s">
        <v>3169</v>
      </c>
      <c r="R881" t="s">
        <v>2278</v>
      </c>
      <c r="S881" t="s">
        <v>4052</v>
      </c>
      <c r="T881" t="s">
        <v>1965</v>
      </c>
      <c r="U881" t="b">
        <v>0</v>
      </c>
      <c r="V881" t="s">
        <v>2710</v>
      </c>
    </row>
    <row r="882" spans="1:22" x14ac:dyDescent="0.25">
      <c r="A882" t="s">
        <v>42</v>
      </c>
      <c r="B882">
        <v>130</v>
      </c>
      <c r="C882" t="s">
        <v>979</v>
      </c>
      <c r="D882" t="s">
        <v>2977</v>
      </c>
      <c r="E882" t="s">
        <v>978</v>
      </c>
      <c r="F882" t="s">
        <v>4062</v>
      </c>
      <c r="G882" t="s">
        <v>24</v>
      </c>
      <c r="H882" t="s">
        <v>26</v>
      </c>
      <c r="I882" t="s">
        <v>3167</v>
      </c>
      <c r="J882" t="s">
        <v>984</v>
      </c>
      <c r="K882" t="s">
        <v>3168</v>
      </c>
      <c r="L882" t="s">
        <v>984</v>
      </c>
      <c r="M882" t="s">
        <v>980</v>
      </c>
      <c r="N882" t="s">
        <v>981</v>
      </c>
      <c r="O882" t="s">
        <v>981</v>
      </c>
      <c r="P882" t="s">
        <v>1089</v>
      </c>
      <c r="Q882" t="s">
        <v>3169</v>
      </c>
      <c r="R882" t="s">
        <v>446</v>
      </c>
      <c r="S882" t="s">
        <v>2978</v>
      </c>
      <c r="T882" t="s">
        <v>1965</v>
      </c>
      <c r="U882" t="b">
        <v>0</v>
      </c>
      <c r="V882" t="s">
        <v>2160</v>
      </c>
    </row>
    <row r="883" spans="1:22" x14ac:dyDescent="0.25">
      <c r="A883" t="s">
        <v>42</v>
      </c>
      <c r="B883">
        <v>130</v>
      </c>
      <c r="C883" t="s">
        <v>987</v>
      </c>
      <c r="D883" t="s">
        <v>2993</v>
      </c>
      <c r="E883" t="s">
        <v>986</v>
      </c>
      <c r="F883" t="s">
        <v>4063</v>
      </c>
      <c r="G883" t="s">
        <v>24</v>
      </c>
      <c r="H883" t="s">
        <v>26</v>
      </c>
      <c r="I883" t="s">
        <v>3167</v>
      </c>
      <c r="J883" t="s">
        <v>990</v>
      </c>
      <c r="K883" t="s">
        <v>3171</v>
      </c>
      <c r="L883" t="s">
        <v>990</v>
      </c>
      <c r="M883" t="s">
        <v>980</v>
      </c>
      <c r="N883" t="s">
        <v>988</v>
      </c>
      <c r="O883" t="s">
        <v>988</v>
      </c>
      <c r="P883" t="s">
        <v>1089</v>
      </c>
      <c r="Q883" t="s">
        <v>3169</v>
      </c>
      <c r="R883" t="s">
        <v>446</v>
      </c>
      <c r="S883" t="s">
        <v>2978</v>
      </c>
      <c r="T883" t="s">
        <v>1965</v>
      </c>
      <c r="U883" t="b">
        <v>0</v>
      </c>
      <c r="V883" t="s">
        <v>2160</v>
      </c>
    </row>
    <row r="884" spans="1:22" x14ac:dyDescent="0.25">
      <c r="A884" t="s">
        <v>42</v>
      </c>
      <c r="B884">
        <v>130</v>
      </c>
      <c r="C884" t="s">
        <v>993</v>
      </c>
      <c r="D884" t="s">
        <v>3002</v>
      </c>
      <c r="E884" t="s">
        <v>992</v>
      </c>
      <c r="F884" t="s">
        <v>4064</v>
      </c>
      <c r="G884" t="s">
        <v>24</v>
      </c>
      <c r="H884" t="s">
        <v>26</v>
      </c>
      <c r="I884" t="s">
        <v>3167</v>
      </c>
      <c r="J884" t="s">
        <v>996</v>
      </c>
      <c r="K884" t="s">
        <v>3173</v>
      </c>
      <c r="L884" t="s">
        <v>996</v>
      </c>
      <c r="M884" t="s">
        <v>980</v>
      </c>
      <c r="N884" t="s">
        <v>994</v>
      </c>
      <c r="O884" t="s">
        <v>994</v>
      </c>
      <c r="P884" t="s">
        <v>1089</v>
      </c>
      <c r="Q884" t="s">
        <v>3169</v>
      </c>
      <c r="R884" t="s">
        <v>446</v>
      </c>
      <c r="S884" t="s">
        <v>2978</v>
      </c>
      <c r="T884" t="s">
        <v>1965</v>
      </c>
      <c r="U884" t="b">
        <v>0</v>
      </c>
      <c r="V884" t="s">
        <v>2160</v>
      </c>
    </row>
    <row r="885" spans="1:22" x14ac:dyDescent="0.25">
      <c r="A885" t="s">
        <v>42</v>
      </c>
      <c r="B885">
        <v>130</v>
      </c>
      <c r="C885" t="s">
        <v>999</v>
      </c>
      <c r="D885" t="s">
        <v>3011</v>
      </c>
      <c r="E885" t="s">
        <v>998</v>
      </c>
      <c r="F885" t="s">
        <v>4065</v>
      </c>
      <c r="G885" t="s">
        <v>24</v>
      </c>
      <c r="H885" t="s">
        <v>26</v>
      </c>
      <c r="I885" t="s">
        <v>3167</v>
      </c>
      <c r="J885" t="s">
        <v>1003</v>
      </c>
      <c r="K885" t="s">
        <v>3175</v>
      </c>
      <c r="L885" t="s">
        <v>1003</v>
      </c>
      <c r="M885" t="s">
        <v>1000</v>
      </c>
      <c r="N885" t="s">
        <v>1001</v>
      </c>
      <c r="O885" t="s">
        <v>1001</v>
      </c>
      <c r="P885" t="s">
        <v>1089</v>
      </c>
      <c r="Q885" t="s">
        <v>3169</v>
      </c>
      <c r="R885" t="s">
        <v>446</v>
      </c>
      <c r="S885" t="s">
        <v>2978</v>
      </c>
      <c r="T885" t="s">
        <v>1965</v>
      </c>
      <c r="U885" t="b">
        <v>0</v>
      </c>
      <c r="V885" t="s">
        <v>2160</v>
      </c>
    </row>
    <row r="886" spans="1:22" x14ac:dyDescent="0.25">
      <c r="A886" t="s">
        <v>42</v>
      </c>
      <c r="B886">
        <v>130</v>
      </c>
      <c r="C886" t="s">
        <v>1005</v>
      </c>
      <c r="D886" t="s">
        <v>3020</v>
      </c>
      <c r="E886" t="s">
        <v>982</v>
      </c>
      <c r="F886" t="s">
        <v>4065</v>
      </c>
      <c r="G886" t="s">
        <v>24</v>
      </c>
      <c r="H886" t="s">
        <v>26</v>
      </c>
      <c r="I886" t="s">
        <v>3167</v>
      </c>
      <c r="J886" t="s">
        <v>1003</v>
      </c>
      <c r="K886" t="s">
        <v>3175</v>
      </c>
      <c r="L886" t="s">
        <v>1003</v>
      </c>
      <c r="M886" t="s">
        <v>1000</v>
      </c>
      <c r="N886" t="s">
        <v>1001</v>
      </c>
      <c r="O886" t="s">
        <v>1001</v>
      </c>
      <c r="P886" t="s">
        <v>1089</v>
      </c>
      <c r="Q886" t="s">
        <v>3169</v>
      </c>
      <c r="R886" t="s">
        <v>446</v>
      </c>
      <c r="S886" t="s">
        <v>2978</v>
      </c>
      <c r="T886" t="s">
        <v>1965</v>
      </c>
      <c r="U886" t="b">
        <v>0</v>
      </c>
      <c r="V886" t="s">
        <v>2160</v>
      </c>
    </row>
    <row r="887" spans="1:22" x14ac:dyDescent="0.25">
      <c r="A887" t="s">
        <v>42</v>
      </c>
      <c r="B887">
        <v>130</v>
      </c>
      <c r="C887" t="s">
        <v>1007</v>
      </c>
      <c r="D887" t="s">
        <v>3029</v>
      </c>
      <c r="E887" t="s">
        <v>1006</v>
      </c>
      <c r="F887" t="s">
        <v>4066</v>
      </c>
      <c r="G887" t="s">
        <v>24</v>
      </c>
      <c r="H887" t="s">
        <v>26</v>
      </c>
      <c r="I887" t="s">
        <v>3167</v>
      </c>
      <c r="J887" t="s">
        <v>1011</v>
      </c>
      <c r="K887" t="s">
        <v>3179</v>
      </c>
      <c r="L887" t="s">
        <v>1011</v>
      </c>
      <c r="M887" t="s">
        <v>1008</v>
      </c>
      <c r="N887" t="s">
        <v>1009</v>
      </c>
      <c r="O887" t="s">
        <v>1009</v>
      </c>
      <c r="P887" t="s">
        <v>1089</v>
      </c>
      <c r="Q887" t="s">
        <v>3169</v>
      </c>
      <c r="R887" t="s">
        <v>446</v>
      </c>
      <c r="S887" t="s">
        <v>2978</v>
      </c>
      <c r="T887" t="s">
        <v>1965</v>
      </c>
      <c r="U887" t="b">
        <v>0</v>
      </c>
      <c r="V887" t="s">
        <v>2160</v>
      </c>
    </row>
    <row r="888" spans="1:22" x14ac:dyDescent="0.25">
      <c r="A888" t="s">
        <v>42</v>
      </c>
      <c r="B888">
        <v>130</v>
      </c>
      <c r="C888" t="s">
        <v>1014</v>
      </c>
      <c r="D888" t="s">
        <v>3038</v>
      </c>
      <c r="E888" t="s">
        <v>1013</v>
      </c>
      <c r="F888" t="s">
        <v>4067</v>
      </c>
      <c r="G888" t="s">
        <v>24</v>
      </c>
      <c r="H888" t="s">
        <v>26</v>
      </c>
      <c r="I888" t="s">
        <v>3167</v>
      </c>
      <c r="J888" t="s">
        <v>1016</v>
      </c>
      <c r="K888" t="s">
        <v>3181</v>
      </c>
      <c r="L888" t="s">
        <v>1016</v>
      </c>
      <c r="M888" t="s">
        <v>980</v>
      </c>
      <c r="N888" t="s">
        <v>1015</v>
      </c>
      <c r="O888" t="s">
        <v>1015</v>
      </c>
      <c r="P888" t="s">
        <v>1089</v>
      </c>
      <c r="Q888" t="s">
        <v>3169</v>
      </c>
      <c r="R888" t="s">
        <v>446</v>
      </c>
      <c r="S888" t="s">
        <v>2978</v>
      </c>
      <c r="T888" t="s">
        <v>1965</v>
      </c>
      <c r="U888" t="b">
        <v>0</v>
      </c>
      <c r="V888" t="s">
        <v>2160</v>
      </c>
    </row>
    <row r="889" spans="1:22" x14ac:dyDescent="0.25">
      <c r="A889" t="s">
        <v>42</v>
      </c>
      <c r="B889">
        <v>130</v>
      </c>
      <c r="C889" t="s">
        <v>1019</v>
      </c>
      <c r="D889" t="s">
        <v>3047</v>
      </c>
      <c r="E889" t="s">
        <v>1018</v>
      </c>
      <c r="F889" t="s">
        <v>4068</v>
      </c>
      <c r="G889" t="s">
        <v>24</v>
      </c>
      <c r="H889" t="s">
        <v>26</v>
      </c>
      <c r="I889" t="s">
        <v>3167</v>
      </c>
      <c r="J889" t="s">
        <v>1021</v>
      </c>
      <c r="K889" t="s">
        <v>3183</v>
      </c>
      <c r="L889" t="s">
        <v>1021</v>
      </c>
      <c r="M889" t="s">
        <v>980</v>
      </c>
      <c r="N889" t="s">
        <v>1020</v>
      </c>
      <c r="O889" t="s">
        <v>1020</v>
      </c>
      <c r="P889" t="s">
        <v>1089</v>
      </c>
      <c r="Q889" t="s">
        <v>3169</v>
      </c>
      <c r="R889" t="s">
        <v>446</v>
      </c>
      <c r="S889" t="s">
        <v>2978</v>
      </c>
      <c r="T889" t="s">
        <v>1965</v>
      </c>
      <c r="U889" t="b">
        <v>0</v>
      </c>
      <c r="V889" t="s">
        <v>2160</v>
      </c>
    </row>
    <row r="890" spans="1:22" x14ac:dyDescent="0.25">
      <c r="A890" t="s">
        <v>42</v>
      </c>
      <c r="B890">
        <v>130</v>
      </c>
      <c r="C890" t="s">
        <v>1024</v>
      </c>
      <c r="D890" t="s">
        <v>3056</v>
      </c>
      <c r="E890" t="s">
        <v>1023</v>
      </c>
      <c r="F890" t="s">
        <v>4069</v>
      </c>
      <c r="G890" t="s">
        <v>24</v>
      </c>
      <c r="H890" t="s">
        <v>26</v>
      </c>
      <c r="I890" t="s">
        <v>3167</v>
      </c>
      <c r="J890" t="s">
        <v>1026</v>
      </c>
      <c r="K890" t="s">
        <v>3185</v>
      </c>
      <c r="L890" t="s">
        <v>1026</v>
      </c>
      <c r="M890" t="s">
        <v>1000</v>
      </c>
      <c r="N890" t="s">
        <v>1025</v>
      </c>
      <c r="O890" t="s">
        <v>1025</v>
      </c>
      <c r="P890" t="s">
        <v>1089</v>
      </c>
      <c r="Q890" t="s">
        <v>3169</v>
      </c>
      <c r="R890" t="s">
        <v>446</v>
      </c>
      <c r="S890" t="s">
        <v>2978</v>
      </c>
      <c r="T890" t="s">
        <v>1965</v>
      </c>
      <c r="U890" t="b">
        <v>0</v>
      </c>
      <c r="V890" t="s">
        <v>2160</v>
      </c>
    </row>
    <row r="891" spans="1:22" x14ac:dyDescent="0.25">
      <c r="A891" t="s">
        <v>42</v>
      </c>
      <c r="B891">
        <v>130</v>
      </c>
      <c r="C891" t="s">
        <v>1028</v>
      </c>
      <c r="D891" t="s">
        <v>3065</v>
      </c>
      <c r="E891" t="s">
        <v>1010</v>
      </c>
      <c r="F891" t="s">
        <v>4069</v>
      </c>
      <c r="G891" t="s">
        <v>24</v>
      </c>
      <c r="H891" t="s">
        <v>26</v>
      </c>
      <c r="I891" t="s">
        <v>3167</v>
      </c>
      <c r="J891" t="s">
        <v>1026</v>
      </c>
      <c r="K891" t="s">
        <v>3185</v>
      </c>
      <c r="L891" t="s">
        <v>1026</v>
      </c>
      <c r="M891" t="s">
        <v>1000</v>
      </c>
      <c r="N891" t="s">
        <v>1025</v>
      </c>
      <c r="O891" t="s">
        <v>1025</v>
      </c>
      <c r="P891" t="s">
        <v>1089</v>
      </c>
      <c r="Q891" t="s">
        <v>3169</v>
      </c>
      <c r="R891" t="s">
        <v>446</v>
      </c>
      <c r="S891" t="s">
        <v>2978</v>
      </c>
      <c r="T891" t="s">
        <v>1965</v>
      </c>
      <c r="U891" t="b">
        <v>0</v>
      </c>
      <c r="V891" t="s">
        <v>2160</v>
      </c>
    </row>
    <row r="892" spans="1:22" x14ac:dyDescent="0.25">
      <c r="A892" t="s">
        <v>42</v>
      </c>
      <c r="B892">
        <v>130</v>
      </c>
      <c r="C892" t="s">
        <v>1030</v>
      </c>
      <c r="D892" t="s">
        <v>3074</v>
      </c>
      <c r="E892" t="s">
        <v>1029</v>
      </c>
      <c r="F892" t="s">
        <v>4070</v>
      </c>
      <c r="G892" t="s">
        <v>24</v>
      </c>
      <c r="H892" t="s">
        <v>26</v>
      </c>
      <c r="I892" t="s">
        <v>3167</v>
      </c>
      <c r="J892" t="s">
        <v>1033</v>
      </c>
      <c r="K892" t="s">
        <v>3189</v>
      </c>
      <c r="L892" t="s">
        <v>1033</v>
      </c>
      <c r="M892" t="s">
        <v>980</v>
      </c>
      <c r="N892" t="s">
        <v>1031</v>
      </c>
      <c r="O892" t="s">
        <v>1031</v>
      </c>
      <c r="P892" t="s">
        <v>1089</v>
      </c>
      <c r="Q892" t="s">
        <v>3169</v>
      </c>
      <c r="R892" t="s">
        <v>446</v>
      </c>
      <c r="S892" t="s">
        <v>2978</v>
      </c>
      <c r="T892" t="s">
        <v>1965</v>
      </c>
      <c r="U892" t="b">
        <v>0</v>
      </c>
      <c r="V892" t="s">
        <v>2160</v>
      </c>
    </row>
    <row r="893" spans="1:22" x14ac:dyDescent="0.25">
      <c r="A893" t="s">
        <v>42</v>
      </c>
      <c r="B893">
        <v>130</v>
      </c>
      <c r="C893" t="s">
        <v>1036</v>
      </c>
      <c r="D893" t="s">
        <v>3083</v>
      </c>
      <c r="E893" t="s">
        <v>1035</v>
      </c>
      <c r="F893" t="s">
        <v>4071</v>
      </c>
      <c r="G893" t="s">
        <v>24</v>
      </c>
      <c r="H893" t="s">
        <v>26</v>
      </c>
      <c r="I893" t="s">
        <v>3167</v>
      </c>
      <c r="J893" t="s">
        <v>1038</v>
      </c>
      <c r="K893" t="s">
        <v>3191</v>
      </c>
      <c r="L893" t="s">
        <v>1038</v>
      </c>
      <c r="M893" t="s">
        <v>980</v>
      </c>
      <c r="N893" t="s">
        <v>1037</v>
      </c>
      <c r="O893" t="s">
        <v>1037</v>
      </c>
      <c r="P893" t="s">
        <v>1089</v>
      </c>
      <c r="Q893" t="s">
        <v>3169</v>
      </c>
      <c r="R893" t="s">
        <v>446</v>
      </c>
      <c r="S893" t="s">
        <v>2978</v>
      </c>
      <c r="T893" t="s">
        <v>1965</v>
      </c>
      <c r="U893" t="b">
        <v>0</v>
      </c>
      <c r="V893" t="s">
        <v>2160</v>
      </c>
    </row>
    <row r="894" spans="1:22" x14ac:dyDescent="0.25">
      <c r="A894" t="s">
        <v>42</v>
      </c>
      <c r="B894">
        <v>130</v>
      </c>
      <c r="C894" t="s">
        <v>1041</v>
      </c>
      <c r="D894" t="s">
        <v>3092</v>
      </c>
      <c r="E894" t="s">
        <v>1040</v>
      </c>
      <c r="F894" t="s">
        <v>4072</v>
      </c>
      <c r="G894" t="s">
        <v>24</v>
      </c>
      <c r="H894" t="s">
        <v>26</v>
      </c>
      <c r="I894" t="s">
        <v>3167</v>
      </c>
      <c r="J894" t="s">
        <v>1043</v>
      </c>
      <c r="K894" t="s">
        <v>3193</v>
      </c>
      <c r="L894" t="s">
        <v>1043</v>
      </c>
      <c r="M894" t="s">
        <v>980</v>
      </c>
      <c r="N894" t="s">
        <v>1042</v>
      </c>
      <c r="O894" t="s">
        <v>1042</v>
      </c>
      <c r="P894" t="s">
        <v>1089</v>
      </c>
      <c r="Q894" t="s">
        <v>3169</v>
      </c>
      <c r="R894" t="s">
        <v>446</v>
      </c>
      <c r="S894" t="s">
        <v>2978</v>
      </c>
      <c r="T894" t="s">
        <v>1965</v>
      </c>
      <c r="U894" t="b">
        <v>0</v>
      </c>
      <c r="V894" t="s">
        <v>2160</v>
      </c>
    </row>
    <row r="895" spans="1:22" x14ac:dyDescent="0.25">
      <c r="A895" t="s">
        <v>42</v>
      </c>
      <c r="B895">
        <v>130</v>
      </c>
      <c r="C895" t="s">
        <v>1046</v>
      </c>
      <c r="D895" t="s">
        <v>3101</v>
      </c>
      <c r="E895" t="s">
        <v>1045</v>
      </c>
      <c r="F895" t="s">
        <v>4073</v>
      </c>
      <c r="G895" t="s">
        <v>24</v>
      </c>
      <c r="H895" t="s">
        <v>26</v>
      </c>
      <c r="I895" t="s">
        <v>3167</v>
      </c>
      <c r="J895" t="s">
        <v>1048</v>
      </c>
      <c r="K895" t="s">
        <v>3195</v>
      </c>
      <c r="L895" t="s">
        <v>1048</v>
      </c>
      <c r="M895" t="s">
        <v>1000</v>
      </c>
      <c r="N895" t="s">
        <v>1047</v>
      </c>
      <c r="O895" t="s">
        <v>1047</v>
      </c>
      <c r="P895" t="s">
        <v>1089</v>
      </c>
      <c r="Q895" t="s">
        <v>3169</v>
      </c>
      <c r="R895" t="s">
        <v>446</v>
      </c>
      <c r="S895" t="s">
        <v>2978</v>
      </c>
      <c r="T895" t="s">
        <v>1965</v>
      </c>
      <c r="U895" t="b">
        <v>0</v>
      </c>
      <c r="V895" t="s">
        <v>2160</v>
      </c>
    </row>
    <row r="896" spans="1:22" x14ac:dyDescent="0.25">
      <c r="A896" t="s">
        <v>42</v>
      </c>
      <c r="B896">
        <v>130</v>
      </c>
      <c r="C896" t="s">
        <v>1050</v>
      </c>
      <c r="D896" t="s">
        <v>3110</v>
      </c>
      <c r="E896" t="s">
        <v>1032</v>
      </c>
      <c r="F896" t="s">
        <v>4073</v>
      </c>
      <c r="G896" t="s">
        <v>24</v>
      </c>
      <c r="H896" t="s">
        <v>26</v>
      </c>
      <c r="I896" t="s">
        <v>3167</v>
      </c>
      <c r="J896" t="s">
        <v>1048</v>
      </c>
      <c r="K896" t="s">
        <v>3195</v>
      </c>
      <c r="L896" t="s">
        <v>1048</v>
      </c>
      <c r="M896" t="s">
        <v>1000</v>
      </c>
      <c r="N896" t="s">
        <v>1047</v>
      </c>
      <c r="O896" t="s">
        <v>1047</v>
      </c>
      <c r="P896" t="s">
        <v>1089</v>
      </c>
      <c r="Q896" t="s">
        <v>3169</v>
      </c>
      <c r="R896" t="s">
        <v>446</v>
      </c>
      <c r="S896" t="s">
        <v>2978</v>
      </c>
      <c r="T896" t="s">
        <v>1965</v>
      </c>
      <c r="U896" t="b">
        <v>0</v>
      </c>
      <c r="V896" t="s">
        <v>2160</v>
      </c>
    </row>
    <row r="897" spans="1:22" x14ac:dyDescent="0.25">
      <c r="A897" t="s">
        <v>42</v>
      </c>
      <c r="B897">
        <v>130</v>
      </c>
      <c r="C897" t="s">
        <v>1052</v>
      </c>
      <c r="D897" t="s">
        <v>3119</v>
      </c>
      <c r="E897" t="s">
        <v>1051</v>
      </c>
      <c r="F897" t="s">
        <v>4074</v>
      </c>
      <c r="G897" t="s">
        <v>24</v>
      </c>
      <c r="H897" t="s">
        <v>26</v>
      </c>
      <c r="I897" t="s">
        <v>3167</v>
      </c>
      <c r="J897" t="s">
        <v>1055</v>
      </c>
      <c r="K897" t="s">
        <v>3199</v>
      </c>
      <c r="L897" t="s">
        <v>1055</v>
      </c>
      <c r="M897" t="s">
        <v>980</v>
      </c>
      <c r="N897" t="s">
        <v>1053</v>
      </c>
      <c r="O897" t="s">
        <v>1053</v>
      </c>
      <c r="P897" t="s">
        <v>1089</v>
      </c>
      <c r="Q897" t="s">
        <v>3169</v>
      </c>
      <c r="R897" t="s">
        <v>446</v>
      </c>
      <c r="S897" t="s">
        <v>2978</v>
      </c>
      <c r="T897" t="s">
        <v>1965</v>
      </c>
      <c r="U897" t="b">
        <v>0</v>
      </c>
      <c r="V897" t="s">
        <v>2160</v>
      </c>
    </row>
    <row r="898" spans="1:22" x14ac:dyDescent="0.25">
      <c r="A898" t="s">
        <v>42</v>
      </c>
      <c r="B898">
        <v>132</v>
      </c>
      <c r="C898" t="s">
        <v>979</v>
      </c>
      <c r="D898" t="s">
        <v>2974</v>
      </c>
      <c r="E898" t="s">
        <v>978</v>
      </c>
      <c r="F898" t="s">
        <v>4075</v>
      </c>
      <c r="G898" t="s">
        <v>24</v>
      </c>
      <c r="H898" t="s">
        <v>26</v>
      </c>
      <c r="I898" t="s">
        <v>3167</v>
      </c>
      <c r="J898" t="s">
        <v>984</v>
      </c>
      <c r="K898" t="s">
        <v>3168</v>
      </c>
      <c r="L898" t="s">
        <v>984</v>
      </c>
      <c r="M898" t="s">
        <v>980</v>
      </c>
      <c r="N898" t="s">
        <v>981</v>
      </c>
      <c r="O898" t="s">
        <v>981</v>
      </c>
      <c r="P898" t="s">
        <v>1089</v>
      </c>
      <c r="Q898" t="s">
        <v>3169</v>
      </c>
      <c r="R898" t="s">
        <v>446</v>
      </c>
      <c r="S898" t="s">
        <v>488</v>
      </c>
      <c r="T898" t="s">
        <v>1965</v>
      </c>
      <c r="U898" t="b">
        <v>0</v>
      </c>
      <c r="V898" t="s">
        <v>2160</v>
      </c>
    </row>
    <row r="899" spans="1:22" x14ac:dyDescent="0.25">
      <c r="A899" t="s">
        <v>42</v>
      </c>
      <c r="B899">
        <v>132</v>
      </c>
      <c r="C899" t="s">
        <v>987</v>
      </c>
      <c r="D899" t="s">
        <v>2991</v>
      </c>
      <c r="E899" t="s">
        <v>986</v>
      </c>
      <c r="F899" t="s">
        <v>4076</v>
      </c>
      <c r="G899" t="s">
        <v>24</v>
      </c>
      <c r="H899" t="s">
        <v>26</v>
      </c>
      <c r="I899" t="s">
        <v>3167</v>
      </c>
      <c r="J899" t="s">
        <v>990</v>
      </c>
      <c r="K899" t="s">
        <v>3171</v>
      </c>
      <c r="L899" t="s">
        <v>990</v>
      </c>
      <c r="M899" t="s">
        <v>980</v>
      </c>
      <c r="N899" t="s">
        <v>988</v>
      </c>
      <c r="O899" t="s">
        <v>988</v>
      </c>
      <c r="P899" t="s">
        <v>1089</v>
      </c>
      <c r="Q899" t="s">
        <v>3169</v>
      </c>
      <c r="R899" t="s">
        <v>446</v>
      </c>
      <c r="S899" t="s">
        <v>488</v>
      </c>
      <c r="T899" t="s">
        <v>1965</v>
      </c>
      <c r="U899" t="b">
        <v>0</v>
      </c>
      <c r="V899" t="s">
        <v>2160</v>
      </c>
    </row>
    <row r="900" spans="1:22" x14ac:dyDescent="0.25">
      <c r="A900" t="s">
        <v>42</v>
      </c>
      <c r="B900">
        <v>132</v>
      </c>
      <c r="C900" t="s">
        <v>993</v>
      </c>
      <c r="D900" t="s">
        <v>3000</v>
      </c>
      <c r="E900" t="s">
        <v>992</v>
      </c>
      <c r="F900" t="s">
        <v>4077</v>
      </c>
      <c r="G900" t="s">
        <v>24</v>
      </c>
      <c r="H900" t="s">
        <v>26</v>
      </c>
      <c r="I900" t="s">
        <v>3167</v>
      </c>
      <c r="J900" t="s">
        <v>996</v>
      </c>
      <c r="K900" t="s">
        <v>3173</v>
      </c>
      <c r="L900" t="s">
        <v>996</v>
      </c>
      <c r="M900" t="s">
        <v>980</v>
      </c>
      <c r="N900" t="s">
        <v>994</v>
      </c>
      <c r="O900" t="s">
        <v>994</v>
      </c>
      <c r="P900" t="s">
        <v>1089</v>
      </c>
      <c r="Q900" t="s">
        <v>3169</v>
      </c>
      <c r="R900" t="s">
        <v>446</v>
      </c>
      <c r="S900" t="s">
        <v>488</v>
      </c>
      <c r="T900" t="s">
        <v>1965</v>
      </c>
      <c r="U900" t="b">
        <v>0</v>
      </c>
      <c r="V900" t="s">
        <v>2160</v>
      </c>
    </row>
    <row r="901" spans="1:22" x14ac:dyDescent="0.25">
      <c r="A901" t="s">
        <v>42</v>
      </c>
      <c r="B901">
        <v>132</v>
      </c>
      <c r="C901" t="s">
        <v>999</v>
      </c>
      <c r="D901" t="s">
        <v>3009</v>
      </c>
      <c r="E901" t="s">
        <v>998</v>
      </c>
      <c r="F901" t="s">
        <v>4078</v>
      </c>
      <c r="G901" t="s">
        <v>24</v>
      </c>
      <c r="H901" t="s">
        <v>26</v>
      </c>
      <c r="I901" t="s">
        <v>3167</v>
      </c>
      <c r="J901" t="s">
        <v>1003</v>
      </c>
      <c r="K901" t="s">
        <v>3175</v>
      </c>
      <c r="L901" t="s">
        <v>1003</v>
      </c>
      <c r="M901" t="s">
        <v>1000</v>
      </c>
      <c r="N901" t="s">
        <v>1001</v>
      </c>
      <c r="O901" t="s">
        <v>1001</v>
      </c>
      <c r="P901" t="s">
        <v>1089</v>
      </c>
      <c r="Q901" t="s">
        <v>3169</v>
      </c>
      <c r="R901" t="s">
        <v>446</v>
      </c>
      <c r="S901" t="s">
        <v>488</v>
      </c>
      <c r="T901" t="s">
        <v>1965</v>
      </c>
      <c r="U901" t="b">
        <v>0</v>
      </c>
      <c r="V901" t="s">
        <v>2160</v>
      </c>
    </row>
    <row r="902" spans="1:22" x14ac:dyDescent="0.25">
      <c r="A902" t="s">
        <v>42</v>
      </c>
      <c r="B902">
        <v>132</v>
      </c>
      <c r="C902" t="s">
        <v>1005</v>
      </c>
      <c r="D902" t="s">
        <v>3018</v>
      </c>
      <c r="E902" t="s">
        <v>982</v>
      </c>
      <c r="F902" t="s">
        <v>4078</v>
      </c>
      <c r="G902" t="s">
        <v>24</v>
      </c>
      <c r="H902" t="s">
        <v>26</v>
      </c>
      <c r="I902" t="s">
        <v>3167</v>
      </c>
      <c r="J902" t="s">
        <v>1003</v>
      </c>
      <c r="K902" t="s">
        <v>3175</v>
      </c>
      <c r="L902" t="s">
        <v>1003</v>
      </c>
      <c r="M902" t="s">
        <v>1000</v>
      </c>
      <c r="N902" t="s">
        <v>1001</v>
      </c>
      <c r="O902" t="s">
        <v>1001</v>
      </c>
      <c r="P902" t="s">
        <v>1089</v>
      </c>
      <c r="Q902" t="s">
        <v>3169</v>
      </c>
      <c r="R902" t="s">
        <v>446</v>
      </c>
      <c r="S902" t="s">
        <v>488</v>
      </c>
      <c r="T902" t="s">
        <v>1965</v>
      </c>
      <c r="U902" t="b">
        <v>0</v>
      </c>
      <c r="V902" t="s">
        <v>2160</v>
      </c>
    </row>
    <row r="903" spans="1:22" x14ac:dyDescent="0.25">
      <c r="A903" t="s">
        <v>42</v>
      </c>
      <c r="B903">
        <v>132</v>
      </c>
      <c r="C903" t="s">
        <v>1007</v>
      </c>
      <c r="D903" t="s">
        <v>3027</v>
      </c>
      <c r="E903" t="s">
        <v>1006</v>
      </c>
      <c r="F903" t="s">
        <v>4079</v>
      </c>
      <c r="G903" t="s">
        <v>24</v>
      </c>
      <c r="H903" t="s">
        <v>26</v>
      </c>
      <c r="I903" t="s">
        <v>3167</v>
      </c>
      <c r="J903" t="s">
        <v>1967</v>
      </c>
      <c r="K903" t="s">
        <v>3227</v>
      </c>
      <c r="L903" t="s">
        <v>1967</v>
      </c>
      <c r="M903" t="s">
        <v>1008</v>
      </c>
      <c r="N903" t="s">
        <v>1009</v>
      </c>
      <c r="O903" t="s">
        <v>1009</v>
      </c>
      <c r="P903" t="s">
        <v>1089</v>
      </c>
      <c r="Q903" t="s">
        <v>3169</v>
      </c>
      <c r="R903" t="s">
        <v>446</v>
      </c>
      <c r="S903" t="s">
        <v>488</v>
      </c>
      <c r="T903" t="s">
        <v>1965</v>
      </c>
      <c r="U903" t="b">
        <v>0</v>
      </c>
      <c r="V903" t="s">
        <v>2160</v>
      </c>
    </row>
    <row r="904" spans="1:22" x14ac:dyDescent="0.25">
      <c r="A904" t="s">
        <v>42</v>
      </c>
      <c r="B904">
        <v>132</v>
      </c>
      <c r="C904" t="s">
        <v>1014</v>
      </c>
      <c r="D904" t="s">
        <v>3036</v>
      </c>
      <c r="E904" t="s">
        <v>1013</v>
      </c>
      <c r="F904" t="s">
        <v>4080</v>
      </c>
      <c r="G904" t="s">
        <v>24</v>
      </c>
      <c r="H904" t="s">
        <v>26</v>
      </c>
      <c r="I904" t="s">
        <v>3167</v>
      </c>
      <c r="J904" t="s">
        <v>1016</v>
      </c>
      <c r="K904" t="s">
        <v>3181</v>
      </c>
      <c r="L904" t="s">
        <v>1016</v>
      </c>
      <c r="M904" t="s">
        <v>980</v>
      </c>
      <c r="N904" t="s">
        <v>1015</v>
      </c>
      <c r="O904" t="s">
        <v>1015</v>
      </c>
      <c r="P904" t="s">
        <v>1089</v>
      </c>
      <c r="Q904" t="s">
        <v>3169</v>
      </c>
      <c r="R904" t="s">
        <v>446</v>
      </c>
      <c r="S904" t="s">
        <v>488</v>
      </c>
      <c r="T904" t="s">
        <v>1965</v>
      </c>
      <c r="U904" t="b">
        <v>0</v>
      </c>
      <c r="V904" t="s">
        <v>2160</v>
      </c>
    </row>
    <row r="905" spans="1:22" x14ac:dyDescent="0.25">
      <c r="A905" t="s">
        <v>42</v>
      </c>
      <c r="B905">
        <v>132</v>
      </c>
      <c r="C905" t="s">
        <v>1019</v>
      </c>
      <c r="D905" t="s">
        <v>3045</v>
      </c>
      <c r="E905" t="s">
        <v>1018</v>
      </c>
      <c r="F905" t="s">
        <v>4081</v>
      </c>
      <c r="G905" t="s">
        <v>24</v>
      </c>
      <c r="H905" t="s">
        <v>26</v>
      </c>
      <c r="I905" t="s">
        <v>3167</v>
      </c>
      <c r="J905" t="s">
        <v>1021</v>
      </c>
      <c r="K905" t="s">
        <v>3183</v>
      </c>
      <c r="L905" t="s">
        <v>1021</v>
      </c>
      <c r="M905" t="s">
        <v>980</v>
      </c>
      <c r="N905" t="s">
        <v>1020</v>
      </c>
      <c r="O905" t="s">
        <v>1020</v>
      </c>
      <c r="P905" t="s">
        <v>1089</v>
      </c>
      <c r="Q905" t="s">
        <v>3169</v>
      </c>
      <c r="R905" t="s">
        <v>446</v>
      </c>
      <c r="S905" t="s">
        <v>488</v>
      </c>
      <c r="T905" t="s">
        <v>1965</v>
      </c>
      <c r="U905" t="b">
        <v>0</v>
      </c>
      <c r="V905" t="s">
        <v>2160</v>
      </c>
    </row>
    <row r="906" spans="1:22" x14ac:dyDescent="0.25">
      <c r="A906" t="s">
        <v>42</v>
      </c>
      <c r="B906">
        <v>132</v>
      </c>
      <c r="C906" t="s">
        <v>1024</v>
      </c>
      <c r="D906" t="s">
        <v>3054</v>
      </c>
      <c r="E906" t="s">
        <v>1023</v>
      </c>
      <c r="F906" t="s">
        <v>4082</v>
      </c>
      <c r="G906" t="s">
        <v>24</v>
      </c>
      <c r="H906" t="s">
        <v>26</v>
      </c>
      <c r="I906" t="s">
        <v>3167</v>
      </c>
      <c r="J906" t="s">
        <v>1026</v>
      </c>
      <c r="K906" t="s">
        <v>3185</v>
      </c>
      <c r="L906" t="s">
        <v>1026</v>
      </c>
      <c r="M906" t="s">
        <v>1000</v>
      </c>
      <c r="N906" t="s">
        <v>1025</v>
      </c>
      <c r="O906" t="s">
        <v>1025</v>
      </c>
      <c r="P906" t="s">
        <v>1089</v>
      </c>
      <c r="Q906" t="s">
        <v>3169</v>
      </c>
      <c r="R906" t="s">
        <v>446</v>
      </c>
      <c r="S906" t="s">
        <v>488</v>
      </c>
      <c r="T906" t="s">
        <v>1965</v>
      </c>
      <c r="U906" t="b">
        <v>0</v>
      </c>
      <c r="V906" t="s">
        <v>2160</v>
      </c>
    </row>
    <row r="907" spans="1:22" x14ac:dyDescent="0.25">
      <c r="A907" t="s">
        <v>42</v>
      </c>
      <c r="B907">
        <v>132</v>
      </c>
      <c r="C907" t="s">
        <v>1028</v>
      </c>
      <c r="D907" t="s">
        <v>3063</v>
      </c>
      <c r="E907" t="s">
        <v>1010</v>
      </c>
      <c r="F907" t="s">
        <v>4082</v>
      </c>
      <c r="G907" t="s">
        <v>24</v>
      </c>
      <c r="H907" t="s">
        <v>26</v>
      </c>
      <c r="I907" t="s">
        <v>3167</v>
      </c>
      <c r="J907" t="s">
        <v>1026</v>
      </c>
      <c r="K907" t="s">
        <v>3185</v>
      </c>
      <c r="L907" t="s">
        <v>1026</v>
      </c>
      <c r="M907" t="s">
        <v>1000</v>
      </c>
      <c r="N907" t="s">
        <v>1025</v>
      </c>
      <c r="O907" t="s">
        <v>1025</v>
      </c>
      <c r="P907" t="s">
        <v>1089</v>
      </c>
      <c r="Q907" t="s">
        <v>3169</v>
      </c>
      <c r="R907" t="s">
        <v>446</v>
      </c>
      <c r="S907" t="s">
        <v>488</v>
      </c>
      <c r="T907" t="s">
        <v>1965</v>
      </c>
      <c r="U907" t="b">
        <v>0</v>
      </c>
      <c r="V907" t="s">
        <v>2160</v>
      </c>
    </row>
    <row r="908" spans="1:22" x14ac:dyDescent="0.25">
      <c r="A908" t="s">
        <v>42</v>
      </c>
      <c r="B908">
        <v>132</v>
      </c>
      <c r="C908" t="s">
        <v>1030</v>
      </c>
      <c r="D908" t="s">
        <v>3072</v>
      </c>
      <c r="E908" t="s">
        <v>1029</v>
      </c>
      <c r="F908" t="s">
        <v>4083</v>
      </c>
      <c r="G908" t="s">
        <v>24</v>
      </c>
      <c r="H908" t="s">
        <v>26</v>
      </c>
      <c r="I908" t="s">
        <v>3167</v>
      </c>
      <c r="J908" t="s">
        <v>1033</v>
      </c>
      <c r="K908" t="s">
        <v>3189</v>
      </c>
      <c r="L908" t="s">
        <v>1033</v>
      </c>
      <c r="M908" t="s">
        <v>980</v>
      </c>
      <c r="N908" t="s">
        <v>1031</v>
      </c>
      <c r="O908" t="s">
        <v>1031</v>
      </c>
      <c r="P908" t="s">
        <v>1089</v>
      </c>
      <c r="Q908" t="s">
        <v>3169</v>
      </c>
      <c r="R908" t="s">
        <v>446</v>
      </c>
      <c r="S908" t="s">
        <v>488</v>
      </c>
      <c r="T908" t="s">
        <v>1965</v>
      </c>
      <c r="U908" t="b">
        <v>0</v>
      </c>
      <c r="V908" t="s">
        <v>2160</v>
      </c>
    </row>
    <row r="909" spans="1:22" x14ac:dyDescent="0.25">
      <c r="A909" t="s">
        <v>42</v>
      </c>
      <c r="B909">
        <v>132</v>
      </c>
      <c r="C909" t="s">
        <v>1036</v>
      </c>
      <c r="D909" t="s">
        <v>3081</v>
      </c>
      <c r="E909" t="s">
        <v>1035</v>
      </c>
      <c r="F909" t="s">
        <v>4084</v>
      </c>
      <c r="G909" t="s">
        <v>24</v>
      </c>
      <c r="H909" t="s">
        <v>26</v>
      </c>
      <c r="I909" t="s">
        <v>3167</v>
      </c>
      <c r="J909" t="s">
        <v>1038</v>
      </c>
      <c r="K909" t="s">
        <v>3191</v>
      </c>
      <c r="L909" t="s">
        <v>1038</v>
      </c>
      <c r="M909" t="s">
        <v>980</v>
      </c>
      <c r="N909" t="s">
        <v>1037</v>
      </c>
      <c r="O909" t="s">
        <v>1037</v>
      </c>
      <c r="P909" t="s">
        <v>1089</v>
      </c>
      <c r="Q909" t="s">
        <v>3169</v>
      </c>
      <c r="R909" t="s">
        <v>446</v>
      </c>
      <c r="S909" t="s">
        <v>488</v>
      </c>
      <c r="T909" t="s">
        <v>1965</v>
      </c>
      <c r="U909" t="b">
        <v>0</v>
      </c>
      <c r="V909" t="s">
        <v>2160</v>
      </c>
    </row>
    <row r="910" spans="1:22" x14ac:dyDescent="0.25">
      <c r="A910" t="s">
        <v>42</v>
      </c>
      <c r="B910">
        <v>132</v>
      </c>
      <c r="C910" t="s">
        <v>1041</v>
      </c>
      <c r="D910" t="s">
        <v>3090</v>
      </c>
      <c r="E910" t="s">
        <v>1040</v>
      </c>
      <c r="F910" t="s">
        <v>4085</v>
      </c>
      <c r="G910" t="s">
        <v>24</v>
      </c>
      <c r="H910" t="s">
        <v>26</v>
      </c>
      <c r="I910" t="s">
        <v>3167</v>
      </c>
      <c r="J910" t="s">
        <v>1043</v>
      </c>
      <c r="K910" t="s">
        <v>3193</v>
      </c>
      <c r="L910" t="s">
        <v>1043</v>
      </c>
      <c r="M910" t="s">
        <v>980</v>
      </c>
      <c r="N910" t="s">
        <v>1042</v>
      </c>
      <c r="O910" t="s">
        <v>1042</v>
      </c>
      <c r="P910" t="s">
        <v>1089</v>
      </c>
      <c r="Q910" t="s">
        <v>3169</v>
      </c>
      <c r="R910" t="s">
        <v>446</v>
      </c>
      <c r="S910" t="s">
        <v>488</v>
      </c>
      <c r="T910" t="s">
        <v>1965</v>
      </c>
      <c r="U910" t="b">
        <v>0</v>
      </c>
      <c r="V910" t="s">
        <v>2160</v>
      </c>
    </row>
    <row r="911" spans="1:22" x14ac:dyDescent="0.25">
      <c r="A911" t="s">
        <v>42</v>
      </c>
      <c r="B911">
        <v>132</v>
      </c>
      <c r="C911" t="s">
        <v>1046</v>
      </c>
      <c r="D911" t="s">
        <v>3099</v>
      </c>
      <c r="E911" t="s">
        <v>1045</v>
      </c>
      <c r="F911" t="s">
        <v>4086</v>
      </c>
      <c r="G911" t="s">
        <v>24</v>
      </c>
      <c r="H911" t="s">
        <v>26</v>
      </c>
      <c r="I911" t="s">
        <v>3167</v>
      </c>
      <c r="J911" t="s">
        <v>1048</v>
      </c>
      <c r="K911" t="s">
        <v>3195</v>
      </c>
      <c r="L911" t="s">
        <v>1048</v>
      </c>
      <c r="M911" t="s">
        <v>1000</v>
      </c>
      <c r="N911" t="s">
        <v>1047</v>
      </c>
      <c r="O911" t="s">
        <v>1047</v>
      </c>
      <c r="P911" t="s">
        <v>1089</v>
      </c>
      <c r="Q911" t="s">
        <v>3169</v>
      </c>
      <c r="R911" t="s">
        <v>446</v>
      </c>
      <c r="S911" t="s">
        <v>488</v>
      </c>
      <c r="T911" t="s">
        <v>1965</v>
      </c>
      <c r="U911" t="b">
        <v>0</v>
      </c>
      <c r="V911" t="s">
        <v>2160</v>
      </c>
    </row>
    <row r="912" spans="1:22" x14ac:dyDescent="0.25">
      <c r="A912" t="s">
        <v>42</v>
      </c>
      <c r="B912">
        <v>132</v>
      </c>
      <c r="C912" t="s">
        <v>1050</v>
      </c>
      <c r="D912" t="s">
        <v>3108</v>
      </c>
      <c r="E912" t="s">
        <v>1032</v>
      </c>
      <c r="F912" t="s">
        <v>4086</v>
      </c>
      <c r="G912" t="s">
        <v>24</v>
      </c>
      <c r="H912" t="s">
        <v>26</v>
      </c>
      <c r="I912" t="s">
        <v>3167</v>
      </c>
      <c r="J912" t="s">
        <v>1048</v>
      </c>
      <c r="K912" t="s">
        <v>3195</v>
      </c>
      <c r="L912" t="s">
        <v>1048</v>
      </c>
      <c r="M912" t="s">
        <v>1000</v>
      </c>
      <c r="N912" t="s">
        <v>1047</v>
      </c>
      <c r="O912" t="s">
        <v>1047</v>
      </c>
      <c r="P912" t="s">
        <v>1089</v>
      </c>
      <c r="Q912" t="s">
        <v>3169</v>
      </c>
      <c r="R912" t="s">
        <v>446</v>
      </c>
      <c r="S912" t="s">
        <v>488</v>
      </c>
      <c r="T912" t="s">
        <v>1965</v>
      </c>
      <c r="U912" t="b">
        <v>0</v>
      </c>
      <c r="V912" t="s">
        <v>2160</v>
      </c>
    </row>
    <row r="913" spans="1:22" x14ac:dyDescent="0.25">
      <c r="A913" t="s">
        <v>42</v>
      </c>
      <c r="B913">
        <v>132</v>
      </c>
      <c r="C913" t="s">
        <v>1052</v>
      </c>
      <c r="D913" t="s">
        <v>3117</v>
      </c>
      <c r="E913" t="s">
        <v>1051</v>
      </c>
      <c r="F913" t="s">
        <v>4087</v>
      </c>
      <c r="G913" t="s">
        <v>24</v>
      </c>
      <c r="H913" t="s">
        <v>26</v>
      </c>
      <c r="I913" t="s">
        <v>3167</v>
      </c>
      <c r="J913" t="s">
        <v>1055</v>
      </c>
      <c r="K913" t="s">
        <v>3199</v>
      </c>
      <c r="L913" t="s">
        <v>1055</v>
      </c>
      <c r="M913" t="s">
        <v>980</v>
      </c>
      <c r="N913" t="s">
        <v>1053</v>
      </c>
      <c r="O913" t="s">
        <v>1053</v>
      </c>
      <c r="P913" t="s">
        <v>1089</v>
      </c>
      <c r="Q913" t="s">
        <v>3169</v>
      </c>
      <c r="R913" t="s">
        <v>446</v>
      </c>
      <c r="S913" t="s">
        <v>488</v>
      </c>
      <c r="T913" t="s">
        <v>1965</v>
      </c>
      <c r="U913" t="b">
        <v>0</v>
      </c>
      <c r="V913" t="s">
        <v>2160</v>
      </c>
    </row>
    <row r="914" spans="1:22" x14ac:dyDescent="0.25">
      <c r="A914" t="s">
        <v>42</v>
      </c>
      <c r="B914">
        <v>134</v>
      </c>
      <c r="C914" t="s">
        <v>979</v>
      </c>
      <c r="D914" t="s">
        <v>1493</v>
      </c>
      <c r="E914" t="s">
        <v>978</v>
      </c>
      <c r="F914">
        <v>15593</v>
      </c>
      <c r="G914" t="s">
        <v>24</v>
      </c>
      <c r="H914" t="s">
        <v>26</v>
      </c>
      <c r="I914" t="s">
        <v>3167</v>
      </c>
      <c r="J914" t="s">
        <v>984</v>
      </c>
      <c r="K914" t="s">
        <v>3168</v>
      </c>
      <c r="L914" t="s">
        <v>984</v>
      </c>
      <c r="M914" t="s">
        <v>980</v>
      </c>
      <c r="N914" t="s">
        <v>981</v>
      </c>
      <c r="O914" t="s">
        <v>981</v>
      </c>
      <c r="P914" t="s">
        <v>1089</v>
      </c>
      <c r="Q914" t="s">
        <v>3169</v>
      </c>
      <c r="R914" t="s">
        <v>2311</v>
      </c>
      <c r="S914" t="s">
        <v>4088</v>
      </c>
      <c r="T914" t="s">
        <v>3239</v>
      </c>
      <c r="U914" t="b">
        <v>0</v>
      </c>
      <c r="V914" t="s">
        <v>2310</v>
      </c>
    </row>
    <row r="915" spans="1:22" x14ac:dyDescent="0.25">
      <c r="A915" t="s">
        <v>42</v>
      </c>
      <c r="B915">
        <v>134</v>
      </c>
      <c r="C915" t="s">
        <v>987</v>
      </c>
      <c r="D915" t="s">
        <v>1495</v>
      </c>
      <c r="E915" t="s">
        <v>986</v>
      </c>
      <c r="F915">
        <v>16483</v>
      </c>
      <c r="G915" t="s">
        <v>24</v>
      </c>
      <c r="H915" t="s">
        <v>26</v>
      </c>
      <c r="I915" t="s">
        <v>3167</v>
      </c>
      <c r="J915" t="s">
        <v>990</v>
      </c>
      <c r="K915" t="s">
        <v>3171</v>
      </c>
      <c r="L915" t="s">
        <v>990</v>
      </c>
      <c r="M915" t="s">
        <v>980</v>
      </c>
      <c r="N915" t="s">
        <v>988</v>
      </c>
      <c r="O915" t="s">
        <v>988</v>
      </c>
      <c r="P915" t="s">
        <v>1089</v>
      </c>
      <c r="Q915" t="s">
        <v>3169</v>
      </c>
      <c r="R915" t="s">
        <v>2311</v>
      </c>
      <c r="S915" t="s">
        <v>4088</v>
      </c>
      <c r="T915" t="s">
        <v>3239</v>
      </c>
      <c r="U915" t="b">
        <v>0</v>
      </c>
      <c r="V915" t="s">
        <v>2310</v>
      </c>
    </row>
    <row r="916" spans="1:22" x14ac:dyDescent="0.25">
      <c r="A916" t="s">
        <v>42</v>
      </c>
      <c r="B916">
        <v>134</v>
      </c>
      <c r="C916" t="s">
        <v>993</v>
      </c>
      <c r="D916" t="s">
        <v>1497</v>
      </c>
      <c r="E916" t="s">
        <v>992</v>
      </c>
      <c r="F916">
        <v>16837</v>
      </c>
      <c r="G916" t="s">
        <v>24</v>
      </c>
      <c r="H916" t="s">
        <v>26</v>
      </c>
      <c r="I916" t="s">
        <v>3167</v>
      </c>
      <c r="J916" t="s">
        <v>996</v>
      </c>
      <c r="K916" t="s">
        <v>3173</v>
      </c>
      <c r="L916" t="s">
        <v>996</v>
      </c>
      <c r="M916" t="s">
        <v>980</v>
      </c>
      <c r="N916" t="s">
        <v>994</v>
      </c>
      <c r="O916" t="s">
        <v>994</v>
      </c>
      <c r="P916" t="s">
        <v>1089</v>
      </c>
      <c r="Q916" t="s">
        <v>3169</v>
      </c>
      <c r="R916" t="s">
        <v>2311</v>
      </c>
      <c r="S916" t="s">
        <v>4088</v>
      </c>
      <c r="T916" t="s">
        <v>3239</v>
      </c>
      <c r="U916" t="b">
        <v>0</v>
      </c>
      <c r="V916" t="s">
        <v>2310</v>
      </c>
    </row>
    <row r="917" spans="1:22" x14ac:dyDescent="0.25">
      <c r="A917" t="s">
        <v>42</v>
      </c>
      <c r="B917">
        <v>134</v>
      </c>
      <c r="C917" t="s">
        <v>999</v>
      </c>
      <c r="D917" t="s">
        <v>1499</v>
      </c>
      <c r="E917" t="s">
        <v>998</v>
      </c>
      <c r="F917">
        <v>5590</v>
      </c>
      <c r="G917" t="s">
        <v>24</v>
      </c>
      <c r="H917" t="s">
        <v>26</v>
      </c>
      <c r="I917" t="s">
        <v>3167</v>
      </c>
      <c r="J917" t="s">
        <v>1003</v>
      </c>
      <c r="K917" t="s">
        <v>3175</v>
      </c>
      <c r="L917" t="s">
        <v>1003</v>
      </c>
      <c r="M917" t="s">
        <v>1000</v>
      </c>
      <c r="N917" t="s">
        <v>1001</v>
      </c>
      <c r="O917" t="s">
        <v>1001</v>
      </c>
      <c r="P917" t="s">
        <v>1089</v>
      </c>
      <c r="Q917" t="s">
        <v>3169</v>
      </c>
      <c r="R917" t="s">
        <v>2317</v>
      </c>
      <c r="S917" t="s">
        <v>4089</v>
      </c>
      <c r="T917" t="s">
        <v>3239</v>
      </c>
      <c r="U917" t="b">
        <v>0</v>
      </c>
      <c r="V917" t="s">
        <v>2316</v>
      </c>
    </row>
    <row r="918" spans="1:22" x14ac:dyDescent="0.25">
      <c r="A918" t="s">
        <v>42</v>
      </c>
      <c r="B918">
        <v>134</v>
      </c>
      <c r="C918" t="s">
        <v>1005</v>
      </c>
      <c r="D918" t="s">
        <v>2743</v>
      </c>
      <c r="E918" t="s">
        <v>982</v>
      </c>
      <c r="F918" t="s">
        <v>4090</v>
      </c>
      <c r="G918" t="s">
        <v>24</v>
      </c>
      <c r="H918" t="s">
        <v>26</v>
      </c>
      <c r="I918" t="s">
        <v>3167</v>
      </c>
      <c r="J918" t="s">
        <v>1003</v>
      </c>
      <c r="K918" t="s">
        <v>3175</v>
      </c>
      <c r="L918" t="s">
        <v>1003</v>
      </c>
      <c r="M918" t="s">
        <v>1000</v>
      </c>
      <c r="N918" t="s">
        <v>1001</v>
      </c>
      <c r="O918" t="s">
        <v>1001</v>
      </c>
      <c r="P918" t="s">
        <v>1089</v>
      </c>
      <c r="Q918" t="s">
        <v>3169</v>
      </c>
      <c r="R918" t="s">
        <v>2317</v>
      </c>
      <c r="S918" t="s">
        <v>4089</v>
      </c>
      <c r="T918" t="s">
        <v>1965</v>
      </c>
      <c r="U918" t="b">
        <v>0</v>
      </c>
      <c r="V918" t="s">
        <v>2745</v>
      </c>
    </row>
    <row r="919" spans="1:22" x14ac:dyDescent="0.25">
      <c r="A919" t="s">
        <v>42</v>
      </c>
      <c r="B919">
        <v>134</v>
      </c>
      <c r="C919" t="s">
        <v>1007</v>
      </c>
      <c r="D919" t="s">
        <v>1501</v>
      </c>
      <c r="E919" t="s">
        <v>1006</v>
      </c>
      <c r="F919">
        <v>19425</v>
      </c>
      <c r="G919" t="s">
        <v>24</v>
      </c>
      <c r="H919" t="s">
        <v>26</v>
      </c>
      <c r="I919" t="s">
        <v>3167</v>
      </c>
      <c r="J919" t="s">
        <v>1967</v>
      </c>
      <c r="K919" t="s">
        <v>3227</v>
      </c>
      <c r="L919" t="s">
        <v>1967</v>
      </c>
      <c r="M919" t="s">
        <v>980</v>
      </c>
      <c r="N919" t="s">
        <v>1009</v>
      </c>
      <c r="O919" t="s">
        <v>1009</v>
      </c>
      <c r="P919" t="s">
        <v>1089</v>
      </c>
      <c r="Q919" t="s">
        <v>3169</v>
      </c>
      <c r="R919" t="s">
        <v>2311</v>
      </c>
      <c r="S919" t="s">
        <v>4088</v>
      </c>
      <c r="T919" t="s">
        <v>3239</v>
      </c>
      <c r="U919" t="b">
        <v>0</v>
      </c>
      <c r="V919" t="s">
        <v>2310</v>
      </c>
    </row>
    <row r="920" spans="1:22" x14ac:dyDescent="0.25">
      <c r="A920" t="s">
        <v>42</v>
      </c>
      <c r="B920">
        <v>134</v>
      </c>
      <c r="C920" t="s">
        <v>1014</v>
      </c>
      <c r="D920" t="s">
        <v>1503</v>
      </c>
      <c r="E920" t="s">
        <v>1013</v>
      </c>
      <c r="F920">
        <v>21909</v>
      </c>
      <c r="G920" t="s">
        <v>24</v>
      </c>
      <c r="H920" t="s">
        <v>26</v>
      </c>
      <c r="I920" t="s">
        <v>3167</v>
      </c>
      <c r="J920" t="s">
        <v>1016</v>
      </c>
      <c r="K920" t="s">
        <v>3181</v>
      </c>
      <c r="L920" t="s">
        <v>1016</v>
      </c>
      <c r="M920" t="s">
        <v>980</v>
      </c>
      <c r="N920" t="s">
        <v>1015</v>
      </c>
      <c r="O920" t="s">
        <v>1015</v>
      </c>
      <c r="P920" t="s">
        <v>1089</v>
      </c>
      <c r="Q920" t="s">
        <v>3169</v>
      </c>
      <c r="R920" t="s">
        <v>2311</v>
      </c>
      <c r="S920" t="s">
        <v>4088</v>
      </c>
      <c r="T920" t="s">
        <v>3239</v>
      </c>
      <c r="U920" t="b">
        <v>0</v>
      </c>
      <c r="V920" t="s">
        <v>2310</v>
      </c>
    </row>
    <row r="921" spans="1:22" x14ac:dyDescent="0.25">
      <c r="A921" t="s">
        <v>42</v>
      </c>
      <c r="B921">
        <v>134</v>
      </c>
      <c r="C921" t="s">
        <v>1019</v>
      </c>
      <c r="D921" t="s">
        <v>1505</v>
      </c>
      <c r="E921" t="s">
        <v>1018</v>
      </c>
      <c r="F921">
        <v>23820</v>
      </c>
      <c r="G921" t="s">
        <v>24</v>
      </c>
      <c r="H921" t="s">
        <v>26</v>
      </c>
      <c r="I921" t="s">
        <v>3167</v>
      </c>
      <c r="J921" t="s">
        <v>1021</v>
      </c>
      <c r="K921" t="s">
        <v>3183</v>
      </c>
      <c r="L921" t="s">
        <v>1021</v>
      </c>
      <c r="M921" t="s">
        <v>980</v>
      </c>
      <c r="N921" t="s">
        <v>1020</v>
      </c>
      <c r="O921" t="s">
        <v>1020</v>
      </c>
      <c r="P921" t="s">
        <v>1089</v>
      </c>
      <c r="Q921" t="s">
        <v>3169</v>
      </c>
      <c r="R921" t="s">
        <v>2311</v>
      </c>
      <c r="S921" t="s">
        <v>4088</v>
      </c>
      <c r="T921" t="s">
        <v>3239</v>
      </c>
      <c r="U921" t="b">
        <v>0</v>
      </c>
      <c r="V921" t="s">
        <v>2310</v>
      </c>
    </row>
    <row r="922" spans="1:22" x14ac:dyDescent="0.25">
      <c r="A922" t="s">
        <v>42</v>
      </c>
      <c r="B922">
        <v>134</v>
      </c>
      <c r="C922" t="s">
        <v>1024</v>
      </c>
      <c r="D922" t="s">
        <v>1507</v>
      </c>
      <c r="E922" t="s">
        <v>1023</v>
      </c>
      <c r="F922">
        <v>5468</v>
      </c>
      <c r="G922" t="s">
        <v>24</v>
      </c>
      <c r="H922" t="s">
        <v>26</v>
      </c>
      <c r="I922" t="s">
        <v>3167</v>
      </c>
      <c r="J922" t="s">
        <v>1026</v>
      </c>
      <c r="K922" t="s">
        <v>3185</v>
      </c>
      <c r="L922" t="s">
        <v>1026</v>
      </c>
      <c r="M922" t="s">
        <v>1000</v>
      </c>
      <c r="N922" t="s">
        <v>1025</v>
      </c>
      <c r="O922" t="s">
        <v>1025</v>
      </c>
      <c r="P922" t="s">
        <v>1089</v>
      </c>
      <c r="Q922" t="s">
        <v>3169</v>
      </c>
      <c r="R922" t="s">
        <v>2317</v>
      </c>
      <c r="S922" t="s">
        <v>4089</v>
      </c>
      <c r="T922" t="s">
        <v>3239</v>
      </c>
      <c r="U922" t="b">
        <v>0</v>
      </c>
      <c r="V922" t="s">
        <v>2316</v>
      </c>
    </row>
    <row r="923" spans="1:22" x14ac:dyDescent="0.25">
      <c r="A923" t="s">
        <v>42</v>
      </c>
      <c r="B923">
        <v>134</v>
      </c>
      <c r="C923" t="s">
        <v>1028</v>
      </c>
      <c r="D923" t="s">
        <v>2746</v>
      </c>
      <c r="E923" t="s">
        <v>1010</v>
      </c>
      <c r="F923" t="s">
        <v>4091</v>
      </c>
      <c r="G923" t="s">
        <v>24</v>
      </c>
      <c r="H923" t="s">
        <v>26</v>
      </c>
      <c r="I923" t="s">
        <v>3167</v>
      </c>
      <c r="J923" t="s">
        <v>1026</v>
      </c>
      <c r="K923" t="s">
        <v>3185</v>
      </c>
      <c r="L923" t="s">
        <v>1026</v>
      </c>
      <c r="M923" t="s">
        <v>1000</v>
      </c>
      <c r="N923" t="s">
        <v>1025</v>
      </c>
      <c r="O923" t="s">
        <v>1025</v>
      </c>
      <c r="P923" t="s">
        <v>1089</v>
      </c>
      <c r="Q923" t="s">
        <v>3169</v>
      </c>
      <c r="R923" t="s">
        <v>2317</v>
      </c>
      <c r="S923" t="s">
        <v>4089</v>
      </c>
      <c r="T923" t="s">
        <v>1965</v>
      </c>
      <c r="U923" t="b">
        <v>0</v>
      </c>
      <c r="V923" t="s">
        <v>2745</v>
      </c>
    </row>
    <row r="924" spans="1:22" x14ac:dyDescent="0.25">
      <c r="A924" t="s">
        <v>42</v>
      </c>
      <c r="B924">
        <v>134</v>
      </c>
      <c r="C924" t="s">
        <v>1030</v>
      </c>
      <c r="D924" t="s">
        <v>1509</v>
      </c>
      <c r="E924" t="s">
        <v>1029</v>
      </c>
      <c r="F924">
        <v>16499</v>
      </c>
      <c r="G924" t="s">
        <v>24</v>
      </c>
      <c r="H924" t="s">
        <v>26</v>
      </c>
      <c r="I924" t="s">
        <v>3167</v>
      </c>
      <c r="J924" t="s">
        <v>1033</v>
      </c>
      <c r="K924" t="s">
        <v>3189</v>
      </c>
      <c r="L924" t="s">
        <v>1033</v>
      </c>
      <c r="M924" t="s">
        <v>980</v>
      </c>
      <c r="N924" t="s">
        <v>1031</v>
      </c>
      <c r="O924" t="s">
        <v>1031</v>
      </c>
      <c r="P924" t="s">
        <v>1089</v>
      </c>
      <c r="Q924" t="s">
        <v>3169</v>
      </c>
      <c r="R924" t="s">
        <v>2311</v>
      </c>
      <c r="S924" t="s">
        <v>4088</v>
      </c>
      <c r="T924" t="s">
        <v>3239</v>
      </c>
      <c r="U924" t="b">
        <v>0</v>
      </c>
      <c r="V924" t="s">
        <v>2310</v>
      </c>
    </row>
    <row r="925" spans="1:22" x14ac:dyDescent="0.25">
      <c r="A925" t="s">
        <v>42</v>
      </c>
      <c r="B925">
        <v>134</v>
      </c>
      <c r="C925" t="s">
        <v>1036</v>
      </c>
      <c r="D925" t="s">
        <v>1511</v>
      </c>
      <c r="E925" t="s">
        <v>1035</v>
      </c>
      <c r="F925">
        <v>17030</v>
      </c>
      <c r="G925" t="s">
        <v>24</v>
      </c>
      <c r="H925" t="s">
        <v>26</v>
      </c>
      <c r="I925" t="s">
        <v>3167</v>
      </c>
      <c r="J925" t="s">
        <v>1038</v>
      </c>
      <c r="K925" t="s">
        <v>3191</v>
      </c>
      <c r="L925" t="s">
        <v>1038</v>
      </c>
      <c r="M925" t="s">
        <v>980</v>
      </c>
      <c r="N925" t="s">
        <v>1037</v>
      </c>
      <c r="O925" t="s">
        <v>1037</v>
      </c>
      <c r="P925" t="s">
        <v>1089</v>
      </c>
      <c r="Q925" t="s">
        <v>3169</v>
      </c>
      <c r="R925" t="s">
        <v>2311</v>
      </c>
      <c r="S925" t="s">
        <v>4088</v>
      </c>
      <c r="T925" t="s">
        <v>3239</v>
      </c>
      <c r="U925" t="b">
        <v>0</v>
      </c>
      <c r="V925" t="s">
        <v>2310</v>
      </c>
    </row>
    <row r="926" spans="1:22" x14ac:dyDescent="0.25">
      <c r="A926" t="s">
        <v>42</v>
      </c>
      <c r="B926">
        <v>134</v>
      </c>
      <c r="C926" t="s">
        <v>1041</v>
      </c>
      <c r="D926" t="s">
        <v>1513</v>
      </c>
      <c r="E926" t="s">
        <v>1040</v>
      </c>
      <c r="F926">
        <v>17692</v>
      </c>
      <c r="G926" t="s">
        <v>24</v>
      </c>
      <c r="H926" t="s">
        <v>26</v>
      </c>
      <c r="I926" t="s">
        <v>3167</v>
      </c>
      <c r="J926" t="s">
        <v>1043</v>
      </c>
      <c r="K926" t="s">
        <v>3193</v>
      </c>
      <c r="L926" t="s">
        <v>1043</v>
      </c>
      <c r="M926" t="s">
        <v>980</v>
      </c>
      <c r="N926" t="s">
        <v>1042</v>
      </c>
      <c r="O926" t="s">
        <v>1042</v>
      </c>
      <c r="P926" t="s">
        <v>1089</v>
      </c>
      <c r="Q926" t="s">
        <v>3169</v>
      </c>
      <c r="R926" t="s">
        <v>2311</v>
      </c>
      <c r="S926" t="s">
        <v>4088</v>
      </c>
      <c r="T926" t="s">
        <v>3239</v>
      </c>
      <c r="U926" t="b">
        <v>0</v>
      </c>
      <c r="V926" t="s">
        <v>2310</v>
      </c>
    </row>
    <row r="927" spans="1:22" x14ac:dyDescent="0.25">
      <c r="A927" t="s">
        <v>42</v>
      </c>
      <c r="B927">
        <v>134</v>
      </c>
      <c r="C927" t="s">
        <v>1046</v>
      </c>
      <c r="D927" t="s">
        <v>1515</v>
      </c>
      <c r="E927" t="s">
        <v>1045</v>
      </c>
      <c r="F927">
        <v>5649</v>
      </c>
      <c r="G927" t="s">
        <v>24</v>
      </c>
      <c r="H927" t="s">
        <v>26</v>
      </c>
      <c r="I927" t="s">
        <v>3167</v>
      </c>
      <c r="J927" t="s">
        <v>1048</v>
      </c>
      <c r="K927" t="s">
        <v>3195</v>
      </c>
      <c r="L927" t="s">
        <v>1048</v>
      </c>
      <c r="M927" t="s">
        <v>1000</v>
      </c>
      <c r="N927" t="s">
        <v>1047</v>
      </c>
      <c r="O927" t="s">
        <v>1047</v>
      </c>
      <c r="P927" t="s">
        <v>1089</v>
      </c>
      <c r="Q927" t="s">
        <v>3169</v>
      </c>
      <c r="R927" t="s">
        <v>2317</v>
      </c>
      <c r="S927" t="s">
        <v>4089</v>
      </c>
      <c r="T927" t="s">
        <v>3239</v>
      </c>
      <c r="U927" t="b">
        <v>0</v>
      </c>
      <c r="V927" t="s">
        <v>2316</v>
      </c>
    </row>
    <row r="928" spans="1:22" x14ac:dyDescent="0.25">
      <c r="A928" t="s">
        <v>42</v>
      </c>
      <c r="B928">
        <v>134</v>
      </c>
      <c r="C928" t="s">
        <v>1050</v>
      </c>
      <c r="D928" t="s">
        <v>2748</v>
      </c>
      <c r="E928" t="s">
        <v>1032</v>
      </c>
      <c r="F928" t="s">
        <v>4092</v>
      </c>
      <c r="G928" t="s">
        <v>24</v>
      </c>
      <c r="H928" t="s">
        <v>26</v>
      </c>
      <c r="I928" t="s">
        <v>3167</v>
      </c>
      <c r="J928" t="s">
        <v>1048</v>
      </c>
      <c r="K928" t="s">
        <v>3195</v>
      </c>
      <c r="L928" t="s">
        <v>1048</v>
      </c>
      <c r="M928" t="s">
        <v>1000</v>
      </c>
      <c r="N928" t="s">
        <v>1047</v>
      </c>
      <c r="O928" t="s">
        <v>1047</v>
      </c>
      <c r="P928" t="s">
        <v>1089</v>
      </c>
      <c r="Q928" t="s">
        <v>3169</v>
      </c>
      <c r="R928" t="s">
        <v>2317</v>
      </c>
      <c r="S928" t="s">
        <v>4089</v>
      </c>
      <c r="T928" t="s">
        <v>1965</v>
      </c>
      <c r="U928" t="b">
        <v>0</v>
      </c>
      <c r="V928" t="s">
        <v>2745</v>
      </c>
    </row>
    <row r="929" spans="1:22" x14ac:dyDescent="0.25">
      <c r="A929" t="s">
        <v>42</v>
      </c>
      <c r="B929">
        <v>134</v>
      </c>
      <c r="C929" t="s">
        <v>1052</v>
      </c>
      <c r="D929" t="s">
        <v>1517</v>
      </c>
      <c r="E929" t="s">
        <v>1051</v>
      </c>
      <c r="F929">
        <v>14409</v>
      </c>
      <c r="G929" t="s">
        <v>24</v>
      </c>
      <c r="H929" t="s">
        <v>26</v>
      </c>
      <c r="I929" t="s">
        <v>3167</v>
      </c>
      <c r="J929" t="s">
        <v>1055</v>
      </c>
      <c r="K929" t="s">
        <v>3199</v>
      </c>
      <c r="L929" t="s">
        <v>1055</v>
      </c>
      <c r="M929" t="s">
        <v>980</v>
      </c>
      <c r="N929" t="s">
        <v>1053</v>
      </c>
      <c r="O929" t="s">
        <v>1053</v>
      </c>
      <c r="P929" t="s">
        <v>1089</v>
      </c>
      <c r="Q929" t="s">
        <v>3169</v>
      </c>
      <c r="R929" t="s">
        <v>2311</v>
      </c>
      <c r="S929" t="s">
        <v>4088</v>
      </c>
      <c r="T929" t="s">
        <v>3239</v>
      </c>
      <c r="U929" t="b">
        <v>0</v>
      </c>
      <c r="V929" t="s">
        <v>2310</v>
      </c>
    </row>
    <row r="930" spans="1:22" x14ac:dyDescent="0.25">
      <c r="A930" t="s">
        <v>42</v>
      </c>
      <c r="B930">
        <v>135</v>
      </c>
      <c r="C930" t="s">
        <v>979</v>
      </c>
      <c r="D930" t="s">
        <v>1519</v>
      </c>
      <c r="E930" t="s">
        <v>978</v>
      </c>
      <c r="F930">
        <v>1498</v>
      </c>
      <c r="G930" t="s">
        <v>24</v>
      </c>
      <c r="H930" t="s">
        <v>26</v>
      </c>
      <c r="I930" t="s">
        <v>3167</v>
      </c>
      <c r="J930" t="s">
        <v>984</v>
      </c>
      <c r="K930" t="s">
        <v>3168</v>
      </c>
      <c r="L930" t="s">
        <v>984</v>
      </c>
      <c r="M930" t="s">
        <v>980</v>
      </c>
      <c r="N930" t="s">
        <v>981</v>
      </c>
      <c r="O930" t="s">
        <v>981</v>
      </c>
      <c r="P930" t="s">
        <v>1089</v>
      </c>
      <c r="Q930" t="s">
        <v>3169</v>
      </c>
      <c r="R930" t="s">
        <v>2328</v>
      </c>
      <c r="S930" t="s">
        <v>4093</v>
      </c>
      <c r="T930" t="s">
        <v>3239</v>
      </c>
      <c r="U930" t="b">
        <v>0</v>
      </c>
      <c r="V930" t="s">
        <v>2332</v>
      </c>
    </row>
    <row r="931" spans="1:22" x14ac:dyDescent="0.25">
      <c r="A931" t="s">
        <v>42</v>
      </c>
      <c r="B931">
        <v>135</v>
      </c>
      <c r="C931" t="s">
        <v>987</v>
      </c>
      <c r="D931" t="s">
        <v>1521</v>
      </c>
      <c r="E931" t="s">
        <v>986</v>
      </c>
      <c r="F931">
        <v>1643</v>
      </c>
      <c r="G931" t="s">
        <v>24</v>
      </c>
      <c r="H931" t="s">
        <v>26</v>
      </c>
      <c r="I931" t="s">
        <v>3167</v>
      </c>
      <c r="J931" t="s">
        <v>990</v>
      </c>
      <c r="K931" t="s">
        <v>3171</v>
      </c>
      <c r="L931" t="s">
        <v>990</v>
      </c>
      <c r="M931" t="s">
        <v>980</v>
      </c>
      <c r="N931" t="s">
        <v>988</v>
      </c>
      <c r="O931" t="s">
        <v>988</v>
      </c>
      <c r="P931" t="s">
        <v>1089</v>
      </c>
      <c r="Q931" t="s">
        <v>3169</v>
      </c>
      <c r="R931" t="s">
        <v>2971</v>
      </c>
      <c r="S931" t="s">
        <v>4094</v>
      </c>
      <c r="T931" t="s">
        <v>3239</v>
      </c>
      <c r="U931" t="b">
        <v>0</v>
      </c>
      <c r="V931" t="s">
        <v>2337</v>
      </c>
    </row>
    <row r="932" spans="1:22" x14ac:dyDescent="0.25">
      <c r="A932" t="s">
        <v>42</v>
      </c>
      <c r="B932">
        <v>135</v>
      </c>
      <c r="C932" t="s">
        <v>993</v>
      </c>
      <c r="D932" t="s">
        <v>1523</v>
      </c>
      <c r="E932" t="s">
        <v>992</v>
      </c>
      <c r="F932">
        <v>1603</v>
      </c>
      <c r="G932" t="s">
        <v>24</v>
      </c>
      <c r="H932" t="s">
        <v>26</v>
      </c>
      <c r="I932" t="s">
        <v>3167</v>
      </c>
      <c r="J932" t="s">
        <v>996</v>
      </c>
      <c r="K932" t="s">
        <v>3173</v>
      </c>
      <c r="L932" t="s">
        <v>996</v>
      </c>
      <c r="M932" t="s">
        <v>980</v>
      </c>
      <c r="N932" t="s">
        <v>994</v>
      </c>
      <c r="O932" t="s">
        <v>994</v>
      </c>
      <c r="P932" t="s">
        <v>1089</v>
      </c>
      <c r="Q932" t="s">
        <v>3169</v>
      </c>
      <c r="R932" t="s">
        <v>2971</v>
      </c>
      <c r="S932" t="s">
        <v>4094</v>
      </c>
      <c r="T932" t="s">
        <v>3239</v>
      </c>
      <c r="U932" t="b">
        <v>0</v>
      </c>
      <c r="V932" t="s">
        <v>2337</v>
      </c>
    </row>
    <row r="933" spans="1:22" x14ac:dyDescent="0.25">
      <c r="A933" t="s">
        <v>42</v>
      </c>
      <c r="B933">
        <v>135</v>
      </c>
      <c r="C933" t="s">
        <v>999</v>
      </c>
      <c r="D933" t="s">
        <v>1525</v>
      </c>
      <c r="E933" t="s">
        <v>998</v>
      </c>
      <c r="F933">
        <v>1593</v>
      </c>
      <c r="G933" t="s">
        <v>24</v>
      </c>
      <c r="H933" t="s">
        <v>26</v>
      </c>
      <c r="I933" t="s">
        <v>3167</v>
      </c>
      <c r="J933" t="s">
        <v>1003</v>
      </c>
      <c r="K933" t="s">
        <v>3175</v>
      </c>
      <c r="L933" t="s">
        <v>1003</v>
      </c>
      <c r="M933" t="s">
        <v>1000</v>
      </c>
      <c r="N933" t="s">
        <v>1001</v>
      </c>
      <c r="O933" t="s">
        <v>1001</v>
      </c>
      <c r="P933" t="s">
        <v>1089</v>
      </c>
      <c r="Q933" t="s">
        <v>3169</v>
      </c>
      <c r="R933" t="s">
        <v>2971</v>
      </c>
      <c r="S933" t="s">
        <v>4094</v>
      </c>
      <c r="T933" t="s">
        <v>3239</v>
      </c>
      <c r="U933" t="b">
        <v>0</v>
      </c>
      <c r="V933" t="s">
        <v>2337</v>
      </c>
    </row>
    <row r="934" spans="1:22" x14ac:dyDescent="0.25">
      <c r="A934" t="s">
        <v>42</v>
      </c>
      <c r="B934">
        <v>135</v>
      </c>
      <c r="C934" t="s">
        <v>1005</v>
      </c>
      <c r="D934" t="s">
        <v>2750</v>
      </c>
      <c r="E934" t="s">
        <v>982</v>
      </c>
      <c r="F934" t="s">
        <v>4095</v>
      </c>
      <c r="G934" t="s">
        <v>24</v>
      </c>
      <c r="H934" t="s">
        <v>26</v>
      </c>
      <c r="I934" t="s">
        <v>3167</v>
      </c>
      <c r="J934" t="s">
        <v>1003</v>
      </c>
      <c r="K934" t="s">
        <v>3175</v>
      </c>
      <c r="L934" t="s">
        <v>1003</v>
      </c>
      <c r="M934" t="s">
        <v>1000</v>
      </c>
      <c r="N934" t="s">
        <v>1001</v>
      </c>
      <c r="O934" t="s">
        <v>1001</v>
      </c>
      <c r="P934" t="s">
        <v>1089</v>
      </c>
      <c r="Q934" t="s">
        <v>3169</v>
      </c>
      <c r="R934" t="s">
        <v>2328</v>
      </c>
      <c r="S934" t="s">
        <v>4094</v>
      </c>
      <c r="T934" t="s">
        <v>1965</v>
      </c>
      <c r="U934" t="b">
        <v>0</v>
      </c>
      <c r="V934" t="s">
        <v>2752</v>
      </c>
    </row>
    <row r="935" spans="1:22" x14ac:dyDescent="0.25">
      <c r="A935" t="s">
        <v>42</v>
      </c>
      <c r="B935">
        <v>135</v>
      </c>
      <c r="C935" t="s">
        <v>1007</v>
      </c>
      <c r="D935" t="s">
        <v>1527</v>
      </c>
      <c r="E935" t="s">
        <v>1006</v>
      </c>
      <c r="F935">
        <v>1485</v>
      </c>
      <c r="G935" t="s">
        <v>24</v>
      </c>
      <c r="H935" t="s">
        <v>26</v>
      </c>
      <c r="I935" t="s">
        <v>3167</v>
      </c>
      <c r="J935" t="s">
        <v>1967</v>
      </c>
      <c r="K935" t="s">
        <v>3227</v>
      </c>
      <c r="L935" t="s">
        <v>1967</v>
      </c>
      <c r="M935" t="s">
        <v>980</v>
      </c>
      <c r="N935" t="s">
        <v>1009</v>
      </c>
      <c r="O935" t="s">
        <v>1009</v>
      </c>
      <c r="P935" t="s">
        <v>1089</v>
      </c>
      <c r="Q935" t="s">
        <v>3169</v>
      </c>
      <c r="R935" t="s">
        <v>2343</v>
      </c>
      <c r="S935" t="s">
        <v>4093</v>
      </c>
      <c r="T935" t="s">
        <v>3239</v>
      </c>
      <c r="U935" t="b">
        <v>0</v>
      </c>
      <c r="V935" t="s">
        <v>2344</v>
      </c>
    </row>
    <row r="936" spans="1:22" x14ac:dyDescent="0.25">
      <c r="A936" t="s">
        <v>42</v>
      </c>
      <c r="B936">
        <v>135</v>
      </c>
      <c r="C936" t="s">
        <v>1014</v>
      </c>
      <c r="D936" t="s">
        <v>1529</v>
      </c>
      <c r="E936" t="s">
        <v>1013</v>
      </c>
      <c r="F936">
        <v>1622</v>
      </c>
      <c r="G936" t="s">
        <v>24</v>
      </c>
      <c r="H936" t="s">
        <v>26</v>
      </c>
      <c r="I936" t="s">
        <v>3167</v>
      </c>
      <c r="J936" t="s">
        <v>1016</v>
      </c>
      <c r="K936" t="s">
        <v>3181</v>
      </c>
      <c r="L936" t="s">
        <v>1016</v>
      </c>
      <c r="M936" t="s">
        <v>980</v>
      </c>
      <c r="N936" t="s">
        <v>1015</v>
      </c>
      <c r="O936" t="s">
        <v>1015</v>
      </c>
      <c r="P936" t="s">
        <v>1089</v>
      </c>
      <c r="Q936" t="s">
        <v>3169</v>
      </c>
      <c r="R936" t="s">
        <v>2328</v>
      </c>
      <c r="S936" t="s">
        <v>4093</v>
      </c>
      <c r="T936" t="s">
        <v>3239</v>
      </c>
      <c r="U936" t="b">
        <v>0</v>
      </c>
      <c r="V936" t="s">
        <v>2332</v>
      </c>
    </row>
    <row r="937" spans="1:22" x14ac:dyDescent="0.25">
      <c r="A937" t="s">
        <v>42</v>
      </c>
      <c r="B937">
        <v>135</v>
      </c>
      <c r="C937" t="s">
        <v>1019</v>
      </c>
      <c r="D937" t="s">
        <v>1531</v>
      </c>
      <c r="E937" t="s">
        <v>1018</v>
      </c>
      <c r="F937">
        <v>1479</v>
      </c>
      <c r="G937" t="s">
        <v>24</v>
      </c>
      <c r="H937" t="s">
        <v>26</v>
      </c>
      <c r="I937" t="s">
        <v>3167</v>
      </c>
      <c r="J937" t="s">
        <v>1021</v>
      </c>
      <c r="K937" t="s">
        <v>3183</v>
      </c>
      <c r="L937" t="s">
        <v>1021</v>
      </c>
      <c r="M937" t="s">
        <v>980</v>
      </c>
      <c r="N937" t="s">
        <v>1020</v>
      </c>
      <c r="O937" t="s">
        <v>1020</v>
      </c>
      <c r="P937" t="s">
        <v>1089</v>
      </c>
      <c r="Q937" t="s">
        <v>3169</v>
      </c>
      <c r="R937" t="s">
        <v>2328</v>
      </c>
      <c r="S937" t="s">
        <v>4093</v>
      </c>
      <c r="T937" t="s">
        <v>3239</v>
      </c>
      <c r="U937" t="b">
        <v>0</v>
      </c>
      <c r="V937" t="s">
        <v>2332</v>
      </c>
    </row>
    <row r="938" spans="1:22" x14ac:dyDescent="0.25">
      <c r="A938" t="s">
        <v>42</v>
      </c>
      <c r="B938">
        <v>135</v>
      </c>
      <c r="C938" t="s">
        <v>1024</v>
      </c>
      <c r="D938" t="s">
        <v>1533</v>
      </c>
      <c r="E938" t="s">
        <v>1023</v>
      </c>
      <c r="F938">
        <v>1387</v>
      </c>
      <c r="G938" t="s">
        <v>24</v>
      </c>
      <c r="H938" t="s">
        <v>26</v>
      </c>
      <c r="I938" t="s">
        <v>3167</v>
      </c>
      <c r="J938" t="s">
        <v>1026</v>
      </c>
      <c r="K938" t="s">
        <v>3185</v>
      </c>
      <c r="L938" t="s">
        <v>1026</v>
      </c>
      <c r="M938" t="s">
        <v>1000</v>
      </c>
      <c r="N938" t="s">
        <v>1025</v>
      </c>
      <c r="O938" t="s">
        <v>1025</v>
      </c>
      <c r="P938" t="s">
        <v>1089</v>
      </c>
      <c r="Q938" t="s">
        <v>3169</v>
      </c>
      <c r="R938" t="s">
        <v>2328</v>
      </c>
      <c r="S938" t="s">
        <v>4093</v>
      </c>
      <c r="T938" t="s">
        <v>3239</v>
      </c>
      <c r="U938" t="b">
        <v>0</v>
      </c>
      <c r="V938" t="s">
        <v>2332</v>
      </c>
    </row>
    <row r="939" spans="1:22" x14ac:dyDescent="0.25">
      <c r="A939" t="s">
        <v>42</v>
      </c>
      <c r="B939">
        <v>135</v>
      </c>
      <c r="C939" t="s">
        <v>1028</v>
      </c>
      <c r="D939" t="s">
        <v>2753</v>
      </c>
      <c r="E939" t="s">
        <v>1010</v>
      </c>
      <c r="F939" t="s">
        <v>4096</v>
      </c>
      <c r="G939" t="s">
        <v>24</v>
      </c>
      <c r="H939" t="s">
        <v>26</v>
      </c>
      <c r="I939" t="s">
        <v>3167</v>
      </c>
      <c r="J939" t="s">
        <v>1026</v>
      </c>
      <c r="K939" t="s">
        <v>3185</v>
      </c>
      <c r="L939" t="s">
        <v>1026</v>
      </c>
      <c r="M939" t="s">
        <v>1000</v>
      </c>
      <c r="N939" t="s">
        <v>1025</v>
      </c>
      <c r="O939" t="s">
        <v>1025</v>
      </c>
      <c r="P939" t="s">
        <v>1089</v>
      </c>
      <c r="Q939" t="s">
        <v>3169</v>
      </c>
      <c r="R939" t="s">
        <v>2328</v>
      </c>
      <c r="S939" t="s">
        <v>4093</v>
      </c>
      <c r="T939" t="s">
        <v>1965</v>
      </c>
      <c r="U939" t="b">
        <v>0</v>
      </c>
      <c r="V939" t="s">
        <v>2755</v>
      </c>
    </row>
    <row r="940" spans="1:22" x14ac:dyDescent="0.25">
      <c r="A940" t="s">
        <v>42</v>
      </c>
      <c r="B940">
        <v>135</v>
      </c>
      <c r="C940" t="s">
        <v>1030</v>
      </c>
      <c r="D940" t="s">
        <v>1535</v>
      </c>
      <c r="E940" t="s">
        <v>1029</v>
      </c>
      <c r="F940">
        <v>1728</v>
      </c>
      <c r="G940" t="s">
        <v>24</v>
      </c>
      <c r="H940" t="s">
        <v>26</v>
      </c>
      <c r="I940" t="s">
        <v>3167</v>
      </c>
      <c r="J940" t="s">
        <v>1033</v>
      </c>
      <c r="K940" t="s">
        <v>3189</v>
      </c>
      <c r="L940" t="s">
        <v>1033</v>
      </c>
      <c r="M940" t="s">
        <v>980</v>
      </c>
      <c r="N940" t="s">
        <v>1031</v>
      </c>
      <c r="O940" t="s">
        <v>1031</v>
      </c>
      <c r="P940" t="s">
        <v>1089</v>
      </c>
      <c r="Q940" t="s">
        <v>3169</v>
      </c>
      <c r="R940" t="s">
        <v>2328</v>
      </c>
      <c r="S940" t="s">
        <v>4093</v>
      </c>
      <c r="T940" t="s">
        <v>3239</v>
      </c>
      <c r="U940" t="b">
        <v>0</v>
      </c>
      <c r="V940" t="s">
        <v>2332</v>
      </c>
    </row>
    <row r="941" spans="1:22" x14ac:dyDescent="0.25">
      <c r="A941" t="s">
        <v>42</v>
      </c>
      <c r="B941">
        <v>135</v>
      </c>
      <c r="C941" t="s">
        <v>1036</v>
      </c>
      <c r="D941" t="s">
        <v>1537</v>
      </c>
      <c r="E941" t="s">
        <v>1035</v>
      </c>
      <c r="F941">
        <v>444</v>
      </c>
      <c r="G941" t="s">
        <v>24</v>
      </c>
      <c r="H941" t="s">
        <v>26</v>
      </c>
      <c r="I941" t="s">
        <v>3167</v>
      </c>
      <c r="J941" t="s">
        <v>1038</v>
      </c>
      <c r="K941" t="s">
        <v>3191</v>
      </c>
      <c r="L941" t="s">
        <v>1038</v>
      </c>
      <c r="M941" t="s">
        <v>980</v>
      </c>
      <c r="N941" t="s">
        <v>1037</v>
      </c>
      <c r="O941" t="s">
        <v>1037</v>
      </c>
      <c r="P941" t="s">
        <v>1089</v>
      </c>
      <c r="Q941" t="s">
        <v>3169</v>
      </c>
      <c r="R941" t="s">
        <v>2328</v>
      </c>
      <c r="S941" t="s">
        <v>4093</v>
      </c>
      <c r="T941" t="s">
        <v>3239</v>
      </c>
      <c r="U941" t="b">
        <v>0</v>
      </c>
      <c r="V941" t="s">
        <v>2332</v>
      </c>
    </row>
    <row r="942" spans="1:22" x14ac:dyDescent="0.25">
      <c r="A942" t="s">
        <v>42</v>
      </c>
      <c r="B942">
        <v>135</v>
      </c>
      <c r="C942" t="s">
        <v>1041</v>
      </c>
      <c r="D942" t="s">
        <v>1539</v>
      </c>
      <c r="E942" t="s">
        <v>1040</v>
      </c>
      <c r="F942">
        <v>568</v>
      </c>
      <c r="G942" t="s">
        <v>24</v>
      </c>
      <c r="H942" t="s">
        <v>26</v>
      </c>
      <c r="I942" t="s">
        <v>3167</v>
      </c>
      <c r="J942" t="s">
        <v>1043</v>
      </c>
      <c r="K942" t="s">
        <v>3193</v>
      </c>
      <c r="L942" t="s">
        <v>1043</v>
      </c>
      <c r="M942" t="s">
        <v>980</v>
      </c>
      <c r="N942" t="s">
        <v>1042</v>
      </c>
      <c r="O942" t="s">
        <v>1042</v>
      </c>
      <c r="P942" t="s">
        <v>1089</v>
      </c>
      <c r="Q942" t="s">
        <v>3169</v>
      </c>
      <c r="R942" t="s">
        <v>2328</v>
      </c>
      <c r="S942" t="s">
        <v>4093</v>
      </c>
      <c r="T942" t="s">
        <v>3239</v>
      </c>
      <c r="U942" t="b">
        <v>0</v>
      </c>
      <c r="V942" t="s">
        <v>2332</v>
      </c>
    </row>
    <row r="943" spans="1:22" x14ac:dyDescent="0.25">
      <c r="A943" t="s">
        <v>42</v>
      </c>
      <c r="B943">
        <v>135</v>
      </c>
      <c r="C943" t="s">
        <v>1046</v>
      </c>
      <c r="D943" t="s">
        <v>1541</v>
      </c>
      <c r="E943" t="s">
        <v>1045</v>
      </c>
      <c r="F943">
        <v>525</v>
      </c>
      <c r="G943" t="s">
        <v>24</v>
      </c>
      <c r="H943" t="s">
        <v>26</v>
      </c>
      <c r="I943" t="s">
        <v>3167</v>
      </c>
      <c r="J943" t="s">
        <v>1048</v>
      </c>
      <c r="K943" t="s">
        <v>3195</v>
      </c>
      <c r="L943" t="s">
        <v>1048</v>
      </c>
      <c r="M943" t="s">
        <v>1000</v>
      </c>
      <c r="N943" t="s">
        <v>1047</v>
      </c>
      <c r="O943" t="s">
        <v>1047</v>
      </c>
      <c r="P943" t="s">
        <v>1089</v>
      </c>
      <c r="Q943" t="s">
        <v>3169</v>
      </c>
      <c r="R943" t="s">
        <v>2328</v>
      </c>
      <c r="S943" t="s">
        <v>4093</v>
      </c>
      <c r="T943" t="s">
        <v>3239</v>
      </c>
      <c r="U943" t="b">
        <v>0</v>
      </c>
      <c r="V943" t="s">
        <v>2332</v>
      </c>
    </row>
    <row r="944" spans="1:22" x14ac:dyDescent="0.25">
      <c r="A944" t="s">
        <v>42</v>
      </c>
      <c r="B944">
        <v>135</v>
      </c>
      <c r="C944" t="s">
        <v>1050</v>
      </c>
      <c r="D944" t="s">
        <v>2756</v>
      </c>
      <c r="E944" t="s">
        <v>1032</v>
      </c>
      <c r="F944" t="s">
        <v>4097</v>
      </c>
      <c r="G944" t="s">
        <v>24</v>
      </c>
      <c r="H944" t="s">
        <v>26</v>
      </c>
      <c r="I944" t="s">
        <v>3167</v>
      </c>
      <c r="J944" t="s">
        <v>1048</v>
      </c>
      <c r="K944" t="s">
        <v>3195</v>
      </c>
      <c r="L944" t="s">
        <v>1048</v>
      </c>
      <c r="M944" t="s">
        <v>1000</v>
      </c>
      <c r="N944" t="s">
        <v>1047</v>
      </c>
      <c r="O944" t="s">
        <v>1047</v>
      </c>
      <c r="P944" t="s">
        <v>1089</v>
      </c>
      <c r="Q944" t="s">
        <v>3169</v>
      </c>
      <c r="R944" t="s">
        <v>2328</v>
      </c>
      <c r="S944" t="s">
        <v>4093</v>
      </c>
      <c r="T944" t="s">
        <v>1965</v>
      </c>
      <c r="U944" t="b">
        <v>0</v>
      </c>
      <c r="V944" t="s">
        <v>2755</v>
      </c>
    </row>
    <row r="945" spans="1:22" x14ac:dyDescent="0.25">
      <c r="A945" t="s">
        <v>42</v>
      </c>
      <c r="B945">
        <v>135</v>
      </c>
      <c r="C945" t="s">
        <v>1052</v>
      </c>
      <c r="D945" t="s">
        <v>1543</v>
      </c>
      <c r="E945" t="s">
        <v>1051</v>
      </c>
      <c r="F945">
        <v>717</v>
      </c>
      <c r="G945" t="s">
        <v>24</v>
      </c>
      <c r="H945" t="s">
        <v>26</v>
      </c>
      <c r="I945" t="s">
        <v>3167</v>
      </c>
      <c r="J945" t="s">
        <v>1055</v>
      </c>
      <c r="K945" t="s">
        <v>3199</v>
      </c>
      <c r="L945" t="s">
        <v>1055</v>
      </c>
      <c r="M945" t="s">
        <v>980</v>
      </c>
      <c r="N945" t="s">
        <v>1053</v>
      </c>
      <c r="O945" t="s">
        <v>1053</v>
      </c>
      <c r="P945" t="s">
        <v>1089</v>
      </c>
      <c r="Q945" t="s">
        <v>3169</v>
      </c>
      <c r="R945" t="s">
        <v>2343</v>
      </c>
      <c r="S945" t="s">
        <v>4093</v>
      </c>
      <c r="T945" t="s">
        <v>3239</v>
      </c>
      <c r="U945" t="b">
        <v>0</v>
      </c>
      <c r="V945" t="s">
        <v>2344</v>
      </c>
    </row>
    <row r="946" spans="1:22" x14ac:dyDescent="0.25">
      <c r="A946" t="s">
        <v>42</v>
      </c>
      <c r="B946">
        <v>136</v>
      </c>
      <c r="C946" t="s">
        <v>979</v>
      </c>
      <c r="D946" t="s">
        <v>2359</v>
      </c>
      <c r="E946" t="s">
        <v>978</v>
      </c>
      <c r="F946">
        <v>173</v>
      </c>
      <c r="G946" t="s">
        <v>24</v>
      </c>
      <c r="H946" t="s">
        <v>26</v>
      </c>
      <c r="I946" t="s">
        <v>3167</v>
      </c>
      <c r="J946" t="s">
        <v>984</v>
      </c>
      <c r="K946" t="s">
        <v>3168</v>
      </c>
      <c r="L946" t="s">
        <v>984</v>
      </c>
      <c r="M946" t="s">
        <v>980</v>
      </c>
      <c r="N946" t="s">
        <v>981</v>
      </c>
      <c r="O946" t="s">
        <v>981</v>
      </c>
      <c r="P946" t="s">
        <v>1089</v>
      </c>
      <c r="Q946" t="s">
        <v>3169</v>
      </c>
      <c r="R946" t="s">
        <v>2366</v>
      </c>
      <c r="S946" t="s">
        <v>4098</v>
      </c>
      <c r="T946" t="s">
        <v>3239</v>
      </c>
      <c r="U946" t="b">
        <v>0</v>
      </c>
      <c r="V946" t="s">
        <v>2368</v>
      </c>
    </row>
    <row r="947" spans="1:22" x14ac:dyDescent="0.25">
      <c r="A947" t="s">
        <v>42</v>
      </c>
      <c r="B947">
        <v>136</v>
      </c>
      <c r="C947" t="s">
        <v>987</v>
      </c>
      <c r="D947" t="s">
        <v>2369</v>
      </c>
      <c r="E947" t="s">
        <v>986</v>
      </c>
      <c r="F947">
        <v>175</v>
      </c>
      <c r="G947" t="s">
        <v>24</v>
      </c>
      <c r="H947" t="s">
        <v>26</v>
      </c>
      <c r="I947" t="s">
        <v>3167</v>
      </c>
      <c r="J947" t="s">
        <v>990</v>
      </c>
      <c r="K947" t="s">
        <v>3171</v>
      </c>
      <c r="L947" t="s">
        <v>990</v>
      </c>
      <c r="M947" t="s">
        <v>980</v>
      </c>
      <c r="N947" t="s">
        <v>988</v>
      </c>
      <c r="O947" t="s">
        <v>988</v>
      </c>
      <c r="P947" t="s">
        <v>1089</v>
      </c>
      <c r="Q947" t="s">
        <v>3169</v>
      </c>
      <c r="R947" t="s">
        <v>2366</v>
      </c>
      <c r="S947" t="s">
        <v>4099</v>
      </c>
      <c r="T947" t="s">
        <v>3239</v>
      </c>
      <c r="U947" t="b">
        <v>0</v>
      </c>
      <c r="V947" t="s">
        <v>2368</v>
      </c>
    </row>
    <row r="948" spans="1:22" x14ac:dyDescent="0.25">
      <c r="A948" t="s">
        <v>42</v>
      </c>
      <c r="B948">
        <v>136</v>
      </c>
      <c r="C948" t="s">
        <v>993</v>
      </c>
      <c r="D948" t="s">
        <v>2373</v>
      </c>
      <c r="E948" t="s">
        <v>992</v>
      </c>
      <c r="F948">
        <v>191</v>
      </c>
      <c r="G948" t="s">
        <v>24</v>
      </c>
      <c r="H948" t="s">
        <v>26</v>
      </c>
      <c r="I948" t="s">
        <v>3167</v>
      </c>
      <c r="J948" t="s">
        <v>996</v>
      </c>
      <c r="K948" t="s">
        <v>3173</v>
      </c>
      <c r="L948" t="s">
        <v>996</v>
      </c>
      <c r="M948" t="s">
        <v>980</v>
      </c>
      <c r="N948" t="s">
        <v>994</v>
      </c>
      <c r="O948" t="s">
        <v>994</v>
      </c>
      <c r="P948" t="s">
        <v>1089</v>
      </c>
      <c r="Q948" t="s">
        <v>3169</v>
      </c>
      <c r="R948" t="s">
        <v>2366</v>
      </c>
      <c r="S948" t="s">
        <v>4099</v>
      </c>
      <c r="T948" t="s">
        <v>3239</v>
      </c>
      <c r="U948" t="b">
        <v>0</v>
      </c>
      <c r="V948" t="s">
        <v>2368</v>
      </c>
    </row>
    <row r="949" spans="1:22" x14ac:dyDescent="0.25">
      <c r="A949" t="s">
        <v>42</v>
      </c>
      <c r="B949">
        <v>136</v>
      </c>
      <c r="C949" t="s">
        <v>999</v>
      </c>
      <c r="D949" t="s">
        <v>2376</v>
      </c>
      <c r="E949" t="s">
        <v>998</v>
      </c>
      <c r="F949">
        <v>14080</v>
      </c>
      <c r="G949" t="s">
        <v>24</v>
      </c>
      <c r="H949" t="s">
        <v>26</v>
      </c>
      <c r="I949" t="s">
        <v>3167</v>
      </c>
      <c r="J949" t="s">
        <v>1003</v>
      </c>
      <c r="K949" t="s">
        <v>3175</v>
      </c>
      <c r="L949" t="s">
        <v>1003</v>
      </c>
      <c r="M949" t="s">
        <v>1000</v>
      </c>
      <c r="N949" t="s">
        <v>1001</v>
      </c>
      <c r="O949" t="s">
        <v>1001</v>
      </c>
      <c r="P949" t="s">
        <v>1089</v>
      </c>
      <c r="Q949" t="s">
        <v>3169</v>
      </c>
      <c r="R949" t="s">
        <v>2366</v>
      </c>
      <c r="S949" t="s">
        <v>4100</v>
      </c>
      <c r="T949" t="s">
        <v>3239</v>
      </c>
      <c r="U949" t="b">
        <v>0</v>
      </c>
      <c r="V949" t="s">
        <v>2368</v>
      </c>
    </row>
    <row r="950" spans="1:22" x14ac:dyDescent="0.25">
      <c r="A950" t="s">
        <v>42</v>
      </c>
      <c r="B950">
        <v>136</v>
      </c>
      <c r="C950" t="s">
        <v>1005</v>
      </c>
      <c r="D950" t="s">
        <v>2758</v>
      </c>
      <c r="E950" t="s">
        <v>982</v>
      </c>
      <c r="F950" t="s">
        <v>4101</v>
      </c>
      <c r="G950" t="s">
        <v>24</v>
      </c>
      <c r="H950" t="s">
        <v>26</v>
      </c>
      <c r="I950" t="s">
        <v>3167</v>
      </c>
      <c r="J950" t="s">
        <v>1003</v>
      </c>
      <c r="K950" t="s">
        <v>3175</v>
      </c>
      <c r="L950" t="s">
        <v>1003</v>
      </c>
      <c r="M950" t="s">
        <v>1000</v>
      </c>
      <c r="N950" t="s">
        <v>1001</v>
      </c>
      <c r="O950" t="s">
        <v>1001</v>
      </c>
      <c r="P950" t="s">
        <v>1089</v>
      </c>
      <c r="Q950" t="s">
        <v>3169</v>
      </c>
      <c r="R950" t="s">
        <v>2366</v>
      </c>
      <c r="S950" t="s">
        <v>4100</v>
      </c>
      <c r="T950" t="s">
        <v>1965</v>
      </c>
      <c r="U950" t="b">
        <v>0</v>
      </c>
      <c r="V950" t="s">
        <v>2368</v>
      </c>
    </row>
    <row r="951" spans="1:22" x14ac:dyDescent="0.25">
      <c r="A951" t="s">
        <v>42</v>
      </c>
      <c r="B951">
        <v>136</v>
      </c>
      <c r="C951" t="s">
        <v>1007</v>
      </c>
      <c r="D951" t="s">
        <v>2381</v>
      </c>
      <c r="E951" t="s">
        <v>1006</v>
      </c>
      <c r="F951">
        <v>332</v>
      </c>
      <c r="G951" t="s">
        <v>24</v>
      </c>
      <c r="H951" t="s">
        <v>26</v>
      </c>
      <c r="I951" t="s">
        <v>3167</v>
      </c>
      <c r="J951" t="s">
        <v>1967</v>
      </c>
      <c r="K951" t="s">
        <v>3227</v>
      </c>
      <c r="L951" t="s">
        <v>1967</v>
      </c>
      <c r="M951" t="s">
        <v>980</v>
      </c>
      <c r="N951" t="s">
        <v>1009</v>
      </c>
      <c r="O951" t="s">
        <v>1009</v>
      </c>
      <c r="P951" t="s">
        <v>1089</v>
      </c>
      <c r="Q951" t="s">
        <v>3169</v>
      </c>
      <c r="R951" t="s">
        <v>2383</v>
      </c>
      <c r="S951" t="s">
        <v>4098</v>
      </c>
      <c r="T951" t="s">
        <v>3239</v>
      </c>
      <c r="U951" t="b">
        <v>0</v>
      </c>
      <c r="V951" t="s">
        <v>2365</v>
      </c>
    </row>
    <row r="952" spans="1:22" x14ac:dyDescent="0.25">
      <c r="A952" t="s">
        <v>42</v>
      </c>
      <c r="B952">
        <v>136</v>
      </c>
      <c r="C952" t="s">
        <v>1014</v>
      </c>
      <c r="D952" t="s">
        <v>2384</v>
      </c>
      <c r="E952" t="s">
        <v>1013</v>
      </c>
      <c r="F952">
        <v>291</v>
      </c>
      <c r="G952" t="s">
        <v>24</v>
      </c>
      <c r="H952" t="s">
        <v>26</v>
      </c>
      <c r="I952" t="s">
        <v>3167</v>
      </c>
      <c r="J952" t="s">
        <v>1016</v>
      </c>
      <c r="K952" t="s">
        <v>3181</v>
      </c>
      <c r="L952" t="s">
        <v>1016</v>
      </c>
      <c r="M952" t="s">
        <v>980</v>
      </c>
      <c r="N952" t="s">
        <v>1015</v>
      </c>
      <c r="O952" t="s">
        <v>1015</v>
      </c>
      <c r="P952" t="s">
        <v>1089</v>
      </c>
      <c r="Q952" t="s">
        <v>3169</v>
      </c>
      <c r="R952" t="s">
        <v>2366</v>
      </c>
      <c r="S952" t="s">
        <v>4102</v>
      </c>
      <c r="T952" t="s">
        <v>3239</v>
      </c>
      <c r="U952" t="b">
        <v>0</v>
      </c>
      <c r="V952" t="s">
        <v>2368</v>
      </c>
    </row>
    <row r="953" spans="1:22" x14ac:dyDescent="0.25">
      <c r="A953" t="s">
        <v>42</v>
      </c>
      <c r="B953">
        <v>136</v>
      </c>
      <c r="C953" t="s">
        <v>1019</v>
      </c>
      <c r="D953" t="s">
        <v>2388</v>
      </c>
      <c r="E953" t="s">
        <v>1018</v>
      </c>
      <c r="F953">
        <v>386</v>
      </c>
      <c r="G953" t="s">
        <v>24</v>
      </c>
      <c r="H953" t="s">
        <v>26</v>
      </c>
      <c r="I953" t="s">
        <v>3167</v>
      </c>
      <c r="J953" t="s">
        <v>1021</v>
      </c>
      <c r="K953" t="s">
        <v>3183</v>
      </c>
      <c r="L953" t="s">
        <v>1021</v>
      </c>
      <c r="M953" t="s">
        <v>980</v>
      </c>
      <c r="N953" t="s">
        <v>1020</v>
      </c>
      <c r="O953" t="s">
        <v>1020</v>
      </c>
      <c r="P953" t="s">
        <v>1089</v>
      </c>
      <c r="Q953" t="s">
        <v>3169</v>
      </c>
      <c r="R953" t="s">
        <v>2366</v>
      </c>
      <c r="S953" t="s">
        <v>4102</v>
      </c>
      <c r="T953" t="s">
        <v>3239</v>
      </c>
      <c r="U953" t="b">
        <v>0</v>
      </c>
      <c r="V953" t="s">
        <v>2368</v>
      </c>
    </row>
    <row r="954" spans="1:22" x14ac:dyDescent="0.25">
      <c r="A954" t="s">
        <v>42</v>
      </c>
      <c r="B954">
        <v>136</v>
      </c>
      <c r="C954" t="s">
        <v>1024</v>
      </c>
      <c r="D954" t="s">
        <v>2391</v>
      </c>
      <c r="E954" t="s">
        <v>1023</v>
      </c>
      <c r="F954">
        <v>17386</v>
      </c>
      <c r="G954" t="s">
        <v>24</v>
      </c>
      <c r="H954" t="s">
        <v>26</v>
      </c>
      <c r="I954" t="s">
        <v>3167</v>
      </c>
      <c r="J954" t="s">
        <v>1026</v>
      </c>
      <c r="K954" t="s">
        <v>3185</v>
      </c>
      <c r="L954" t="s">
        <v>1026</v>
      </c>
      <c r="M954" t="s">
        <v>1000</v>
      </c>
      <c r="N954" t="s">
        <v>1025</v>
      </c>
      <c r="O954" t="s">
        <v>1025</v>
      </c>
      <c r="P954" t="s">
        <v>1089</v>
      </c>
      <c r="Q954" t="s">
        <v>3169</v>
      </c>
      <c r="R954" t="s">
        <v>2366</v>
      </c>
      <c r="S954" t="s">
        <v>4103</v>
      </c>
      <c r="T954" t="s">
        <v>3239</v>
      </c>
      <c r="U954" t="b">
        <v>0</v>
      </c>
      <c r="V954" t="s">
        <v>2368</v>
      </c>
    </row>
    <row r="955" spans="1:22" x14ac:dyDescent="0.25">
      <c r="A955" t="s">
        <v>42</v>
      </c>
      <c r="B955">
        <v>136</v>
      </c>
      <c r="C955" t="s">
        <v>1028</v>
      </c>
      <c r="D955" t="s">
        <v>2760</v>
      </c>
      <c r="E955" t="s">
        <v>1010</v>
      </c>
      <c r="F955" t="s">
        <v>4104</v>
      </c>
      <c r="G955" t="s">
        <v>24</v>
      </c>
      <c r="H955" t="s">
        <v>26</v>
      </c>
      <c r="I955" t="s">
        <v>3167</v>
      </c>
      <c r="J955" t="s">
        <v>1026</v>
      </c>
      <c r="K955" t="s">
        <v>3185</v>
      </c>
      <c r="L955" t="s">
        <v>1026</v>
      </c>
      <c r="M955" t="s">
        <v>1000</v>
      </c>
      <c r="N955" t="s">
        <v>1025</v>
      </c>
      <c r="O955" t="s">
        <v>1025</v>
      </c>
      <c r="P955" t="s">
        <v>1089</v>
      </c>
      <c r="Q955" t="s">
        <v>3169</v>
      </c>
      <c r="R955" t="s">
        <v>2366</v>
      </c>
      <c r="S955" t="s">
        <v>4103</v>
      </c>
      <c r="T955" t="s">
        <v>1965</v>
      </c>
      <c r="U955" t="b">
        <v>0</v>
      </c>
      <c r="V955" t="s">
        <v>2368</v>
      </c>
    </row>
    <row r="956" spans="1:22" x14ac:dyDescent="0.25">
      <c r="A956" t="s">
        <v>42</v>
      </c>
      <c r="B956">
        <v>136</v>
      </c>
      <c r="C956" t="s">
        <v>1030</v>
      </c>
      <c r="D956" t="s">
        <v>1545</v>
      </c>
      <c r="E956" t="s">
        <v>1029</v>
      </c>
      <c r="F956">
        <v>373</v>
      </c>
      <c r="G956" t="s">
        <v>24</v>
      </c>
      <c r="H956" t="s">
        <v>26</v>
      </c>
      <c r="I956" t="s">
        <v>3167</v>
      </c>
      <c r="J956" t="s">
        <v>1033</v>
      </c>
      <c r="K956" t="s">
        <v>3189</v>
      </c>
      <c r="L956" t="s">
        <v>1033</v>
      </c>
      <c r="M956" t="s">
        <v>980</v>
      </c>
      <c r="N956" t="s">
        <v>1031</v>
      </c>
      <c r="O956" t="s">
        <v>1031</v>
      </c>
      <c r="P956" t="s">
        <v>1089</v>
      </c>
      <c r="Q956" t="s">
        <v>3169</v>
      </c>
      <c r="R956" t="s">
        <v>2361</v>
      </c>
      <c r="S956" t="s">
        <v>4102</v>
      </c>
      <c r="T956" t="s">
        <v>3239</v>
      </c>
      <c r="U956" t="b">
        <v>0</v>
      </c>
      <c r="V956" t="s">
        <v>1950</v>
      </c>
    </row>
    <row r="957" spans="1:22" x14ac:dyDescent="0.25">
      <c r="A957" t="s">
        <v>42</v>
      </c>
      <c r="B957">
        <v>136</v>
      </c>
      <c r="C957" t="s">
        <v>1036</v>
      </c>
      <c r="D957" t="s">
        <v>1547</v>
      </c>
      <c r="E957" t="s">
        <v>1035</v>
      </c>
      <c r="F957">
        <v>339</v>
      </c>
      <c r="G957" t="s">
        <v>24</v>
      </c>
      <c r="H957" t="s">
        <v>26</v>
      </c>
      <c r="I957" t="s">
        <v>3167</v>
      </c>
      <c r="J957" t="s">
        <v>1038</v>
      </c>
      <c r="K957" t="s">
        <v>3191</v>
      </c>
      <c r="L957" t="s">
        <v>1038</v>
      </c>
      <c r="M957" t="s">
        <v>980</v>
      </c>
      <c r="N957" t="s">
        <v>1037</v>
      </c>
      <c r="O957" t="s">
        <v>1037</v>
      </c>
      <c r="P957" t="s">
        <v>1089</v>
      </c>
      <c r="Q957" t="s">
        <v>3169</v>
      </c>
      <c r="R957" t="s">
        <v>2361</v>
      </c>
      <c r="S957" t="s">
        <v>4102</v>
      </c>
      <c r="T957" t="s">
        <v>3239</v>
      </c>
      <c r="U957" t="b">
        <v>0</v>
      </c>
      <c r="V957" t="s">
        <v>1950</v>
      </c>
    </row>
    <row r="958" spans="1:22" x14ac:dyDescent="0.25">
      <c r="A958" t="s">
        <v>42</v>
      </c>
      <c r="B958">
        <v>136</v>
      </c>
      <c r="C958" t="s">
        <v>1041</v>
      </c>
      <c r="D958" t="s">
        <v>1549</v>
      </c>
      <c r="E958" t="s">
        <v>1040</v>
      </c>
      <c r="F958">
        <v>327</v>
      </c>
      <c r="G958" t="s">
        <v>24</v>
      </c>
      <c r="H958" t="s">
        <v>26</v>
      </c>
      <c r="I958" t="s">
        <v>3167</v>
      </c>
      <c r="J958" t="s">
        <v>1043</v>
      </c>
      <c r="K958" t="s">
        <v>3193</v>
      </c>
      <c r="L958" t="s">
        <v>1043</v>
      </c>
      <c r="M958" t="s">
        <v>980</v>
      </c>
      <c r="N958" t="s">
        <v>1042</v>
      </c>
      <c r="O958" t="s">
        <v>1042</v>
      </c>
      <c r="P958" t="s">
        <v>1089</v>
      </c>
      <c r="Q958" t="s">
        <v>3169</v>
      </c>
      <c r="R958" t="s">
        <v>2361</v>
      </c>
      <c r="S958" t="s">
        <v>4102</v>
      </c>
      <c r="T958" t="s">
        <v>3239</v>
      </c>
      <c r="U958" t="b">
        <v>0</v>
      </c>
      <c r="V958" t="s">
        <v>1950</v>
      </c>
    </row>
    <row r="959" spans="1:22" x14ac:dyDescent="0.25">
      <c r="A959" t="s">
        <v>42</v>
      </c>
      <c r="B959">
        <v>136</v>
      </c>
      <c r="C959" t="s">
        <v>1046</v>
      </c>
      <c r="D959" t="s">
        <v>1551</v>
      </c>
      <c r="E959" t="s">
        <v>1045</v>
      </c>
      <c r="F959">
        <v>13229</v>
      </c>
      <c r="G959" t="s">
        <v>24</v>
      </c>
      <c r="H959" t="s">
        <v>26</v>
      </c>
      <c r="I959" t="s">
        <v>3167</v>
      </c>
      <c r="J959" t="s">
        <v>1048</v>
      </c>
      <c r="K959" t="s">
        <v>3195</v>
      </c>
      <c r="L959" t="s">
        <v>1048</v>
      </c>
      <c r="M959" t="s">
        <v>1000</v>
      </c>
      <c r="N959" t="s">
        <v>1047</v>
      </c>
      <c r="O959" t="s">
        <v>1047</v>
      </c>
      <c r="P959" t="s">
        <v>1089</v>
      </c>
      <c r="Q959" t="s">
        <v>3169</v>
      </c>
      <c r="R959" t="s">
        <v>2378</v>
      </c>
      <c r="S959" t="s">
        <v>4103</v>
      </c>
      <c r="T959" t="s">
        <v>3239</v>
      </c>
      <c r="U959" t="b">
        <v>0</v>
      </c>
      <c r="V959" t="s">
        <v>1950</v>
      </c>
    </row>
    <row r="960" spans="1:22" x14ac:dyDescent="0.25">
      <c r="A960" t="s">
        <v>42</v>
      </c>
      <c r="B960">
        <v>136</v>
      </c>
      <c r="C960" t="s">
        <v>1050</v>
      </c>
      <c r="D960" t="s">
        <v>2762</v>
      </c>
      <c r="E960" t="s">
        <v>1032</v>
      </c>
      <c r="F960" t="s">
        <v>4105</v>
      </c>
      <c r="G960" t="s">
        <v>24</v>
      </c>
      <c r="H960" t="s">
        <v>26</v>
      </c>
      <c r="I960" t="s">
        <v>3167</v>
      </c>
      <c r="J960" t="s">
        <v>1048</v>
      </c>
      <c r="K960" t="s">
        <v>3195</v>
      </c>
      <c r="L960" t="s">
        <v>1048</v>
      </c>
      <c r="M960" t="s">
        <v>1000</v>
      </c>
      <c r="N960" t="s">
        <v>1047</v>
      </c>
      <c r="O960" t="s">
        <v>1047</v>
      </c>
      <c r="P960" t="s">
        <v>1089</v>
      </c>
      <c r="Q960" t="s">
        <v>3169</v>
      </c>
      <c r="R960" t="s">
        <v>2366</v>
      </c>
      <c r="S960" t="s">
        <v>4103</v>
      </c>
      <c r="T960" t="s">
        <v>1965</v>
      </c>
      <c r="U960" t="b">
        <v>0</v>
      </c>
      <c r="V960" t="s">
        <v>2368</v>
      </c>
    </row>
    <row r="961" spans="1:22" x14ac:dyDescent="0.25">
      <c r="A961" t="s">
        <v>42</v>
      </c>
      <c r="B961">
        <v>136</v>
      </c>
      <c r="C961" t="s">
        <v>1052</v>
      </c>
      <c r="D961" t="s">
        <v>2407</v>
      </c>
      <c r="E961" t="s">
        <v>1051</v>
      </c>
      <c r="F961">
        <v>2509</v>
      </c>
      <c r="G961" t="s">
        <v>24</v>
      </c>
      <c r="H961" t="s">
        <v>26</v>
      </c>
      <c r="I961" t="s">
        <v>3167</v>
      </c>
      <c r="J961" t="s">
        <v>1055</v>
      </c>
      <c r="K961" t="s">
        <v>3199</v>
      </c>
      <c r="L961" t="s">
        <v>1055</v>
      </c>
      <c r="M961" t="s">
        <v>980</v>
      </c>
      <c r="N961" t="s">
        <v>1053</v>
      </c>
      <c r="O961" t="s">
        <v>1053</v>
      </c>
      <c r="P961" t="s">
        <v>1089</v>
      </c>
      <c r="Q961" t="s">
        <v>3169</v>
      </c>
      <c r="R961" t="s">
        <v>2383</v>
      </c>
      <c r="S961" t="s">
        <v>4102</v>
      </c>
      <c r="T961" t="s">
        <v>3239</v>
      </c>
      <c r="U961" t="b">
        <v>0</v>
      </c>
      <c r="V961" t="s">
        <v>2365</v>
      </c>
    </row>
    <row r="962" spans="1:22" x14ac:dyDescent="0.25">
      <c r="A962" t="s">
        <v>42</v>
      </c>
      <c r="B962">
        <v>137</v>
      </c>
      <c r="C962" t="s">
        <v>979</v>
      </c>
      <c r="D962" t="s">
        <v>2979</v>
      </c>
      <c r="E962" t="s">
        <v>978</v>
      </c>
      <c r="F962" t="s">
        <v>4106</v>
      </c>
      <c r="G962" t="s">
        <v>24</v>
      </c>
      <c r="H962" t="s">
        <v>26</v>
      </c>
      <c r="I962" t="s">
        <v>3167</v>
      </c>
      <c r="J962" t="s">
        <v>984</v>
      </c>
      <c r="K962" t="s">
        <v>3168</v>
      </c>
      <c r="L962" t="s">
        <v>984</v>
      </c>
      <c r="M962" t="s">
        <v>980</v>
      </c>
      <c r="N962" t="s">
        <v>981</v>
      </c>
      <c r="O962" t="s">
        <v>981</v>
      </c>
      <c r="P962" t="s">
        <v>1089</v>
      </c>
      <c r="Q962" t="s">
        <v>3169</v>
      </c>
      <c r="R962" t="s">
        <v>446</v>
      </c>
      <c r="S962" t="s">
        <v>2980</v>
      </c>
      <c r="T962" t="s">
        <v>1965</v>
      </c>
      <c r="U962" t="b">
        <v>0</v>
      </c>
      <c r="V962" t="s">
        <v>2160</v>
      </c>
    </row>
    <row r="963" spans="1:22" x14ac:dyDescent="0.25">
      <c r="A963" t="s">
        <v>42</v>
      </c>
      <c r="B963">
        <v>137</v>
      </c>
      <c r="C963" t="s">
        <v>987</v>
      </c>
      <c r="D963" t="s">
        <v>2994</v>
      </c>
      <c r="E963" t="s">
        <v>986</v>
      </c>
      <c r="F963" t="s">
        <v>4107</v>
      </c>
      <c r="G963" t="s">
        <v>24</v>
      </c>
      <c r="H963" t="s">
        <v>26</v>
      </c>
      <c r="I963" t="s">
        <v>3167</v>
      </c>
      <c r="J963" t="s">
        <v>990</v>
      </c>
      <c r="K963" t="s">
        <v>3171</v>
      </c>
      <c r="L963" t="s">
        <v>990</v>
      </c>
      <c r="M963" t="s">
        <v>980</v>
      </c>
      <c r="N963" t="s">
        <v>988</v>
      </c>
      <c r="O963" t="s">
        <v>988</v>
      </c>
      <c r="P963" t="s">
        <v>1089</v>
      </c>
      <c r="Q963" t="s">
        <v>3169</v>
      </c>
      <c r="R963" t="s">
        <v>446</v>
      </c>
      <c r="S963" t="s">
        <v>2980</v>
      </c>
      <c r="T963" t="s">
        <v>1965</v>
      </c>
      <c r="U963" t="b">
        <v>0</v>
      </c>
      <c r="V963" t="s">
        <v>2160</v>
      </c>
    </row>
    <row r="964" spans="1:22" x14ac:dyDescent="0.25">
      <c r="A964" t="s">
        <v>42</v>
      </c>
      <c r="B964">
        <v>137</v>
      </c>
      <c r="C964" t="s">
        <v>993</v>
      </c>
      <c r="D964" t="s">
        <v>3003</v>
      </c>
      <c r="E964" t="s">
        <v>992</v>
      </c>
      <c r="F964" t="s">
        <v>4108</v>
      </c>
      <c r="G964" t="s">
        <v>24</v>
      </c>
      <c r="H964" t="s">
        <v>26</v>
      </c>
      <c r="I964" t="s">
        <v>3167</v>
      </c>
      <c r="J964" t="s">
        <v>996</v>
      </c>
      <c r="K964" t="s">
        <v>3173</v>
      </c>
      <c r="L964" t="s">
        <v>996</v>
      </c>
      <c r="M964" t="s">
        <v>980</v>
      </c>
      <c r="N964" t="s">
        <v>994</v>
      </c>
      <c r="O964" t="s">
        <v>994</v>
      </c>
      <c r="P964" t="s">
        <v>1089</v>
      </c>
      <c r="Q964" t="s">
        <v>3169</v>
      </c>
      <c r="R964" t="s">
        <v>446</v>
      </c>
      <c r="S964" t="s">
        <v>2980</v>
      </c>
      <c r="T964" t="s">
        <v>1965</v>
      </c>
      <c r="U964" t="b">
        <v>0</v>
      </c>
      <c r="V964" t="s">
        <v>2160</v>
      </c>
    </row>
    <row r="965" spans="1:22" x14ac:dyDescent="0.25">
      <c r="A965" t="s">
        <v>42</v>
      </c>
      <c r="B965">
        <v>137</v>
      </c>
      <c r="C965" t="s">
        <v>999</v>
      </c>
      <c r="D965" t="s">
        <v>3012</v>
      </c>
      <c r="E965" t="s">
        <v>998</v>
      </c>
      <c r="F965" t="s">
        <v>4109</v>
      </c>
      <c r="G965" t="s">
        <v>24</v>
      </c>
      <c r="H965" t="s">
        <v>26</v>
      </c>
      <c r="I965" t="s">
        <v>3167</v>
      </c>
      <c r="J965" t="s">
        <v>1003</v>
      </c>
      <c r="K965" t="s">
        <v>3175</v>
      </c>
      <c r="L965" t="s">
        <v>1003</v>
      </c>
      <c r="M965" t="s">
        <v>1000</v>
      </c>
      <c r="N965" t="s">
        <v>1001</v>
      </c>
      <c r="O965" t="s">
        <v>1001</v>
      </c>
      <c r="P965" t="s">
        <v>1089</v>
      </c>
      <c r="Q965" t="s">
        <v>3169</v>
      </c>
      <c r="R965" t="s">
        <v>446</v>
      </c>
      <c r="S965" t="s">
        <v>2980</v>
      </c>
      <c r="T965" t="s">
        <v>1965</v>
      </c>
      <c r="U965" t="b">
        <v>0</v>
      </c>
      <c r="V965" t="s">
        <v>2160</v>
      </c>
    </row>
    <row r="966" spans="1:22" x14ac:dyDescent="0.25">
      <c r="A966" t="s">
        <v>42</v>
      </c>
      <c r="B966">
        <v>137</v>
      </c>
      <c r="C966" t="s">
        <v>1005</v>
      </c>
      <c r="D966" t="s">
        <v>3021</v>
      </c>
      <c r="E966" t="s">
        <v>982</v>
      </c>
      <c r="F966" t="s">
        <v>4109</v>
      </c>
      <c r="G966" t="s">
        <v>24</v>
      </c>
      <c r="H966" t="s">
        <v>26</v>
      </c>
      <c r="I966" t="s">
        <v>3167</v>
      </c>
      <c r="J966" t="s">
        <v>1003</v>
      </c>
      <c r="K966" t="s">
        <v>3175</v>
      </c>
      <c r="L966" t="s">
        <v>1003</v>
      </c>
      <c r="M966" t="s">
        <v>1000</v>
      </c>
      <c r="N966" t="s">
        <v>1001</v>
      </c>
      <c r="O966" t="s">
        <v>1001</v>
      </c>
      <c r="P966" t="s">
        <v>1089</v>
      </c>
      <c r="Q966" t="s">
        <v>3169</v>
      </c>
      <c r="R966" t="s">
        <v>446</v>
      </c>
      <c r="S966" t="s">
        <v>2980</v>
      </c>
      <c r="T966" t="s">
        <v>1965</v>
      </c>
      <c r="U966" t="b">
        <v>0</v>
      </c>
      <c r="V966" t="s">
        <v>2160</v>
      </c>
    </row>
    <row r="967" spans="1:22" x14ac:dyDescent="0.25">
      <c r="A967" t="s">
        <v>42</v>
      </c>
      <c r="B967">
        <v>137</v>
      </c>
      <c r="C967" t="s">
        <v>1007</v>
      </c>
      <c r="D967" t="s">
        <v>3030</v>
      </c>
      <c r="E967" t="s">
        <v>1006</v>
      </c>
      <c r="F967" t="s">
        <v>4110</v>
      </c>
      <c r="G967" t="s">
        <v>24</v>
      </c>
      <c r="H967" t="s">
        <v>26</v>
      </c>
      <c r="I967" t="s">
        <v>3167</v>
      </c>
      <c r="J967" t="s">
        <v>1011</v>
      </c>
      <c r="K967" t="s">
        <v>3179</v>
      </c>
      <c r="L967" t="s">
        <v>1011</v>
      </c>
      <c r="M967" t="s">
        <v>1008</v>
      </c>
      <c r="N967" t="s">
        <v>1009</v>
      </c>
      <c r="O967" t="s">
        <v>1009</v>
      </c>
      <c r="P967" t="s">
        <v>1089</v>
      </c>
      <c r="Q967" t="s">
        <v>3169</v>
      </c>
      <c r="R967" t="s">
        <v>446</v>
      </c>
      <c r="S967" t="s">
        <v>2980</v>
      </c>
      <c r="T967" t="s">
        <v>1965</v>
      </c>
      <c r="U967" t="b">
        <v>0</v>
      </c>
      <c r="V967" t="s">
        <v>2160</v>
      </c>
    </row>
    <row r="968" spans="1:22" x14ac:dyDescent="0.25">
      <c r="A968" t="s">
        <v>42</v>
      </c>
      <c r="B968">
        <v>137</v>
      </c>
      <c r="C968" t="s">
        <v>1014</v>
      </c>
      <c r="D968" t="s">
        <v>3039</v>
      </c>
      <c r="E968" t="s">
        <v>1013</v>
      </c>
      <c r="F968" t="s">
        <v>4111</v>
      </c>
      <c r="G968" t="s">
        <v>24</v>
      </c>
      <c r="H968" t="s">
        <v>26</v>
      </c>
      <c r="I968" t="s">
        <v>3167</v>
      </c>
      <c r="J968" t="s">
        <v>1016</v>
      </c>
      <c r="K968" t="s">
        <v>3181</v>
      </c>
      <c r="L968" t="s">
        <v>1016</v>
      </c>
      <c r="M968" t="s">
        <v>980</v>
      </c>
      <c r="N968" t="s">
        <v>1015</v>
      </c>
      <c r="O968" t="s">
        <v>1015</v>
      </c>
      <c r="P968" t="s">
        <v>1089</v>
      </c>
      <c r="Q968" t="s">
        <v>3169</v>
      </c>
      <c r="R968" t="s">
        <v>446</v>
      </c>
      <c r="S968" t="s">
        <v>2980</v>
      </c>
      <c r="T968" t="s">
        <v>1965</v>
      </c>
      <c r="U968" t="b">
        <v>0</v>
      </c>
      <c r="V968" t="s">
        <v>2160</v>
      </c>
    </row>
    <row r="969" spans="1:22" x14ac:dyDescent="0.25">
      <c r="A969" t="s">
        <v>42</v>
      </c>
      <c r="B969">
        <v>137</v>
      </c>
      <c r="C969" t="s">
        <v>1019</v>
      </c>
      <c r="D969" t="s">
        <v>3048</v>
      </c>
      <c r="E969" t="s">
        <v>1018</v>
      </c>
      <c r="F969" t="s">
        <v>4112</v>
      </c>
      <c r="G969" t="s">
        <v>24</v>
      </c>
      <c r="H969" t="s">
        <v>26</v>
      </c>
      <c r="I969" t="s">
        <v>3167</v>
      </c>
      <c r="J969" t="s">
        <v>1021</v>
      </c>
      <c r="K969" t="s">
        <v>3183</v>
      </c>
      <c r="L969" t="s">
        <v>1021</v>
      </c>
      <c r="M969" t="s">
        <v>980</v>
      </c>
      <c r="N969" t="s">
        <v>1020</v>
      </c>
      <c r="O969" t="s">
        <v>1020</v>
      </c>
      <c r="P969" t="s">
        <v>1089</v>
      </c>
      <c r="Q969" t="s">
        <v>3169</v>
      </c>
      <c r="R969" t="s">
        <v>446</v>
      </c>
      <c r="S969" t="s">
        <v>2980</v>
      </c>
      <c r="T969" t="s">
        <v>1965</v>
      </c>
      <c r="U969" t="b">
        <v>0</v>
      </c>
      <c r="V969" t="s">
        <v>2160</v>
      </c>
    </row>
    <row r="970" spans="1:22" x14ac:dyDescent="0.25">
      <c r="A970" t="s">
        <v>42</v>
      </c>
      <c r="B970">
        <v>137</v>
      </c>
      <c r="C970" t="s">
        <v>1024</v>
      </c>
      <c r="D970" t="s">
        <v>3057</v>
      </c>
      <c r="E970" t="s">
        <v>1023</v>
      </c>
      <c r="F970" t="s">
        <v>4113</v>
      </c>
      <c r="G970" t="s">
        <v>24</v>
      </c>
      <c r="H970" t="s">
        <v>26</v>
      </c>
      <c r="I970" t="s">
        <v>3167</v>
      </c>
      <c r="J970" t="s">
        <v>1026</v>
      </c>
      <c r="K970" t="s">
        <v>3185</v>
      </c>
      <c r="L970" t="s">
        <v>1026</v>
      </c>
      <c r="M970" t="s">
        <v>1000</v>
      </c>
      <c r="N970" t="s">
        <v>1025</v>
      </c>
      <c r="O970" t="s">
        <v>1025</v>
      </c>
      <c r="P970" t="s">
        <v>1089</v>
      </c>
      <c r="Q970" t="s">
        <v>3169</v>
      </c>
      <c r="R970" t="s">
        <v>446</v>
      </c>
      <c r="S970" t="s">
        <v>2980</v>
      </c>
      <c r="T970" t="s">
        <v>1965</v>
      </c>
      <c r="U970" t="b">
        <v>0</v>
      </c>
      <c r="V970" t="s">
        <v>2160</v>
      </c>
    </row>
    <row r="971" spans="1:22" x14ac:dyDescent="0.25">
      <c r="A971" t="s">
        <v>42</v>
      </c>
      <c r="B971">
        <v>137</v>
      </c>
      <c r="C971" t="s">
        <v>1028</v>
      </c>
      <c r="D971" t="s">
        <v>3066</v>
      </c>
      <c r="E971" t="s">
        <v>1010</v>
      </c>
      <c r="F971" t="s">
        <v>4113</v>
      </c>
      <c r="G971" t="s">
        <v>24</v>
      </c>
      <c r="H971" t="s">
        <v>26</v>
      </c>
      <c r="I971" t="s">
        <v>3167</v>
      </c>
      <c r="J971" t="s">
        <v>1026</v>
      </c>
      <c r="K971" t="s">
        <v>3185</v>
      </c>
      <c r="L971" t="s">
        <v>1026</v>
      </c>
      <c r="M971" t="s">
        <v>1000</v>
      </c>
      <c r="N971" t="s">
        <v>1025</v>
      </c>
      <c r="O971" t="s">
        <v>1025</v>
      </c>
      <c r="P971" t="s">
        <v>1089</v>
      </c>
      <c r="Q971" t="s">
        <v>3169</v>
      </c>
      <c r="R971" t="s">
        <v>446</v>
      </c>
      <c r="S971" t="s">
        <v>2980</v>
      </c>
      <c r="T971" t="s">
        <v>1965</v>
      </c>
      <c r="U971" t="b">
        <v>0</v>
      </c>
      <c r="V971" t="s">
        <v>2160</v>
      </c>
    </row>
    <row r="972" spans="1:22" x14ac:dyDescent="0.25">
      <c r="A972" t="s">
        <v>42</v>
      </c>
      <c r="B972">
        <v>137</v>
      </c>
      <c r="C972" t="s">
        <v>1030</v>
      </c>
      <c r="D972" t="s">
        <v>3075</v>
      </c>
      <c r="E972" t="s">
        <v>1029</v>
      </c>
      <c r="F972" t="s">
        <v>4114</v>
      </c>
      <c r="G972" t="s">
        <v>24</v>
      </c>
      <c r="H972" t="s">
        <v>26</v>
      </c>
      <c r="I972" t="s">
        <v>3167</v>
      </c>
      <c r="J972" t="s">
        <v>1033</v>
      </c>
      <c r="K972" t="s">
        <v>3189</v>
      </c>
      <c r="L972" t="s">
        <v>1033</v>
      </c>
      <c r="M972" t="s">
        <v>980</v>
      </c>
      <c r="N972" t="s">
        <v>1031</v>
      </c>
      <c r="O972" t="s">
        <v>1031</v>
      </c>
      <c r="P972" t="s">
        <v>1089</v>
      </c>
      <c r="Q972" t="s">
        <v>3169</v>
      </c>
      <c r="R972" t="s">
        <v>446</v>
      </c>
      <c r="S972" t="s">
        <v>2980</v>
      </c>
      <c r="T972" t="s">
        <v>1965</v>
      </c>
      <c r="U972" t="b">
        <v>0</v>
      </c>
      <c r="V972" t="s">
        <v>2160</v>
      </c>
    </row>
    <row r="973" spans="1:22" x14ac:dyDescent="0.25">
      <c r="A973" t="s">
        <v>42</v>
      </c>
      <c r="B973">
        <v>137</v>
      </c>
      <c r="C973" t="s">
        <v>1036</v>
      </c>
      <c r="D973" t="s">
        <v>3084</v>
      </c>
      <c r="E973" t="s">
        <v>1035</v>
      </c>
      <c r="F973" t="s">
        <v>4115</v>
      </c>
      <c r="G973" t="s">
        <v>24</v>
      </c>
      <c r="H973" t="s">
        <v>26</v>
      </c>
      <c r="I973" t="s">
        <v>3167</v>
      </c>
      <c r="J973" t="s">
        <v>1038</v>
      </c>
      <c r="K973" t="s">
        <v>3191</v>
      </c>
      <c r="L973" t="s">
        <v>1038</v>
      </c>
      <c r="M973" t="s">
        <v>980</v>
      </c>
      <c r="N973" t="s">
        <v>1037</v>
      </c>
      <c r="O973" t="s">
        <v>1037</v>
      </c>
      <c r="P973" t="s">
        <v>1089</v>
      </c>
      <c r="Q973" t="s">
        <v>3169</v>
      </c>
      <c r="R973" t="s">
        <v>446</v>
      </c>
      <c r="S973" t="s">
        <v>2980</v>
      </c>
      <c r="T973" t="s">
        <v>1965</v>
      </c>
      <c r="U973" t="b">
        <v>0</v>
      </c>
      <c r="V973" t="s">
        <v>2160</v>
      </c>
    </row>
    <row r="974" spans="1:22" x14ac:dyDescent="0.25">
      <c r="A974" t="s">
        <v>42</v>
      </c>
      <c r="B974">
        <v>137</v>
      </c>
      <c r="C974" t="s">
        <v>1041</v>
      </c>
      <c r="D974" t="s">
        <v>3093</v>
      </c>
      <c r="E974" t="s">
        <v>1040</v>
      </c>
      <c r="F974" t="s">
        <v>4116</v>
      </c>
      <c r="G974" t="s">
        <v>24</v>
      </c>
      <c r="H974" t="s">
        <v>26</v>
      </c>
      <c r="I974" t="s">
        <v>3167</v>
      </c>
      <c r="J974" t="s">
        <v>1043</v>
      </c>
      <c r="K974" t="s">
        <v>3193</v>
      </c>
      <c r="L974" t="s">
        <v>1043</v>
      </c>
      <c r="M974" t="s">
        <v>980</v>
      </c>
      <c r="N974" t="s">
        <v>1042</v>
      </c>
      <c r="O974" t="s">
        <v>1042</v>
      </c>
      <c r="P974" t="s">
        <v>1089</v>
      </c>
      <c r="Q974" t="s">
        <v>3169</v>
      </c>
      <c r="R974" t="s">
        <v>446</v>
      </c>
      <c r="S974" t="s">
        <v>2980</v>
      </c>
      <c r="T974" t="s">
        <v>1965</v>
      </c>
      <c r="U974" t="b">
        <v>0</v>
      </c>
      <c r="V974" t="s">
        <v>2160</v>
      </c>
    </row>
    <row r="975" spans="1:22" x14ac:dyDescent="0.25">
      <c r="A975" t="s">
        <v>42</v>
      </c>
      <c r="B975">
        <v>137</v>
      </c>
      <c r="C975" t="s">
        <v>1046</v>
      </c>
      <c r="D975" t="s">
        <v>3102</v>
      </c>
      <c r="E975" t="s">
        <v>1045</v>
      </c>
      <c r="F975" t="s">
        <v>4117</v>
      </c>
      <c r="G975" t="s">
        <v>24</v>
      </c>
      <c r="H975" t="s">
        <v>26</v>
      </c>
      <c r="I975" t="s">
        <v>3167</v>
      </c>
      <c r="J975" t="s">
        <v>1048</v>
      </c>
      <c r="K975" t="s">
        <v>3195</v>
      </c>
      <c r="L975" t="s">
        <v>1048</v>
      </c>
      <c r="M975" t="s">
        <v>1000</v>
      </c>
      <c r="N975" t="s">
        <v>1047</v>
      </c>
      <c r="O975" t="s">
        <v>1047</v>
      </c>
      <c r="P975" t="s">
        <v>1089</v>
      </c>
      <c r="Q975" t="s">
        <v>3169</v>
      </c>
      <c r="R975" t="s">
        <v>446</v>
      </c>
      <c r="S975" t="s">
        <v>2980</v>
      </c>
      <c r="T975" t="s">
        <v>1965</v>
      </c>
      <c r="U975" t="b">
        <v>0</v>
      </c>
      <c r="V975" t="s">
        <v>2160</v>
      </c>
    </row>
    <row r="976" spans="1:22" x14ac:dyDescent="0.25">
      <c r="A976" t="s">
        <v>42</v>
      </c>
      <c r="B976">
        <v>137</v>
      </c>
      <c r="C976" t="s">
        <v>1050</v>
      </c>
      <c r="D976" t="s">
        <v>3111</v>
      </c>
      <c r="E976" t="s">
        <v>1032</v>
      </c>
      <c r="F976" t="s">
        <v>4117</v>
      </c>
      <c r="G976" t="s">
        <v>24</v>
      </c>
      <c r="H976" t="s">
        <v>26</v>
      </c>
      <c r="I976" t="s">
        <v>3167</v>
      </c>
      <c r="J976" t="s">
        <v>1048</v>
      </c>
      <c r="K976" t="s">
        <v>3195</v>
      </c>
      <c r="L976" t="s">
        <v>1048</v>
      </c>
      <c r="M976" t="s">
        <v>1000</v>
      </c>
      <c r="N976" t="s">
        <v>1047</v>
      </c>
      <c r="O976" t="s">
        <v>1047</v>
      </c>
      <c r="P976" t="s">
        <v>1089</v>
      </c>
      <c r="Q976" t="s">
        <v>3169</v>
      </c>
      <c r="R976" t="s">
        <v>446</v>
      </c>
      <c r="S976" t="s">
        <v>2980</v>
      </c>
      <c r="T976" t="s">
        <v>1965</v>
      </c>
      <c r="U976" t="b">
        <v>0</v>
      </c>
      <c r="V976" t="s">
        <v>2160</v>
      </c>
    </row>
    <row r="977" spans="1:22" x14ac:dyDescent="0.25">
      <c r="A977" t="s">
        <v>42</v>
      </c>
      <c r="B977">
        <v>137</v>
      </c>
      <c r="C977" t="s">
        <v>1052</v>
      </c>
      <c r="D977" t="s">
        <v>3120</v>
      </c>
      <c r="E977" t="s">
        <v>1051</v>
      </c>
      <c r="F977" t="s">
        <v>4118</v>
      </c>
      <c r="G977" t="s">
        <v>24</v>
      </c>
      <c r="H977" t="s">
        <v>26</v>
      </c>
      <c r="I977" t="s">
        <v>3167</v>
      </c>
      <c r="J977" t="s">
        <v>1055</v>
      </c>
      <c r="K977" t="s">
        <v>3199</v>
      </c>
      <c r="L977" t="s">
        <v>1055</v>
      </c>
      <c r="M977" t="s">
        <v>980</v>
      </c>
      <c r="N977" t="s">
        <v>1053</v>
      </c>
      <c r="O977" t="s">
        <v>1053</v>
      </c>
      <c r="P977" t="s">
        <v>1089</v>
      </c>
      <c r="Q977" t="s">
        <v>3169</v>
      </c>
      <c r="R977" t="s">
        <v>446</v>
      </c>
      <c r="S977" t="s">
        <v>2980</v>
      </c>
      <c r="T977" t="s">
        <v>1965</v>
      </c>
      <c r="U977" t="b">
        <v>0</v>
      </c>
      <c r="V977" t="s">
        <v>2160</v>
      </c>
    </row>
    <row r="978" spans="1:22" x14ac:dyDescent="0.25">
      <c r="A978" t="s">
        <v>42</v>
      </c>
      <c r="B978">
        <v>139</v>
      </c>
      <c r="C978" t="s">
        <v>979</v>
      </c>
      <c r="D978" t="s">
        <v>1553</v>
      </c>
      <c r="E978" t="s">
        <v>978</v>
      </c>
      <c r="F978">
        <v>5282</v>
      </c>
      <c r="G978" t="s">
        <v>24</v>
      </c>
      <c r="H978" t="s">
        <v>26</v>
      </c>
      <c r="I978" t="s">
        <v>3167</v>
      </c>
      <c r="J978" t="s">
        <v>984</v>
      </c>
      <c r="K978" t="s">
        <v>3168</v>
      </c>
      <c r="L978" t="s">
        <v>984</v>
      </c>
      <c r="M978" t="s">
        <v>980</v>
      </c>
      <c r="N978" t="s">
        <v>981</v>
      </c>
      <c r="O978" t="s">
        <v>981</v>
      </c>
      <c r="P978" t="s">
        <v>1089</v>
      </c>
      <c r="Q978" t="s">
        <v>3169</v>
      </c>
      <c r="R978" t="s">
        <v>2410</v>
      </c>
      <c r="S978" t="s">
        <v>4119</v>
      </c>
      <c r="T978" t="s">
        <v>3239</v>
      </c>
      <c r="U978" t="b">
        <v>0</v>
      </c>
      <c r="V978" t="s">
        <v>2411</v>
      </c>
    </row>
    <row r="979" spans="1:22" x14ac:dyDescent="0.25">
      <c r="A979" t="s">
        <v>42</v>
      </c>
      <c r="B979">
        <v>139</v>
      </c>
      <c r="C979" t="s">
        <v>987</v>
      </c>
      <c r="D979" t="s">
        <v>1554</v>
      </c>
      <c r="E979" t="s">
        <v>986</v>
      </c>
      <c r="F979">
        <v>4643</v>
      </c>
      <c r="G979" t="s">
        <v>24</v>
      </c>
      <c r="H979" t="s">
        <v>26</v>
      </c>
      <c r="I979" t="s">
        <v>3167</v>
      </c>
      <c r="J979" t="s">
        <v>990</v>
      </c>
      <c r="K979" t="s">
        <v>3171</v>
      </c>
      <c r="L979" t="s">
        <v>990</v>
      </c>
      <c r="M979" t="s">
        <v>980</v>
      </c>
      <c r="N979" t="s">
        <v>988</v>
      </c>
      <c r="O979" t="s">
        <v>988</v>
      </c>
      <c r="P979" t="s">
        <v>1089</v>
      </c>
      <c r="Q979" t="s">
        <v>3169</v>
      </c>
      <c r="R979" t="s">
        <v>2410</v>
      </c>
      <c r="S979" t="s">
        <v>4119</v>
      </c>
      <c r="T979" t="s">
        <v>3239</v>
      </c>
      <c r="U979" t="b">
        <v>0</v>
      </c>
      <c r="V979" t="s">
        <v>2411</v>
      </c>
    </row>
    <row r="980" spans="1:22" x14ac:dyDescent="0.25">
      <c r="A980" t="s">
        <v>42</v>
      </c>
      <c r="B980">
        <v>139</v>
      </c>
      <c r="C980" t="s">
        <v>993</v>
      </c>
      <c r="D980" t="s">
        <v>1555</v>
      </c>
      <c r="E980" t="s">
        <v>992</v>
      </c>
      <c r="F980">
        <v>3698</v>
      </c>
      <c r="G980" t="s">
        <v>24</v>
      </c>
      <c r="H980" t="s">
        <v>26</v>
      </c>
      <c r="I980" t="s">
        <v>3167</v>
      </c>
      <c r="J980" t="s">
        <v>996</v>
      </c>
      <c r="K980" t="s">
        <v>3173</v>
      </c>
      <c r="L980" t="s">
        <v>996</v>
      </c>
      <c r="M980" t="s">
        <v>980</v>
      </c>
      <c r="N980" t="s">
        <v>994</v>
      </c>
      <c r="O980" t="s">
        <v>994</v>
      </c>
      <c r="P980" t="s">
        <v>1089</v>
      </c>
      <c r="Q980" t="s">
        <v>3169</v>
      </c>
      <c r="R980" t="s">
        <v>2410</v>
      </c>
      <c r="S980" t="s">
        <v>4119</v>
      </c>
      <c r="T980" t="s">
        <v>3239</v>
      </c>
      <c r="U980" t="b">
        <v>0</v>
      </c>
      <c r="V980" t="s">
        <v>2411</v>
      </c>
    </row>
    <row r="981" spans="1:22" x14ac:dyDescent="0.25">
      <c r="A981" t="s">
        <v>42</v>
      </c>
      <c r="B981">
        <v>139</v>
      </c>
      <c r="C981" t="s">
        <v>999</v>
      </c>
      <c r="D981" t="s">
        <v>1556</v>
      </c>
      <c r="E981" t="s">
        <v>998</v>
      </c>
      <c r="F981">
        <v>348</v>
      </c>
      <c r="G981" t="s">
        <v>24</v>
      </c>
      <c r="H981" t="s">
        <v>26</v>
      </c>
      <c r="I981" t="s">
        <v>3167</v>
      </c>
      <c r="J981" t="s">
        <v>1003</v>
      </c>
      <c r="K981" t="s">
        <v>3175</v>
      </c>
      <c r="L981" t="s">
        <v>1003</v>
      </c>
      <c r="M981" t="s">
        <v>1000</v>
      </c>
      <c r="N981" t="s">
        <v>1001</v>
      </c>
      <c r="O981" t="s">
        <v>1001</v>
      </c>
      <c r="P981" t="s">
        <v>1089</v>
      </c>
      <c r="Q981" t="s">
        <v>3169</v>
      </c>
      <c r="R981" t="s">
        <v>2417</v>
      </c>
      <c r="S981" t="s">
        <v>4120</v>
      </c>
      <c r="T981" t="s">
        <v>3239</v>
      </c>
      <c r="U981" t="b">
        <v>0</v>
      </c>
      <c r="V981" t="s">
        <v>2416</v>
      </c>
    </row>
    <row r="982" spans="1:22" x14ac:dyDescent="0.25">
      <c r="A982" t="s">
        <v>42</v>
      </c>
      <c r="B982">
        <v>139</v>
      </c>
      <c r="C982" t="s">
        <v>1005</v>
      </c>
      <c r="D982" t="s">
        <v>2764</v>
      </c>
      <c r="E982" t="s">
        <v>982</v>
      </c>
      <c r="F982" t="s">
        <v>3779</v>
      </c>
      <c r="G982" t="s">
        <v>24</v>
      </c>
      <c r="H982" t="s">
        <v>26</v>
      </c>
      <c r="I982" t="s">
        <v>3167</v>
      </c>
      <c r="J982" t="s">
        <v>1003</v>
      </c>
      <c r="K982" t="s">
        <v>3175</v>
      </c>
      <c r="L982" t="s">
        <v>1003</v>
      </c>
      <c r="M982" t="s">
        <v>1000</v>
      </c>
      <c r="N982" t="s">
        <v>1001</v>
      </c>
      <c r="O982" t="s">
        <v>1001</v>
      </c>
      <c r="P982" t="s">
        <v>1089</v>
      </c>
      <c r="Q982" t="s">
        <v>3169</v>
      </c>
      <c r="R982" t="s">
        <v>2417</v>
      </c>
      <c r="S982" t="s">
        <v>4120</v>
      </c>
      <c r="T982" t="s">
        <v>1965</v>
      </c>
      <c r="U982" t="b">
        <v>0</v>
      </c>
      <c r="V982" t="s">
        <v>2766</v>
      </c>
    </row>
    <row r="983" spans="1:22" x14ac:dyDescent="0.25">
      <c r="A983" t="s">
        <v>42</v>
      </c>
      <c r="B983">
        <v>139</v>
      </c>
      <c r="C983" t="s">
        <v>1007</v>
      </c>
      <c r="D983" t="s">
        <v>1557</v>
      </c>
      <c r="E983" t="s">
        <v>1006</v>
      </c>
      <c r="F983">
        <v>5722</v>
      </c>
      <c r="G983" t="s">
        <v>24</v>
      </c>
      <c r="H983" t="s">
        <v>26</v>
      </c>
      <c r="I983" t="s">
        <v>3167</v>
      </c>
      <c r="J983" t="s">
        <v>1967</v>
      </c>
      <c r="K983" t="s">
        <v>3227</v>
      </c>
      <c r="L983" t="s">
        <v>1967</v>
      </c>
      <c r="M983" t="s">
        <v>980</v>
      </c>
      <c r="N983" t="s">
        <v>1009</v>
      </c>
      <c r="O983" t="s">
        <v>1009</v>
      </c>
      <c r="P983" t="s">
        <v>1089</v>
      </c>
      <c r="Q983" t="s">
        <v>3169</v>
      </c>
      <c r="R983" t="s">
        <v>2410</v>
      </c>
      <c r="S983" t="s">
        <v>4119</v>
      </c>
      <c r="T983" t="s">
        <v>3239</v>
      </c>
      <c r="U983" t="b">
        <v>0</v>
      </c>
      <c r="V983" t="s">
        <v>2411</v>
      </c>
    </row>
    <row r="984" spans="1:22" x14ac:dyDescent="0.25">
      <c r="A984" t="s">
        <v>42</v>
      </c>
      <c r="B984">
        <v>139</v>
      </c>
      <c r="C984" t="s">
        <v>1014</v>
      </c>
      <c r="D984" t="s">
        <v>1558</v>
      </c>
      <c r="E984" t="s">
        <v>1013</v>
      </c>
      <c r="F984">
        <v>3502</v>
      </c>
      <c r="G984" t="s">
        <v>24</v>
      </c>
      <c r="H984" t="s">
        <v>26</v>
      </c>
      <c r="I984" t="s">
        <v>3167</v>
      </c>
      <c r="J984" t="s">
        <v>1016</v>
      </c>
      <c r="K984" t="s">
        <v>3181</v>
      </c>
      <c r="L984" t="s">
        <v>1016</v>
      </c>
      <c r="M984" t="s">
        <v>980</v>
      </c>
      <c r="N984" t="s">
        <v>1015</v>
      </c>
      <c r="O984" t="s">
        <v>1015</v>
      </c>
      <c r="P984" t="s">
        <v>1089</v>
      </c>
      <c r="Q984" t="s">
        <v>3169</v>
      </c>
      <c r="R984" t="s">
        <v>2410</v>
      </c>
      <c r="S984" t="s">
        <v>4119</v>
      </c>
      <c r="T984" t="s">
        <v>3239</v>
      </c>
      <c r="U984" t="b">
        <v>0</v>
      </c>
      <c r="V984" t="s">
        <v>2411</v>
      </c>
    </row>
    <row r="985" spans="1:22" x14ac:dyDescent="0.25">
      <c r="A985" t="s">
        <v>42</v>
      </c>
      <c r="B985">
        <v>139</v>
      </c>
      <c r="C985" t="s">
        <v>1019</v>
      </c>
      <c r="D985" t="s">
        <v>1559</v>
      </c>
      <c r="E985" t="s">
        <v>1018</v>
      </c>
      <c r="F985">
        <v>1817</v>
      </c>
      <c r="G985" t="s">
        <v>24</v>
      </c>
      <c r="H985" t="s">
        <v>26</v>
      </c>
      <c r="I985" t="s">
        <v>3167</v>
      </c>
      <c r="J985" t="s">
        <v>1021</v>
      </c>
      <c r="K985" t="s">
        <v>3183</v>
      </c>
      <c r="L985" t="s">
        <v>1021</v>
      </c>
      <c r="M985" t="s">
        <v>980</v>
      </c>
      <c r="N985" t="s">
        <v>1020</v>
      </c>
      <c r="O985" t="s">
        <v>1020</v>
      </c>
      <c r="P985" t="s">
        <v>1089</v>
      </c>
      <c r="Q985" t="s">
        <v>3169</v>
      </c>
      <c r="R985" t="s">
        <v>2410</v>
      </c>
      <c r="S985" t="s">
        <v>4119</v>
      </c>
      <c r="T985" t="s">
        <v>3239</v>
      </c>
      <c r="U985" t="b">
        <v>0</v>
      </c>
      <c r="V985" t="s">
        <v>2411</v>
      </c>
    </row>
    <row r="986" spans="1:22" x14ac:dyDescent="0.25">
      <c r="A986" t="s">
        <v>42</v>
      </c>
      <c r="B986">
        <v>139</v>
      </c>
      <c r="C986" t="s">
        <v>1024</v>
      </c>
      <c r="D986" t="s">
        <v>1560</v>
      </c>
      <c r="E986" t="s">
        <v>1023</v>
      </c>
      <c r="F986">
        <v>360</v>
      </c>
      <c r="G986" t="s">
        <v>24</v>
      </c>
      <c r="H986" t="s">
        <v>26</v>
      </c>
      <c r="I986" t="s">
        <v>3167</v>
      </c>
      <c r="J986" t="s">
        <v>1026</v>
      </c>
      <c r="K986" t="s">
        <v>3185</v>
      </c>
      <c r="L986" t="s">
        <v>1026</v>
      </c>
      <c r="M986" t="s">
        <v>1000</v>
      </c>
      <c r="N986" t="s">
        <v>1025</v>
      </c>
      <c r="O986" t="s">
        <v>1025</v>
      </c>
      <c r="P986" t="s">
        <v>1089</v>
      </c>
      <c r="Q986" t="s">
        <v>3169</v>
      </c>
      <c r="R986" t="s">
        <v>2417</v>
      </c>
      <c r="S986" t="s">
        <v>4120</v>
      </c>
      <c r="T986" t="s">
        <v>3239</v>
      </c>
      <c r="U986" t="b">
        <v>0</v>
      </c>
      <c r="V986" t="s">
        <v>2416</v>
      </c>
    </row>
    <row r="987" spans="1:22" x14ac:dyDescent="0.25">
      <c r="A987" t="s">
        <v>42</v>
      </c>
      <c r="B987">
        <v>139</v>
      </c>
      <c r="C987" t="s">
        <v>1028</v>
      </c>
      <c r="D987" t="s">
        <v>2767</v>
      </c>
      <c r="E987" t="s">
        <v>1010</v>
      </c>
      <c r="F987" t="s">
        <v>4121</v>
      </c>
      <c r="G987" t="s">
        <v>24</v>
      </c>
      <c r="H987" t="s">
        <v>26</v>
      </c>
      <c r="I987" t="s">
        <v>3167</v>
      </c>
      <c r="J987" t="s">
        <v>1026</v>
      </c>
      <c r="K987" t="s">
        <v>3185</v>
      </c>
      <c r="L987" t="s">
        <v>1026</v>
      </c>
      <c r="M987" t="s">
        <v>1000</v>
      </c>
      <c r="N987" t="s">
        <v>1025</v>
      </c>
      <c r="O987" t="s">
        <v>1025</v>
      </c>
      <c r="P987" t="s">
        <v>1089</v>
      </c>
      <c r="Q987" t="s">
        <v>3169</v>
      </c>
      <c r="R987" t="s">
        <v>2417</v>
      </c>
      <c r="S987" t="s">
        <v>4120</v>
      </c>
      <c r="T987" t="s">
        <v>1965</v>
      </c>
      <c r="U987" t="b">
        <v>0</v>
      </c>
      <c r="V987" t="s">
        <v>2766</v>
      </c>
    </row>
    <row r="988" spans="1:22" x14ac:dyDescent="0.25">
      <c r="A988" t="s">
        <v>42</v>
      </c>
      <c r="B988">
        <v>139</v>
      </c>
      <c r="C988" t="s">
        <v>1030</v>
      </c>
      <c r="D988" t="s">
        <v>1561</v>
      </c>
      <c r="E988" t="s">
        <v>1029</v>
      </c>
      <c r="F988">
        <v>5045</v>
      </c>
      <c r="G988" t="s">
        <v>24</v>
      </c>
      <c r="H988" t="s">
        <v>26</v>
      </c>
      <c r="I988" t="s">
        <v>3167</v>
      </c>
      <c r="J988" t="s">
        <v>1033</v>
      </c>
      <c r="K988" t="s">
        <v>3189</v>
      </c>
      <c r="L988" t="s">
        <v>1033</v>
      </c>
      <c r="M988" t="s">
        <v>980</v>
      </c>
      <c r="N988" t="s">
        <v>1031</v>
      </c>
      <c r="O988" t="s">
        <v>1031</v>
      </c>
      <c r="P988" t="s">
        <v>1089</v>
      </c>
      <c r="Q988" t="s">
        <v>3169</v>
      </c>
      <c r="R988" t="s">
        <v>2410</v>
      </c>
      <c r="S988" t="s">
        <v>4119</v>
      </c>
      <c r="T988" t="s">
        <v>3239</v>
      </c>
      <c r="U988" t="b">
        <v>0</v>
      </c>
      <c r="V988" t="s">
        <v>2411</v>
      </c>
    </row>
    <row r="989" spans="1:22" x14ac:dyDescent="0.25">
      <c r="A989" t="s">
        <v>42</v>
      </c>
      <c r="B989">
        <v>139</v>
      </c>
      <c r="C989" t="s">
        <v>1036</v>
      </c>
      <c r="D989" t="s">
        <v>1562</v>
      </c>
      <c r="E989" t="s">
        <v>1035</v>
      </c>
      <c r="F989">
        <v>4040</v>
      </c>
      <c r="G989" t="s">
        <v>24</v>
      </c>
      <c r="H989" t="s">
        <v>26</v>
      </c>
      <c r="I989" t="s">
        <v>3167</v>
      </c>
      <c r="J989" t="s">
        <v>1038</v>
      </c>
      <c r="K989" t="s">
        <v>3191</v>
      </c>
      <c r="L989" t="s">
        <v>1038</v>
      </c>
      <c r="M989" t="s">
        <v>980</v>
      </c>
      <c r="N989" t="s">
        <v>1037</v>
      </c>
      <c r="O989" t="s">
        <v>1037</v>
      </c>
      <c r="P989" t="s">
        <v>1089</v>
      </c>
      <c r="Q989" t="s">
        <v>3169</v>
      </c>
      <c r="R989" t="s">
        <v>2410</v>
      </c>
      <c r="S989" t="s">
        <v>4119</v>
      </c>
      <c r="T989" t="s">
        <v>3239</v>
      </c>
      <c r="U989" t="b">
        <v>0</v>
      </c>
      <c r="V989" t="s">
        <v>2411</v>
      </c>
    </row>
    <row r="990" spans="1:22" x14ac:dyDescent="0.25">
      <c r="A990" t="s">
        <v>42</v>
      </c>
      <c r="B990">
        <v>139</v>
      </c>
      <c r="C990" t="s">
        <v>1041</v>
      </c>
      <c r="D990" t="s">
        <v>1563</v>
      </c>
      <c r="E990" t="s">
        <v>1040</v>
      </c>
      <c r="F990">
        <v>1992</v>
      </c>
      <c r="G990" t="s">
        <v>24</v>
      </c>
      <c r="H990" t="s">
        <v>26</v>
      </c>
      <c r="I990" t="s">
        <v>3167</v>
      </c>
      <c r="J990" t="s">
        <v>1043</v>
      </c>
      <c r="K990" t="s">
        <v>3193</v>
      </c>
      <c r="L990" t="s">
        <v>1043</v>
      </c>
      <c r="M990" t="s">
        <v>980</v>
      </c>
      <c r="N990" t="s">
        <v>1042</v>
      </c>
      <c r="O990" t="s">
        <v>1042</v>
      </c>
      <c r="P990" t="s">
        <v>1089</v>
      </c>
      <c r="Q990" t="s">
        <v>3169</v>
      </c>
      <c r="R990" t="s">
        <v>2410</v>
      </c>
      <c r="S990" t="s">
        <v>4119</v>
      </c>
      <c r="T990" t="s">
        <v>3239</v>
      </c>
      <c r="U990" t="b">
        <v>0</v>
      </c>
      <c r="V990" t="s">
        <v>2411</v>
      </c>
    </row>
    <row r="991" spans="1:22" x14ac:dyDescent="0.25">
      <c r="A991" t="s">
        <v>42</v>
      </c>
      <c r="B991">
        <v>139</v>
      </c>
      <c r="C991" t="s">
        <v>1046</v>
      </c>
      <c r="D991" t="s">
        <v>1564</v>
      </c>
      <c r="E991" t="s">
        <v>1045</v>
      </c>
      <c r="F991">
        <v>56</v>
      </c>
      <c r="G991" t="s">
        <v>24</v>
      </c>
      <c r="H991" t="s">
        <v>26</v>
      </c>
      <c r="I991" t="s">
        <v>3167</v>
      </c>
      <c r="J991" t="s">
        <v>1048</v>
      </c>
      <c r="K991" t="s">
        <v>3195</v>
      </c>
      <c r="L991" t="s">
        <v>1048</v>
      </c>
      <c r="M991" t="s">
        <v>1000</v>
      </c>
      <c r="N991" t="s">
        <v>1047</v>
      </c>
      <c r="O991" t="s">
        <v>1047</v>
      </c>
      <c r="P991" t="s">
        <v>1089</v>
      </c>
      <c r="Q991" t="s">
        <v>3169</v>
      </c>
      <c r="R991" t="s">
        <v>2417</v>
      </c>
      <c r="S991" t="s">
        <v>4120</v>
      </c>
      <c r="T991" t="s">
        <v>3239</v>
      </c>
      <c r="U991" t="b">
        <v>0</v>
      </c>
      <c r="V991" t="s">
        <v>2416</v>
      </c>
    </row>
    <row r="992" spans="1:22" x14ac:dyDescent="0.25">
      <c r="A992" t="s">
        <v>42</v>
      </c>
      <c r="B992">
        <v>139</v>
      </c>
      <c r="C992" t="s">
        <v>1050</v>
      </c>
      <c r="D992" t="s">
        <v>2769</v>
      </c>
      <c r="E992" t="s">
        <v>1032</v>
      </c>
      <c r="F992" t="s">
        <v>4122</v>
      </c>
      <c r="G992" t="s">
        <v>24</v>
      </c>
      <c r="H992" t="s">
        <v>26</v>
      </c>
      <c r="I992" t="s">
        <v>3167</v>
      </c>
      <c r="J992" t="s">
        <v>1048</v>
      </c>
      <c r="K992" t="s">
        <v>3195</v>
      </c>
      <c r="L992" t="s">
        <v>1048</v>
      </c>
      <c r="M992" t="s">
        <v>1000</v>
      </c>
      <c r="N992" t="s">
        <v>1047</v>
      </c>
      <c r="O992" t="s">
        <v>1047</v>
      </c>
      <c r="P992" t="s">
        <v>1089</v>
      </c>
      <c r="Q992" t="s">
        <v>3169</v>
      </c>
      <c r="R992" t="s">
        <v>2417</v>
      </c>
      <c r="S992" t="s">
        <v>4120</v>
      </c>
      <c r="T992" t="s">
        <v>1965</v>
      </c>
      <c r="U992" t="b">
        <v>0</v>
      </c>
      <c r="V992" t="s">
        <v>2766</v>
      </c>
    </row>
    <row r="993" spans="1:22" x14ac:dyDescent="0.25">
      <c r="A993" t="s">
        <v>42</v>
      </c>
      <c r="B993">
        <v>139</v>
      </c>
      <c r="C993" t="s">
        <v>1052</v>
      </c>
      <c r="D993" t="s">
        <v>1565</v>
      </c>
      <c r="E993" t="s">
        <v>1051</v>
      </c>
      <c r="F993">
        <v>250</v>
      </c>
      <c r="G993" t="s">
        <v>24</v>
      </c>
      <c r="H993" t="s">
        <v>26</v>
      </c>
      <c r="I993" t="s">
        <v>3167</v>
      </c>
      <c r="J993" t="s">
        <v>1055</v>
      </c>
      <c r="K993" t="s">
        <v>3199</v>
      </c>
      <c r="L993" t="s">
        <v>1055</v>
      </c>
      <c r="M993" t="s">
        <v>980</v>
      </c>
      <c r="N993" t="s">
        <v>1053</v>
      </c>
      <c r="O993" t="s">
        <v>1053</v>
      </c>
      <c r="P993" t="s">
        <v>1089</v>
      </c>
      <c r="Q993" t="s">
        <v>3169</v>
      </c>
      <c r="R993" t="s">
        <v>2410</v>
      </c>
      <c r="S993" t="s">
        <v>4119</v>
      </c>
      <c r="T993" t="s">
        <v>3239</v>
      </c>
      <c r="U993" t="b">
        <v>0</v>
      </c>
      <c r="V993" t="s">
        <v>2411</v>
      </c>
    </row>
    <row r="994" spans="1:22" x14ac:dyDescent="0.25">
      <c r="A994" t="s">
        <v>42</v>
      </c>
      <c r="B994">
        <v>140</v>
      </c>
      <c r="C994" t="s">
        <v>979</v>
      </c>
      <c r="D994" t="s">
        <v>2427</v>
      </c>
      <c r="E994" t="s">
        <v>978</v>
      </c>
      <c r="F994" t="s">
        <v>4123</v>
      </c>
      <c r="G994" t="s">
        <v>24</v>
      </c>
      <c r="H994" t="s">
        <v>26</v>
      </c>
      <c r="I994" t="s">
        <v>3167</v>
      </c>
      <c r="J994" t="s">
        <v>984</v>
      </c>
      <c r="K994" t="s">
        <v>3168</v>
      </c>
      <c r="L994" t="s">
        <v>984</v>
      </c>
      <c r="M994" t="s">
        <v>980</v>
      </c>
      <c r="N994" t="s">
        <v>981</v>
      </c>
      <c r="O994" t="s">
        <v>981</v>
      </c>
      <c r="P994" t="s">
        <v>1089</v>
      </c>
      <c r="Q994" t="s">
        <v>3169</v>
      </c>
      <c r="R994" t="s">
        <v>2430</v>
      </c>
      <c r="S994" t="s">
        <v>4124</v>
      </c>
      <c r="T994" t="s">
        <v>1965</v>
      </c>
      <c r="U994" t="b">
        <v>0</v>
      </c>
      <c r="V994" t="s">
        <v>2368</v>
      </c>
    </row>
    <row r="995" spans="1:22" x14ac:dyDescent="0.25">
      <c r="A995" t="s">
        <v>42</v>
      </c>
      <c r="B995">
        <v>140</v>
      </c>
      <c r="C995" t="s">
        <v>987</v>
      </c>
      <c r="D995" t="s">
        <v>2431</v>
      </c>
      <c r="E995" t="s">
        <v>986</v>
      </c>
      <c r="F995" t="s">
        <v>4125</v>
      </c>
      <c r="G995" t="s">
        <v>24</v>
      </c>
      <c r="H995" t="s">
        <v>26</v>
      </c>
      <c r="I995" t="s">
        <v>3167</v>
      </c>
      <c r="J995" t="s">
        <v>990</v>
      </c>
      <c r="K995" t="s">
        <v>3171</v>
      </c>
      <c r="L995" t="s">
        <v>990</v>
      </c>
      <c r="M995" t="s">
        <v>980</v>
      </c>
      <c r="N995" t="s">
        <v>988</v>
      </c>
      <c r="O995" t="s">
        <v>988</v>
      </c>
      <c r="P995" t="s">
        <v>1089</v>
      </c>
      <c r="Q995" t="s">
        <v>3169</v>
      </c>
      <c r="R995" t="s">
        <v>2430</v>
      </c>
      <c r="S995" t="s">
        <v>4124</v>
      </c>
      <c r="T995" t="s">
        <v>1965</v>
      </c>
      <c r="U995" t="b">
        <v>0</v>
      </c>
      <c r="V995" t="s">
        <v>2368</v>
      </c>
    </row>
    <row r="996" spans="1:22" x14ac:dyDescent="0.25">
      <c r="A996" t="s">
        <v>42</v>
      </c>
      <c r="B996">
        <v>140</v>
      </c>
      <c r="C996" t="s">
        <v>993</v>
      </c>
      <c r="D996" t="s">
        <v>2433</v>
      </c>
      <c r="E996" t="s">
        <v>992</v>
      </c>
      <c r="F996" t="s">
        <v>4126</v>
      </c>
      <c r="G996" t="s">
        <v>24</v>
      </c>
      <c r="H996" t="s">
        <v>26</v>
      </c>
      <c r="I996" t="s">
        <v>3167</v>
      </c>
      <c r="J996" t="s">
        <v>996</v>
      </c>
      <c r="K996" t="s">
        <v>3173</v>
      </c>
      <c r="L996" t="s">
        <v>996</v>
      </c>
      <c r="M996" t="s">
        <v>980</v>
      </c>
      <c r="N996" t="s">
        <v>994</v>
      </c>
      <c r="O996" t="s">
        <v>994</v>
      </c>
      <c r="P996" t="s">
        <v>1089</v>
      </c>
      <c r="Q996" t="s">
        <v>3169</v>
      </c>
      <c r="R996" t="s">
        <v>2430</v>
      </c>
      <c r="S996" t="s">
        <v>4124</v>
      </c>
      <c r="T996" t="s">
        <v>1965</v>
      </c>
      <c r="U996" t="b">
        <v>0</v>
      </c>
      <c r="V996" t="s">
        <v>2368</v>
      </c>
    </row>
    <row r="997" spans="1:22" x14ac:dyDescent="0.25">
      <c r="A997" t="s">
        <v>42</v>
      </c>
      <c r="B997">
        <v>140</v>
      </c>
      <c r="C997" t="s">
        <v>999</v>
      </c>
      <c r="D997" t="s">
        <v>2435</v>
      </c>
      <c r="E997" t="s">
        <v>998</v>
      </c>
      <c r="F997" t="s">
        <v>4127</v>
      </c>
      <c r="G997" t="s">
        <v>24</v>
      </c>
      <c r="H997" t="s">
        <v>26</v>
      </c>
      <c r="I997" t="s">
        <v>3167</v>
      </c>
      <c r="J997" t="s">
        <v>1026</v>
      </c>
      <c r="K997" t="s">
        <v>3185</v>
      </c>
      <c r="L997" t="s">
        <v>1026</v>
      </c>
      <c r="M997" t="s">
        <v>1000</v>
      </c>
      <c r="N997" t="s">
        <v>1001</v>
      </c>
      <c r="O997" t="s">
        <v>1001</v>
      </c>
      <c r="P997" t="s">
        <v>1089</v>
      </c>
      <c r="Q997" t="s">
        <v>3169</v>
      </c>
      <c r="R997" t="s">
        <v>2437</v>
      </c>
      <c r="S997" t="s">
        <v>4128</v>
      </c>
      <c r="T997" t="s">
        <v>1965</v>
      </c>
      <c r="U997" t="b">
        <v>0</v>
      </c>
      <c r="V997" t="s">
        <v>2771</v>
      </c>
    </row>
    <row r="998" spans="1:22" x14ac:dyDescent="0.25">
      <c r="A998" t="s">
        <v>42</v>
      </c>
      <c r="B998">
        <v>140</v>
      </c>
      <c r="C998" t="s">
        <v>1005</v>
      </c>
      <c r="D998" t="s">
        <v>2772</v>
      </c>
      <c r="E998" t="s">
        <v>982</v>
      </c>
      <c r="F998" t="s">
        <v>4127</v>
      </c>
      <c r="G998" t="s">
        <v>24</v>
      </c>
      <c r="H998" t="s">
        <v>26</v>
      </c>
      <c r="I998" t="s">
        <v>3167</v>
      </c>
      <c r="J998" t="s">
        <v>1026</v>
      </c>
      <c r="K998" t="s">
        <v>3185</v>
      </c>
      <c r="L998" t="s">
        <v>1026</v>
      </c>
      <c r="M998" t="s">
        <v>1000</v>
      </c>
      <c r="N998" t="s">
        <v>1001</v>
      </c>
      <c r="O998" t="s">
        <v>1001</v>
      </c>
      <c r="P998" t="s">
        <v>1089</v>
      </c>
      <c r="Q998" t="s">
        <v>3169</v>
      </c>
      <c r="R998" t="s">
        <v>2437</v>
      </c>
      <c r="S998" t="s">
        <v>4128</v>
      </c>
      <c r="T998" t="s">
        <v>1965</v>
      </c>
      <c r="U998" t="b">
        <v>0</v>
      </c>
      <c r="V998" t="s">
        <v>2771</v>
      </c>
    </row>
    <row r="999" spans="1:22" x14ac:dyDescent="0.25">
      <c r="A999" t="s">
        <v>42</v>
      </c>
      <c r="B999">
        <v>140</v>
      </c>
      <c r="C999" t="s">
        <v>1007</v>
      </c>
      <c r="D999" t="s">
        <v>2439</v>
      </c>
      <c r="E999" t="s">
        <v>1006</v>
      </c>
      <c r="F999" t="s">
        <v>4129</v>
      </c>
      <c r="G999" t="s">
        <v>24</v>
      </c>
      <c r="H999" t="s">
        <v>26</v>
      </c>
      <c r="I999" t="s">
        <v>3167</v>
      </c>
      <c r="J999" t="s">
        <v>1967</v>
      </c>
      <c r="K999" t="s">
        <v>3227</v>
      </c>
      <c r="L999" t="s">
        <v>1967</v>
      </c>
      <c r="M999" t="s">
        <v>980</v>
      </c>
      <c r="N999" t="s">
        <v>1009</v>
      </c>
      <c r="O999" t="s">
        <v>1009</v>
      </c>
      <c r="P999" t="s">
        <v>1089</v>
      </c>
      <c r="Q999" t="s">
        <v>3169</v>
      </c>
      <c r="R999" t="s">
        <v>2429</v>
      </c>
      <c r="S999" t="s">
        <v>4124</v>
      </c>
      <c r="T999" t="s">
        <v>1965</v>
      </c>
      <c r="U999" t="b">
        <v>0</v>
      </c>
      <c r="V999" t="s">
        <v>2710</v>
      </c>
    </row>
    <row r="1000" spans="1:22" x14ac:dyDescent="0.25">
      <c r="A1000" t="s">
        <v>42</v>
      </c>
      <c r="B1000">
        <v>140</v>
      </c>
      <c r="C1000" t="s">
        <v>1014</v>
      </c>
      <c r="D1000" t="s">
        <v>2441</v>
      </c>
      <c r="E1000" t="s">
        <v>1013</v>
      </c>
      <c r="F1000" t="s">
        <v>4130</v>
      </c>
      <c r="G1000" t="s">
        <v>24</v>
      </c>
      <c r="H1000" t="s">
        <v>26</v>
      </c>
      <c r="I1000" t="s">
        <v>3167</v>
      </c>
      <c r="J1000" t="s">
        <v>1016</v>
      </c>
      <c r="K1000" t="s">
        <v>3181</v>
      </c>
      <c r="L1000" t="s">
        <v>1016</v>
      </c>
      <c r="M1000" t="s">
        <v>980</v>
      </c>
      <c r="N1000" t="s">
        <v>1015</v>
      </c>
      <c r="O1000" t="s">
        <v>1015</v>
      </c>
      <c r="P1000" t="s">
        <v>1089</v>
      </c>
      <c r="Q1000" t="s">
        <v>3169</v>
      </c>
      <c r="R1000" t="s">
        <v>2437</v>
      </c>
      <c r="S1000" t="s">
        <v>4128</v>
      </c>
      <c r="T1000" t="s">
        <v>1965</v>
      </c>
      <c r="U1000" t="b">
        <v>0</v>
      </c>
      <c r="V1000" t="s">
        <v>2771</v>
      </c>
    </row>
    <row r="1001" spans="1:22" x14ac:dyDescent="0.25">
      <c r="A1001" t="s">
        <v>42</v>
      </c>
      <c r="B1001">
        <v>140</v>
      </c>
      <c r="C1001" t="s">
        <v>1019</v>
      </c>
      <c r="D1001" t="s">
        <v>2443</v>
      </c>
      <c r="E1001" t="s">
        <v>1018</v>
      </c>
      <c r="F1001" t="s">
        <v>4131</v>
      </c>
      <c r="G1001" t="s">
        <v>24</v>
      </c>
      <c r="H1001" t="s">
        <v>26</v>
      </c>
      <c r="I1001" t="s">
        <v>3167</v>
      </c>
      <c r="J1001" t="s">
        <v>1021</v>
      </c>
      <c r="K1001" t="s">
        <v>3183</v>
      </c>
      <c r="L1001" t="s">
        <v>1021</v>
      </c>
      <c r="M1001" t="s">
        <v>980</v>
      </c>
      <c r="N1001" t="s">
        <v>1020</v>
      </c>
      <c r="O1001" t="s">
        <v>1020</v>
      </c>
      <c r="P1001" t="s">
        <v>1089</v>
      </c>
      <c r="Q1001" t="s">
        <v>3169</v>
      </c>
      <c r="R1001" t="s">
        <v>2437</v>
      </c>
      <c r="S1001" t="s">
        <v>4128</v>
      </c>
      <c r="T1001" t="s">
        <v>1965</v>
      </c>
      <c r="U1001" t="b">
        <v>0</v>
      </c>
      <c r="V1001" t="s">
        <v>2771</v>
      </c>
    </row>
    <row r="1002" spans="1:22" x14ac:dyDescent="0.25">
      <c r="A1002" t="s">
        <v>42</v>
      </c>
      <c r="B1002">
        <v>140</v>
      </c>
      <c r="C1002" t="s">
        <v>1024</v>
      </c>
      <c r="D1002" t="s">
        <v>2445</v>
      </c>
      <c r="E1002" t="s">
        <v>1023</v>
      </c>
      <c r="F1002" t="s">
        <v>4132</v>
      </c>
      <c r="G1002" t="s">
        <v>24</v>
      </c>
      <c r="H1002" t="s">
        <v>26</v>
      </c>
      <c r="I1002" t="s">
        <v>3167</v>
      </c>
      <c r="J1002" t="s">
        <v>1026</v>
      </c>
      <c r="K1002" t="s">
        <v>3185</v>
      </c>
      <c r="L1002" t="s">
        <v>1026</v>
      </c>
      <c r="M1002" t="s">
        <v>1000</v>
      </c>
      <c r="N1002" t="s">
        <v>1025</v>
      </c>
      <c r="O1002" t="s">
        <v>1025</v>
      </c>
      <c r="P1002" t="s">
        <v>1089</v>
      </c>
      <c r="Q1002" t="s">
        <v>3169</v>
      </c>
      <c r="R1002" t="s">
        <v>2437</v>
      </c>
      <c r="S1002" t="s">
        <v>4128</v>
      </c>
      <c r="T1002" t="s">
        <v>1965</v>
      </c>
      <c r="U1002" t="b">
        <v>0</v>
      </c>
      <c r="V1002" t="s">
        <v>2771</v>
      </c>
    </row>
    <row r="1003" spans="1:22" x14ac:dyDescent="0.25">
      <c r="A1003" t="s">
        <v>42</v>
      </c>
      <c r="B1003">
        <v>140</v>
      </c>
      <c r="C1003" t="s">
        <v>1028</v>
      </c>
      <c r="D1003" t="s">
        <v>2773</v>
      </c>
      <c r="E1003" t="s">
        <v>1010</v>
      </c>
      <c r="F1003" t="s">
        <v>4132</v>
      </c>
      <c r="G1003" t="s">
        <v>24</v>
      </c>
      <c r="H1003" t="s">
        <v>26</v>
      </c>
      <c r="I1003" t="s">
        <v>3167</v>
      </c>
      <c r="J1003" t="s">
        <v>1026</v>
      </c>
      <c r="K1003" t="s">
        <v>3185</v>
      </c>
      <c r="L1003" t="s">
        <v>1026</v>
      </c>
      <c r="M1003" t="s">
        <v>1000</v>
      </c>
      <c r="N1003" t="s">
        <v>1025</v>
      </c>
      <c r="O1003" t="s">
        <v>1025</v>
      </c>
      <c r="P1003" t="s">
        <v>1089</v>
      </c>
      <c r="Q1003" t="s">
        <v>3169</v>
      </c>
      <c r="R1003" t="s">
        <v>2437</v>
      </c>
      <c r="S1003" t="s">
        <v>4128</v>
      </c>
      <c r="T1003" t="s">
        <v>1965</v>
      </c>
      <c r="U1003" t="b">
        <v>0</v>
      </c>
      <c r="V1003" t="s">
        <v>2771</v>
      </c>
    </row>
    <row r="1004" spans="1:22" x14ac:dyDescent="0.25">
      <c r="A1004" t="s">
        <v>42</v>
      </c>
      <c r="B1004">
        <v>140</v>
      </c>
      <c r="C1004" t="s">
        <v>1030</v>
      </c>
      <c r="D1004" t="s">
        <v>1566</v>
      </c>
      <c r="E1004" t="s">
        <v>1029</v>
      </c>
      <c r="F1004">
        <v>43693</v>
      </c>
      <c r="G1004" t="s">
        <v>24</v>
      </c>
      <c r="H1004" t="s">
        <v>26</v>
      </c>
      <c r="I1004" t="s">
        <v>3167</v>
      </c>
      <c r="J1004" t="s">
        <v>1033</v>
      </c>
      <c r="K1004" t="s">
        <v>3189</v>
      </c>
      <c r="L1004" t="s">
        <v>1033</v>
      </c>
      <c r="M1004" t="s">
        <v>980</v>
      </c>
      <c r="N1004" t="s">
        <v>1031</v>
      </c>
      <c r="O1004" t="s">
        <v>1031</v>
      </c>
      <c r="P1004" t="s">
        <v>1089</v>
      </c>
      <c r="Q1004" t="s">
        <v>3169</v>
      </c>
      <c r="R1004" t="s">
        <v>2437</v>
      </c>
      <c r="S1004" t="s">
        <v>4128</v>
      </c>
      <c r="T1004" t="s">
        <v>3239</v>
      </c>
      <c r="U1004" t="b">
        <v>0</v>
      </c>
      <c r="V1004" t="s">
        <v>2438</v>
      </c>
    </row>
    <row r="1005" spans="1:22" x14ac:dyDescent="0.25">
      <c r="A1005" t="s">
        <v>42</v>
      </c>
      <c r="B1005">
        <v>140</v>
      </c>
      <c r="C1005" t="s">
        <v>1036</v>
      </c>
      <c r="D1005" t="s">
        <v>1568</v>
      </c>
      <c r="E1005" t="s">
        <v>1035</v>
      </c>
      <c r="F1005">
        <v>45067</v>
      </c>
      <c r="G1005" t="s">
        <v>24</v>
      </c>
      <c r="H1005" t="s">
        <v>26</v>
      </c>
      <c r="I1005" t="s">
        <v>3167</v>
      </c>
      <c r="J1005" t="s">
        <v>1038</v>
      </c>
      <c r="K1005" t="s">
        <v>3191</v>
      </c>
      <c r="L1005" t="s">
        <v>1038</v>
      </c>
      <c r="M1005" t="s">
        <v>980</v>
      </c>
      <c r="N1005" t="s">
        <v>1037</v>
      </c>
      <c r="O1005" t="s">
        <v>1037</v>
      </c>
      <c r="P1005" t="s">
        <v>1089</v>
      </c>
      <c r="Q1005" t="s">
        <v>3169</v>
      </c>
      <c r="R1005" t="s">
        <v>2437</v>
      </c>
      <c r="S1005" t="s">
        <v>4128</v>
      </c>
      <c r="T1005" t="s">
        <v>3239</v>
      </c>
      <c r="U1005" t="b">
        <v>0</v>
      </c>
      <c r="V1005" t="s">
        <v>2438</v>
      </c>
    </row>
    <row r="1006" spans="1:22" x14ac:dyDescent="0.25">
      <c r="A1006" t="s">
        <v>42</v>
      </c>
      <c r="B1006">
        <v>140</v>
      </c>
      <c r="C1006" t="s">
        <v>1041</v>
      </c>
      <c r="D1006" t="s">
        <v>1570</v>
      </c>
      <c r="E1006" t="s">
        <v>1040</v>
      </c>
      <c r="F1006">
        <v>45097</v>
      </c>
      <c r="G1006" t="s">
        <v>24</v>
      </c>
      <c r="H1006" t="s">
        <v>26</v>
      </c>
      <c r="I1006" t="s">
        <v>3167</v>
      </c>
      <c r="J1006" t="s">
        <v>1043</v>
      </c>
      <c r="K1006" t="s">
        <v>3193</v>
      </c>
      <c r="L1006" t="s">
        <v>1043</v>
      </c>
      <c r="M1006" t="s">
        <v>980</v>
      </c>
      <c r="N1006" t="s">
        <v>1042</v>
      </c>
      <c r="O1006" t="s">
        <v>1042</v>
      </c>
      <c r="P1006" t="s">
        <v>1089</v>
      </c>
      <c r="Q1006" t="s">
        <v>3169</v>
      </c>
      <c r="R1006" t="s">
        <v>2437</v>
      </c>
      <c r="S1006" t="s">
        <v>4128</v>
      </c>
      <c r="T1006" t="s">
        <v>3239</v>
      </c>
      <c r="U1006" t="b">
        <v>0</v>
      </c>
      <c r="V1006" t="s">
        <v>2438</v>
      </c>
    </row>
    <row r="1007" spans="1:22" x14ac:dyDescent="0.25">
      <c r="A1007" t="s">
        <v>42</v>
      </c>
      <c r="B1007">
        <v>140</v>
      </c>
      <c r="C1007" t="s">
        <v>1046</v>
      </c>
      <c r="D1007" t="s">
        <v>1572</v>
      </c>
      <c r="E1007" t="s">
        <v>1045</v>
      </c>
      <c r="F1007">
        <v>43941</v>
      </c>
      <c r="G1007" t="s">
        <v>24</v>
      </c>
      <c r="H1007" t="s">
        <v>26</v>
      </c>
      <c r="I1007" t="s">
        <v>3167</v>
      </c>
      <c r="J1007" t="s">
        <v>1048</v>
      </c>
      <c r="K1007" t="s">
        <v>3195</v>
      </c>
      <c r="L1007" t="s">
        <v>1048</v>
      </c>
      <c r="M1007" t="s">
        <v>1000</v>
      </c>
      <c r="N1007" t="s">
        <v>1047</v>
      </c>
      <c r="O1007" t="s">
        <v>1047</v>
      </c>
      <c r="P1007" t="s">
        <v>1089</v>
      </c>
      <c r="Q1007" t="s">
        <v>3169</v>
      </c>
      <c r="R1007" t="s">
        <v>2437</v>
      </c>
      <c r="S1007" t="s">
        <v>4128</v>
      </c>
      <c r="T1007" t="s">
        <v>3239</v>
      </c>
      <c r="U1007" t="b">
        <v>0</v>
      </c>
      <c r="V1007" t="s">
        <v>2438</v>
      </c>
    </row>
    <row r="1008" spans="1:22" x14ac:dyDescent="0.25">
      <c r="A1008" t="s">
        <v>42</v>
      </c>
      <c r="B1008">
        <v>140</v>
      </c>
      <c r="C1008" t="s">
        <v>1050</v>
      </c>
      <c r="D1008" t="s">
        <v>2774</v>
      </c>
      <c r="E1008" t="s">
        <v>1032</v>
      </c>
      <c r="F1008" t="s">
        <v>4133</v>
      </c>
      <c r="G1008" t="s">
        <v>24</v>
      </c>
      <c r="H1008" t="s">
        <v>26</v>
      </c>
      <c r="I1008" t="s">
        <v>3167</v>
      </c>
      <c r="J1008" t="s">
        <v>1048</v>
      </c>
      <c r="K1008" t="s">
        <v>3195</v>
      </c>
      <c r="L1008" t="s">
        <v>1048</v>
      </c>
      <c r="M1008" t="s">
        <v>1000</v>
      </c>
      <c r="N1008" t="s">
        <v>1047</v>
      </c>
      <c r="O1008" t="s">
        <v>1047</v>
      </c>
      <c r="P1008" t="s">
        <v>1089</v>
      </c>
      <c r="Q1008" t="s">
        <v>3169</v>
      </c>
      <c r="R1008" t="s">
        <v>2437</v>
      </c>
      <c r="S1008" t="s">
        <v>4128</v>
      </c>
      <c r="T1008" t="s">
        <v>1965</v>
      </c>
      <c r="U1008" t="b">
        <v>0</v>
      </c>
      <c r="V1008" t="s">
        <v>2771</v>
      </c>
    </row>
    <row r="1009" spans="1:22" x14ac:dyDescent="0.25">
      <c r="A1009" t="s">
        <v>42</v>
      </c>
      <c r="B1009">
        <v>140</v>
      </c>
      <c r="C1009" t="s">
        <v>1052</v>
      </c>
      <c r="D1009" t="s">
        <v>2451</v>
      </c>
      <c r="E1009" t="s">
        <v>1051</v>
      </c>
      <c r="F1009" t="s">
        <v>4134</v>
      </c>
      <c r="G1009" t="s">
        <v>24</v>
      </c>
      <c r="H1009" t="s">
        <v>26</v>
      </c>
      <c r="I1009" t="s">
        <v>3167</v>
      </c>
      <c r="J1009" t="s">
        <v>1055</v>
      </c>
      <c r="K1009" t="s">
        <v>3199</v>
      </c>
      <c r="L1009" t="s">
        <v>1055</v>
      </c>
      <c r="M1009" t="s">
        <v>980</v>
      </c>
      <c r="N1009" t="s">
        <v>1053</v>
      </c>
      <c r="O1009" t="s">
        <v>1053</v>
      </c>
      <c r="P1009" t="s">
        <v>1089</v>
      </c>
      <c r="Q1009" t="s">
        <v>3169</v>
      </c>
      <c r="R1009" t="s">
        <v>2437</v>
      </c>
      <c r="S1009" t="s">
        <v>4128</v>
      </c>
      <c r="T1009" t="s">
        <v>1965</v>
      </c>
      <c r="U1009" t="b">
        <v>0</v>
      </c>
      <c r="V1009" t="s">
        <v>2771</v>
      </c>
    </row>
    <row r="1010" spans="1:22" x14ac:dyDescent="0.25">
      <c r="A1010" t="s">
        <v>42</v>
      </c>
      <c r="B1010">
        <v>141</v>
      </c>
      <c r="C1010" t="s">
        <v>979</v>
      </c>
      <c r="D1010" t="s">
        <v>1574</v>
      </c>
      <c r="E1010" t="s">
        <v>978</v>
      </c>
      <c r="F1010">
        <v>3171</v>
      </c>
      <c r="G1010" t="s">
        <v>24</v>
      </c>
      <c r="H1010" t="s">
        <v>26</v>
      </c>
      <c r="I1010" t="s">
        <v>3167</v>
      </c>
      <c r="J1010" t="s">
        <v>984</v>
      </c>
      <c r="K1010" t="s">
        <v>3168</v>
      </c>
      <c r="L1010" t="s">
        <v>984</v>
      </c>
      <c r="M1010" t="s">
        <v>980</v>
      </c>
      <c r="N1010" t="s">
        <v>981</v>
      </c>
      <c r="O1010" t="s">
        <v>981</v>
      </c>
      <c r="P1010" t="s">
        <v>1089</v>
      </c>
      <c r="Q1010" t="s">
        <v>3169</v>
      </c>
      <c r="R1010" t="s">
        <v>2456</v>
      </c>
      <c r="S1010" t="s">
        <v>4135</v>
      </c>
      <c r="T1010" t="s">
        <v>3239</v>
      </c>
      <c r="U1010" t="b">
        <v>0</v>
      </c>
      <c r="V1010" t="s">
        <v>2458</v>
      </c>
    </row>
    <row r="1011" spans="1:22" x14ac:dyDescent="0.25">
      <c r="A1011" t="s">
        <v>42</v>
      </c>
      <c r="B1011">
        <v>141</v>
      </c>
      <c r="C1011" t="s">
        <v>987</v>
      </c>
      <c r="D1011" t="s">
        <v>1575</v>
      </c>
      <c r="E1011" t="s">
        <v>986</v>
      </c>
      <c r="F1011">
        <v>2714</v>
      </c>
      <c r="G1011" t="s">
        <v>24</v>
      </c>
      <c r="H1011" t="s">
        <v>26</v>
      </c>
      <c r="I1011" t="s">
        <v>3167</v>
      </c>
      <c r="J1011" t="s">
        <v>990</v>
      </c>
      <c r="K1011" t="s">
        <v>3171</v>
      </c>
      <c r="L1011" t="s">
        <v>990</v>
      </c>
      <c r="M1011" t="s">
        <v>980</v>
      </c>
      <c r="N1011" t="s">
        <v>988</v>
      </c>
      <c r="O1011" t="s">
        <v>988</v>
      </c>
      <c r="P1011" t="s">
        <v>1089</v>
      </c>
      <c r="Q1011" t="s">
        <v>3169</v>
      </c>
      <c r="R1011" t="s">
        <v>2456</v>
      </c>
      <c r="S1011" t="s">
        <v>4135</v>
      </c>
      <c r="T1011" t="s">
        <v>3239</v>
      </c>
      <c r="U1011" t="b">
        <v>0</v>
      </c>
      <c r="V1011" t="s">
        <v>2458</v>
      </c>
    </row>
    <row r="1012" spans="1:22" x14ac:dyDescent="0.25">
      <c r="A1012" t="s">
        <v>42</v>
      </c>
      <c r="B1012">
        <v>141</v>
      </c>
      <c r="C1012" t="s">
        <v>993</v>
      </c>
      <c r="D1012" t="s">
        <v>1576</v>
      </c>
      <c r="E1012" t="s">
        <v>992</v>
      </c>
      <c r="F1012">
        <v>2733</v>
      </c>
      <c r="G1012" t="s">
        <v>24</v>
      </c>
      <c r="H1012" t="s">
        <v>26</v>
      </c>
      <c r="I1012" t="s">
        <v>3167</v>
      </c>
      <c r="J1012" t="s">
        <v>996</v>
      </c>
      <c r="K1012" t="s">
        <v>3173</v>
      </c>
      <c r="L1012" t="s">
        <v>996</v>
      </c>
      <c r="M1012" t="s">
        <v>980</v>
      </c>
      <c r="N1012" t="s">
        <v>994</v>
      </c>
      <c r="O1012" t="s">
        <v>994</v>
      </c>
      <c r="P1012" t="s">
        <v>1089</v>
      </c>
      <c r="Q1012" t="s">
        <v>3169</v>
      </c>
      <c r="R1012" t="s">
        <v>2456</v>
      </c>
      <c r="S1012" t="s">
        <v>4135</v>
      </c>
      <c r="T1012" t="s">
        <v>3239</v>
      </c>
      <c r="U1012" t="b">
        <v>0</v>
      </c>
      <c r="V1012" t="s">
        <v>2458</v>
      </c>
    </row>
    <row r="1013" spans="1:22" x14ac:dyDescent="0.25">
      <c r="A1013" t="s">
        <v>42</v>
      </c>
      <c r="B1013">
        <v>141</v>
      </c>
      <c r="C1013" t="s">
        <v>999</v>
      </c>
      <c r="D1013" t="s">
        <v>1577</v>
      </c>
      <c r="E1013" t="s">
        <v>998</v>
      </c>
      <c r="F1013">
        <v>2639</v>
      </c>
      <c r="G1013" t="s">
        <v>24</v>
      </c>
      <c r="H1013" t="s">
        <v>26</v>
      </c>
      <c r="I1013" t="s">
        <v>3167</v>
      </c>
      <c r="J1013" t="s">
        <v>1003</v>
      </c>
      <c r="K1013" t="s">
        <v>3175</v>
      </c>
      <c r="L1013" t="s">
        <v>1003</v>
      </c>
      <c r="M1013" t="s">
        <v>1000</v>
      </c>
      <c r="N1013" t="s">
        <v>1001</v>
      </c>
      <c r="O1013" t="s">
        <v>1001</v>
      </c>
      <c r="P1013" t="s">
        <v>1089</v>
      </c>
      <c r="Q1013" t="s">
        <v>3169</v>
      </c>
      <c r="R1013" t="s">
        <v>2456</v>
      </c>
      <c r="S1013" t="s">
        <v>4135</v>
      </c>
      <c r="T1013" t="s">
        <v>3239</v>
      </c>
      <c r="U1013" t="b">
        <v>0</v>
      </c>
      <c r="V1013" t="s">
        <v>2458</v>
      </c>
    </row>
    <row r="1014" spans="1:22" x14ac:dyDescent="0.25">
      <c r="A1014" t="s">
        <v>42</v>
      </c>
      <c r="B1014">
        <v>141</v>
      </c>
      <c r="C1014" t="s">
        <v>1005</v>
      </c>
      <c r="D1014" t="s">
        <v>2775</v>
      </c>
      <c r="E1014" t="s">
        <v>982</v>
      </c>
      <c r="F1014" t="s">
        <v>4136</v>
      </c>
      <c r="G1014" t="s">
        <v>24</v>
      </c>
      <c r="H1014" t="s">
        <v>26</v>
      </c>
      <c r="I1014" t="s">
        <v>3167</v>
      </c>
      <c r="J1014" t="s">
        <v>1003</v>
      </c>
      <c r="K1014" t="s">
        <v>3175</v>
      </c>
      <c r="L1014" t="s">
        <v>1003</v>
      </c>
      <c r="M1014" t="s">
        <v>1000</v>
      </c>
      <c r="N1014" t="s">
        <v>1001</v>
      </c>
      <c r="O1014" t="s">
        <v>1001</v>
      </c>
      <c r="P1014" t="s">
        <v>1089</v>
      </c>
      <c r="Q1014" t="s">
        <v>3169</v>
      </c>
      <c r="R1014" t="s">
        <v>2456</v>
      </c>
      <c r="S1014" t="s">
        <v>4135</v>
      </c>
      <c r="T1014" t="s">
        <v>1965</v>
      </c>
      <c r="U1014" t="b">
        <v>0</v>
      </c>
      <c r="V1014" t="s">
        <v>2458</v>
      </c>
    </row>
    <row r="1015" spans="1:22" x14ac:dyDescent="0.25">
      <c r="A1015" t="s">
        <v>42</v>
      </c>
      <c r="B1015">
        <v>141</v>
      </c>
      <c r="C1015" t="s">
        <v>1007</v>
      </c>
      <c r="D1015" t="s">
        <v>1578</v>
      </c>
      <c r="E1015" t="s">
        <v>1006</v>
      </c>
      <c r="F1015">
        <v>2521</v>
      </c>
      <c r="G1015" t="s">
        <v>24</v>
      </c>
      <c r="H1015" t="s">
        <v>26</v>
      </c>
      <c r="I1015" t="s">
        <v>3167</v>
      </c>
      <c r="J1015" t="s">
        <v>1967</v>
      </c>
      <c r="K1015" t="s">
        <v>3227</v>
      </c>
      <c r="L1015" t="s">
        <v>1967</v>
      </c>
      <c r="M1015" t="s">
        <v>980</v>
      </c>
      <c r="N1015" t="s">
        <v>1009</v>
      </c>
      <c r="O1015" t="s">
        <v>1009</v>
      </c>
      <c r="P1015" t="s">
        <v>1089</v>
      </c>
      <c r="Q1015" t="s">
        <v>3169</v>
      </c>
      <c r="R1015" t="s">
        <v>2463</v>
      </c>
      <c r="S1015" t="s">
        <v>4135</v>
      </c>
      <c r="T1015" t="s">
        <v>3239</v>
      </c>
      <c r="U1015" t="b">
        <v>0</v>
      </c>
      <c r="V1015" t="s">
        <v>2455</v>
      </c>
    </row>
    <row r="1016" spans="1:22" x14ac:dyDescent="0.25">
      <c r="A1016" t="s">
        <v>42</v>
      </c>
      <c r="B1016">
        <v>141</v>
      </c>
      <c r="C1016" t="s">
        <v>1014</v>
      </c>
      <c r="D1016" t="s">
        <v>1579</v>
      </c>
      <c r="E1016" t="s">
        <v>1013</v>
      </c>
      <c r="F1016">
        <v>2366</v>
      </c>
      <c r="G1016" t="s">
        <v>24</v>
      </c>
      <c r="H1016" t="s">
        <v>26</v>
      </c>
      <c r="I1016" t="s">
        <v>3167</v>
      </c>
      <c r="J1016" t="s">
        <v>1016</v>
      </c>
      <c r="K1016" t="s">
        <v>3181</v>
      </c>
      <c r="L1016" t="s">
        <v>1016</v>
      </c>
      <c r="M1016" t="s">
        <v>980</v>
      </c>
      <c r="N1016" t="s">
        <v>1015</v>
      </c>
      <c r="O1016" t="s">
        <v>1015</v>
      </c>
      <c r="P1016" t="s">
        <v>1089</v>
      </c>
      <c r="Q1016" t="s">
        <v>3169</v>
      </c>
      <c r="R1016" t="s">
        <v>2456</v>
      </c>
      <c r="S1016" t="s">
        <v>4135</v>
      </c>
      <c r="T1016" t="s">
        <v>3239</v>
      </c>
      <c r="U1016" t="b">
        <v>0</v>
      </c>
      <c r="V1016" t="s">
        <v>2458</v>
      </c>
    </row>
    <row r="1017" spans="1:22" x14ac:dyDescent="0.25">
      <c r="A1017" t="s">
        <v>42</v>
      </c>
      <c r="B1017">
        <v>141</v>
      </c>
      <c r="C1017" t="s">
        <v>1019</v>
      </c>
      <c r="D1017" t="s">
        <v>1580</v>
      </c>
      <c r="E1017" t="s">
        <v>1018</v>
      </c>
      <c r="F1017">
        <v>2292</v>
      </c>
      <c r="G1017" t="s">
        <v>24</v>
      </c>
      <c r="H1017" t="s">
        <v>26</v>
      </c>
      <c r="I1017" t="s">
        <v>3167</v>
      </c>
      <c r="J1017" t="s">
        <v>1021</v>
      </c>
      <c r="K1017" t="s">
        <v>3183</v>
      </c>
      <c r="L1017" t="s">
        <v>1021</v>
      </c>
      <c r="M1017" t="s">
        <v>980</v>
      </c>
      <c r="N1017" t="s">
        <v>1020</v>
      </c>
      <c r="O1017" t="s">
        <v>1020</v>
      </c>
      <c r="P1017" t="s">
        <v>1089</v>
      </c>
      <c r="Q1017" t="s">
        <v>3169</v>
      </c>
      <c r="R1017" t="s">
        <v>2456</v>
      </c>
      <c r="S1017" t="s">
        <v>4135</v>
      </c>
      <c r="T1017" t="s">
        <v>3239</v>
      </c>
      <c r="U1017" t="b">
        <v>0</v>
      </c>
      <c r="V1017" t="s">
        <v>2458</v>
      </c>
    </row>
    <row r="1018" spans="1:22" x14ac:dyDescent="0.25">
      <c r="A1018" t="s">
        <v>42</v>
      </c>
      <c r="B1018">
        <v>141</v>
      </c>
      <c r="C1018" t="s">
        <v>1024</v>
      </c>
      <c r="D1018" t="s">
        <v>1581</v>
      </c>
      <c r="E1018" t="s">
        <v>1023</v>
      </c>
      <c r="F1018">
        <v>2469</v>
      </c>
      <c r="G1018" t="s">
        <v>24</v>
      </c>
      <c r="H1018" t="s">
        <v>26</v>
      </c>
      <c r="I1018" t="s">
        <v>3167</v>
      </c>
      <c r="J1018" t="s">
        <v>1026</v>
      </c>
      <c r="K1018" t="s">
        <v>3185</v>
      </c>
      <c r="L1018" t="s">
        <v>1026</v>
      </c>
      <c r="M1018" t="s">
        <v>1000</v>
      </c>
      <c r="N1018" t="s">
        <v>1025</v>
      </c>
      <c r="O1018" t="s">
        <v>1025</v>
      </c>
      <c r="P1018" t="s">
        <v>1089</v>
      </c>
      <c r="Q1018" t="s">
        <v>3169</v>
      </c>
      <c r="R1018" t="s">
        <v>2456</v>
      </c>
      <c r="S1018" t="s">
        <v>4135</v>
      </c>
      <c r="T1018" t="s">
        <v>3239</v>
      </c>
      <c r="U1018" t="b">
        <v>0</v>
      </c>
      <c r="V1018" t="s">
        <v>2458</v>
      </c>
    </row>
    <row r="1019" spans="1:22" x14ac:dyDescent="0.25">
      <c r="A1019" t="s">
        <v>42</v>
      </c>
      <c r="B1019">
        <v>141</v>
      </c>
      <c r="C1019" t="s">
        <v>1028</v>
      </c>
      <c r="D1019" t="s">
        <v>2778</v>
      </c>
      <c r="E1019" t="s">
        <v>1010</v>
      </c>
      <c r="F1019" t="s">
        <v>4137</v>
      </c>
      <c r="G1019" t="s">
        <v>24</v>
      </c>
      <c r="H1019" t="s">
        <v>26</v>
      </c>
      <c r="I1019" t="s">
        <v>3167</v>
      </c>
      <c r="J1019" t="s">
        <v>1026</v>
      </c>
      <c r="K1019" t="s">
        <v>3185</v>
      </c>
      <c r="L1019" t="s">
        <v>1026</v>
      </c>
      <c r="M1019" t="s">
        <v>1000</v>
      </c>
      <c r="N1019" t="s">
        <v>1025</v>
      </c>
      <c r="O1019" t="s">
        <v>1025</v>
      </c>
      <c r="P1019" t="s">
        <v>1089</v>
      </c>
      <c r="Q1019" t="s">
        <v>3169</v>
      </c>
      <c r="R1019" t="s">
        <v>2456</v>
      </c>
      <c r="S1019" t="s">
        <v>4135</v>
      </c>
      <c r="T1019" t="s">
        <v>1965</v>
      </c>
      <c r="U1019" t="b">
        <v>0</v>
      </c>
      <c r="V1019" t="s">
        <v>2458</v>
      </c>
    </row>
    <row r="1020" spans="1:22" x14ac:dyDescent="0.25">
      <c r="A1020" t="s">
        <v>42</v>
      </c>
      <c r="B1020">
        <v>141</v>
      </c>
      <c r="C1020" t="s">
        <v>1030</v>
      </c>
      <c r="D1020" t="s">
        <v>1582</v>
      </c>
      <c r="E1020" t="s">
        <v>1029</v>
      </c>
      <c r="F1020">
        <v>2311</v>
      </c>
      <c r="G1020" t="s">
        <v>24</v>
      </c>
      <c r="H1020" t="s">
        <v>26</v>
      </c>
      <c r="I1020" t="s">
        <v>3167</v>
      </c>
      <c r="J1020" t="s">
        <v>1033</v>
      </c>
      <c r="K1020" t="s">
        <v>3189</v>
      </c>
      <c r="L1020" t="s">
        <v>1033</v>
      </c>
      <c r="M1020" t="s">
        <v>980</v>
      </c>
      <c r="N1020" t="s">
        <v>1031</v>
      </c>
      <c r="O1020" t="s">
        <v>1031</v>
      </c>
      <c r="P1020" t="s">
        <v>1089</v>
      </c>
      <c r="Q1020" t="s">
        <v>3169</v>
      </c>
      <c r="R1020" t="s">
        <v>2456</v>
      </c>
      <c r="S1020" t="s">
        <v>4135</v>
      </c>
      <c r="T1020" t="s">
        <v>3239</v>
      </c>
      <c r="U1020" t="b">
        <v>0</v>
      </c>
      <c r="V1020" t="s">
        <v>2458</v>
      </c>
    </row>
    <row r="1021" spans="1:22" x14ac:dyDescent="0.25">
      <c r="A1021" t="s">
        <v>42</v>
      </c>
      <c r="B1021">
        <v>141</v>
      </c>
      <c r="C1021" t="s">
        <v>1036</v>
      </c>
      <c r="D1021" t="s">
        <v>1583</v>
      </c>
      <c r="E1021" t="s">
        <v>1035</v>
      </c>
      <c r="F1021">
        <v>2375</v>
      </c>
      <c r="G1021" t="s">
        <v>24</v>
      </c>
      <c r="H1021" t="s">
        <v>26</v>
      </c>
      <c r="I1021" t="s">
        <v>3167</v>
      </c>
      <c r="J1021" t="s">
        <v>1038</v>
      </c>
      <c r="K1021" t="s">
        <v>3191</v>
      </c>
      <c r="L1021" t="s">
        <v>1038</v>
      </c>
      <c r="M1021" t="s">
        <v>980</v>
      </c>
      <c r="N1021" t="s">
        <v>1037</v>
      </c>
      <c r="O1021" t="s">
        <v>1037</v>
      </c>
      <c r="P1021" t="s">
        <v>1089</v>
      </c>
      <c r="Q1021" t="s">
        <v>3169</v>
      </c>
      <c r="R1021" t="s">
        <v>2456</v>
      </c>
      <c r="S1021" t="s">
        <v>4135</v>
      </c>
      <c r="T1021" t="s">
        <v>3239</v>
      </c>
      <c r="U1021" t="b">
        <v>0</v>
      </c>
      <c r="V1021" t="s">
        <v>2458</v>
      </c>
    </row>
    <row r="1022" spans="1:22" x14ac:dyDescent="0.25">
      <c r="A1022" t="s">
        <v>42</v>
      </c>
      <c r="B1022">
        <v>141</v>
      </c>
      <c r="C1022" t="s">
        <v>1041</v>
      </c>
      <c r="D1022" t="s">
        <v>1584</v>
      </c>
      <c r="E1022" t="s">
        <v>1040</v>
      </c>
      <c r="F1022">
        <v>2435</v>
      </c>
      <c r="G1022" t="s">
        <v>24</v>
      </c>
      <c r="H1022" t="s">
        <v>26</v>
      </c>
      <c r="I1022" t="s">
        <v>3167</v>
      </c>
      <c r="J1022" t="s">
        <v>1043</v>
      </c>
      <c r="K1022" t="s">
        <v>3193</v>
      </c>
      <c r="L1022" t="s">
        <v>1043</v>
      </c>
      <c r="M1022" t="s">
        <v>980</v>
      </c>
      <c r="N1022" t="s">
        <v>1042</v>
      </c>
      <c r="O1022" t="s">
        <v>1042</v>
      </c>
      <c r="P1022" t="s">
        <v>1089</v>
      </c>
      <c r="Q1022" t="s">
        <v>3169</v>
      </c>
      <c r="R1022" t="s">
        <v>2456</v>
      </c>
      <c r="S1022" t="s">
        <v>4135</v>
      </c>
      <c r="T1022" t="s">
        <v>3239</v>
      </c>
      <c r="U1022" t="b">
        <v>0</v>
      </c>
      <c r="V1022" t="s">
        <v>2458</v>
      </c>
    </row>
    <row r="1023" spans="1:22" x14ac:dyDescent="0.25">
      <c r="A1023" t="s">
        <v>42</v>
      </c>
      <c r="B1023">
        <v>141</v>
      </c>
      <c r="C1023" t="s">
        <v>1046</v>
      </c>
      <c r="D1023" t="s">
        <v>1585</v>
      </c>
      <c r="E1023" t="s">
        <v>1045</v>
      </c>
      <c r="F1023">
        <v>2406</v>
      </c>
      <c r="G1023" t="s">
        <v>24</v>
      </c>
      <c r="H1023" t="s">
        <v>26</v>
      </c>
      <c r="I1023" t="s">
        <v>3167</v>
      </c>
      <c r="J1023" t="s">
        <v>1048</v>
      </c>
      <c r="K1023" t="s">
        <v>3195</v>
      </c>
      <c r="L1023" t="s">
        <v>1048</v>
      </c>
      <c r="M1023" t="s">
        <v>1000</v>
      </c>
      <c r="N1023" t="s">
        <v>1047</v>
      </c>
      <c r="O1023" t="s">
        <v>1047</v>
      </c>
      <c r="P1023" t="s">
        <v>1089</v>
      </c>
      <c r="Q1023" t="s">
        <v>3169</v>
      </c>
      <c r="R1023" t="s">
        <v>2456</v>
      </c>
      <c r="S1023" t="s">
        <v>4135</v>
      </c>
      <c r="T1023" t="s">
        <v>3239</v>
      </c>
      <c r="U1023" t="b">
        <v>0</v>
      </c>
      <c r="V1023" t="s">
        <v>2458</v>
      </c>
    </row>
    <row r="1024" spans="1:22" x14ac:dyDescent="0.25">
      <c r="A1024" t="s">
        <v>42</v>
      </c>
      <c r="B1024">
        <v>141</v>
      </c>
      <c r="C1024" t="s">
        <v>1050</v>
      </c>
      <c r="D1024" t="s">
        <v>2780</v>
      </c>
      <c r="E1024" t="s">
        <v>1032</v>
      </c>
      <c r="F1024" t="s">
        <v>4138</v>
      </c>
      <c r="G1024" t="s">
        <v>24</v>
      </c>
      <c r="H1024" t="s">
        <v>26</v>
      </c>
      <c r="I1024" t="s">
        <v>3167</v>
      </c>
      <c r="J1024" t="s">
        <v>1048</v>
      </c>
      <c r="K1024" t="s">
        <v>3195</v>
      </c>
      <c r="L1024" t="s">
        <v>1048</v>
      </c>
      <c r="M1024" t="s">
        <v>1000</v>
      </c>
      <c r="N1024" t="s">
        <v>1047</v>
      </c>
      <c r="O1024" t="s">
        <v>1047</v>
      </c>
      <c r="P1024" t="s">
        <v>1089</v>
      </c>
      <c r="Q1024" t="s">
        <v>3169</v>
      </c>
      <c r="R1024" t="s">
        <v>2456</v>
      </c>
      <c r="S1024" t="s">
        <v>4135</v>
      </c>
      <c r="T1024" t="s">
        <v>1965</v>
      </c>
      <c r="U1024" t="b">
        <v>0</v>
      </c>
      <c r="V1024" t="s">
        <v>2458</v>
      </c>
    </row>
    <row r="1025" spans="1:22" x14ac:dyDescent="0.25">
      <c r="A1025" t="s">
        <v>42</v>
      </c>
      <c r="B1025">
        <v>141</v>
      </c>
      <c r="C1025" t="s">
        <v>1052</v>
      </c>
      <c r="D1025" t="s">
        <v>1587</v>
      </c>
      <c r="E1025" t="s">
        <v>1051</v>
      </c>
      <c r="F1025">
        <v>2615</v>
      </c>
      <c r="G1025" t="s">
        <v>24</v>
      </c>
      <c r="H1025" t="s">
        <v>26</v>
      </c>
      <c r="I1025" t="s">
        <v>3167</v>
      </c>
      <c r="J1025" t="s">
        <v>1055</v>
      </c>
      <c r="K1025" t="s">
        <v>3199</v>
      </c>
      <c r="L1025" t="s">
        <v>1055</v>
      </c>
      <c r="M1025" t="s">
        <v>980</v>
      </c>
      <c r="N1025" t="s">
        <v>1053</v>
      </c>
      <c r="O1025" t="s">
        <v>1053</v>
      </c>
      <c r="P1025" t="s">
        <v>1089</v>
      </c>
      <c r="Q1025" t="s">
        <v>3169</v>
      </c>
      <c r="R1025" t="s">
        <v>2463</v>
      </c>
      <c r="S1025" t="s">
        <v>4135</v>
      </c>
      <c r="T1025" t="s">
        <v>3239</v>
      </c>
      <c r="U1025" t="b">
        <v>0</v>
      </c>
      <c r="V1025" t="s">
        <v>2455</v>
      </c>
    </row>
    <row r="1026" spans="1:22" x14ac:dyDescent="0.25">
      <c r="A1026" t="s">
        <v>42</v>
      </c>
      <c r="B1026">
        <v>142</v>
      </c>
      <c r="C1026" t="s">
        <v>979</v>
      </c>
      <c r="D1026" t="s">
        <v>2472</v>
      </c>
      <c r="E1026" t="s">
        <v>978</v>
      </c>
      <c r="F1026">
        <v>7874</v>
      </c>
      <c r="G1026" t="s">
        <v>24</v>
      </c>
      <c r="H1026" t="s">
        <v>26</v>
      </c>
      <c r="I1026" t="s">
        <v>3167</v>
      </c>
      <c r="J1026" t="s">
        <v>984</v>
      </c>
      <c r="K1026" t="s">
        <v>3168</v>
      </c>
      <c r="L1026" t="s">
        <v>984</v>
      </c>
      <c r="M1026" t="s">
        <v>980</v>
      </c>
      <c r="N1026" t="s">
        <v>981</v>
      </c>
      <c r="O1026" t="s">
        <v>981</v>
      </c>
      <c r="P1026" t="s">
        <v>1089</v>
      </c>
      <c r="Q1026" t="s">
        <v>3169</v>
      </c>
      <c r="R1026" t="s">
        <v>2477</v>
      </c>
      <c r="S1026" t="s">
        <v>4139</v>
      </c>
      <c r="T1026" t="s">
        <v>3239</v>
      </c>
      <c r="U1026" t="b">
        <v>0</v>
      </c>
      <c r="V1026" t="s">
        <v>2480</v>
      </c>
    </row>
    <row r="1027" spans="1:22" x14ac:dyDescent="0.25">
      <c r="A1027" t="s">
        <v>42</v>
      </c>
      <c r="B1027">
        <v>142</v>
      </c>
      <c r="C1027" t="s">
        <v>987</v>
      </c>
      <c r="D1027" t="s">
        <v>2481</v>
      </c>
      <c r="E1027" t="s">
        <v>986</v>
      </c>
      <c r="F1027">
        <v>8449</v>
      </c>
      <c r="G1027" t="s">
        <v>24</v>
      </c>
      <c r="H1027" t="s">
        <v>26</v>
      </c>
      <c r="I1027" t="s">
        <v>3167</v>
      </c>
      <c r="J1027" t="s">
        <v>990</v>
      </c>
      <c r="K1027" t="s">
        <v>3171</v>
      </c>
      <c r="L1027" t="s">
        <v>990</v>
      </c>
      <c r="M1027" t="s">
        <v>980</v>
      </c>
      <c r="N1027" t="s">
        <v>988</v>
      </c>
      <c r="O1027" t="s">
        <v>988</v>
      </c>
      <c r="P1027" t="s">
        <v>1089</v>
      </c>
      <c r="Q1027" t="s">
        <v>3169</v>
      </c>
      <c r="R1027" t="s">
        <v>2477</v>
      </c>
      <c r="S1027" t="s">
        <v>4139</v>
      </c>
      <c r="T1027" t="s">
        <v>3239</v>
      </c>
      <c r="U1027" t="b">
        <v>0</v>
      </c>
      <c r="V1027" t="s">
        <v>2480</v>
      </c>
    </row>
    <row r="1028" spans="1:22" x14ac:dyDescent="0.25">
      <c r="A1028" t="s">
        <v>42</v>
      </c>
      <c r="B1028">
        <v>142</v>
      </c>
      <c r="C1028" t="s">
        <v>993</v>
      </c>
      <c r="D1028" t="s">
        <v>2483</v>
      </c>
      <c r="E1028" t="s">
        <v>992</v>
      </c>
      <c r="F1028">
        <v>8427</v>
      </c>
      <c r="G1028" t="s">
        <v>24</v>
      </c>
      <c r="H1028" t="s">
        <v>26</v>
      </c>
      <c r="I1028" t="s">
        <v>3167</v>
      </c>
      <c r="J1028" t="s">
        <v>996</v>
      </c>
      <c r="K1028" t="s">
        <v>3173</v>
      </c>
      <c r="L1028" t="s">
        <v>996</v>
      </c>
      <c r="M1028" t="s">
        <v>980</v>
      </c>
      <c r="N1028" t="s">
        <v>994</v>
      </c>
      <c r="O1028" t="s">
        <v>994</v>
      </c>
      <c r="P1028" t="s">
        <v>1089</v>
      </c>
      <c r="Q1028" t="s">
        <v>3169</v>
      </c>
      <c r="R1028" t="s">
        <v>2477</v>
      </c>
      <c r="S1028" t="s">
        <v>4139</v>
      </c>
      <c r="T1028" t="s">
        <v>3239</v>
      </c>
      <c r="U1028" t="b">
        <v>0</v>
      </c>
      <c r="V1028" t="s">
        <v>2480</v>
      </c>
    </row>
    <row r="1029" spans="1:22" x14ac:dyDescent="0.25">
      <c r="A1029" t="s">
        <v>42</v>
      </c>
      <c r="B1029">
        <v>142</v>
      </c>
      <c r="C1029" t="s">
        <v>999</v>
      </c>
      <c r="D1029" t="s">
        <v>2485</v>
      </c>
      <c r="E1029" t="s">
        <v>998</v>
      </c>
      <c r="F1029">
        <v>8466</v>
      </c>
      <c r="G1029" t="s">
        <v>24</v>
      </c>
      <c r="H1029" t="s">
        <v>26</v>
      </c>
      <c r="I1029" t="s">
        <v>3167</v>
      </c>
      <c r="J1029" t="s">
        <v>2488</v>
      </c>
      <c r="K1029" t="s">
        <v>4140</v>
      </c>
      <c r="L1029" t="s">
        <v>2488</v>
      </c>
      <c r="M1029" t="s">
        <v>1000</v>
      </c>
      <c r="N1029" t="s">
        <v>1001</v>
      </c>
      <c r="O1029" t="s">
        <v>1001</v>
      </c>
      <c r="P1029" t="s">
        <v>1089</v>
      </c>
      <c r="Q1029" t="s">
        <v>3169</v>
      </c>
      <c r="R1029" t="s">
        <v>2492</v>
      </c>
      <c r="S1029" t="s">
        <v>4141</v>
      </c>
      <c r="T1029" t="s">
        <v>3239</v>
      </c>
      <c r="U1029" t="b">
        <v>0</v>
      </c>
      <c r="V1029" t="s">
        <v>2480</v>
      </c>
    </row>
    <row r="1030" spans="1:22" x14ac:dyDescent="0.25">
      <c r="A1030" t="s">
        <v>42</v>
      </c>
      <c r="B1030">
        <v>142</v>
      </c>
      <c r="C1030" t="s">
        <v>1005</v>
      </c>
      <c r="D1030" t="s">
        <v>2782</v>
      </c>
      <c r="E1030" t="s">
        <v>982</v>
      </c>
      <c r="F1030" t="s">
        <v>4142</v>
      </c>
      <c r="G1030" t="s">
        <v>24</v>
      </c>
      <c r="H1030" t="s">
        <v>26</v>
      </c>
      <c r="I1030" t="s">
        <v>3167</v>
      </c>
      <c r="J1030" t="s">
        <v>2488</v>
      </c>
      <c r="K1030" t="s">
        <v>4140</v>
      </c>
      <c r="L1030" t="s">
        <v>2488</v>
      </c>
      <c r="M1030" t="s">
        <v>1000</v>
      </c>
      <c r="N1030" t="s">
        <v>1001</v>
      </c>
      <c r="O1030" t="s">
        <v>1001</v>
      </c>
      <c r="P1030" t="s">
        <v>1089</v>
      </c>
      <c r="Q1030" t="s">
        <v>3169</v>
      </c>
      <c r="R1030" t="s">
        <v>2492</v>
      </c>
      <c r="S1030" t="s">
        <v>4141</v>
      </c>
      <c r="T1030" t="s">
        <v>1965</v>
      </c>
      <c r="U1030" t="b">
        <v>0</v>
      </c>
      <c r="V1030" t="s">
        <v>2480</v>
      </c>
    </row>
    <row r="1031" spans="1:22" x14ac:dyDescent="0.25">
      <c r="A1031" t="s">
        <v>42</v>
      </c>
      <c r="B1031">
        <v>142</v>
      </c>
      <c r="C1031" t="s">
        <v>1007</v>
      </c>
      <c r="D1031" t="s">
        <v>2493</v>
      </c>
      <c r="E1031" t="s">
        <v>1006</v>
      </c>
      <c r="F1031">
        <v>5465</v>
      </c>
      <c r="G1031" t="s">
        <v>24</v>
      </c>
      <c r="H1031" t="s">
        <v>26</v>
      </c>
      <c r="I1031" t="s">
        <v>3167</v>
      </c>
      <c r="J1031" t="s">
        <v>1967</v>
      </c>
      <c r="K1031" t="s">
        <v>3227</v>
      </c>
      <c r="L1031" t="s">
        <v>1967</v>
      </c>
      <c r="M1031" t="s">
        <v>980</v>
      </c>
      <c r="N1031" t="s">
        <v>1009</v>
      </c>
      <c r="O1031" t="s">
        <v>1009</v>
      </c>
      <c r="P1031" t="s">
        <v>1089</v>
      </c>
      <c r="Q1031" t="s">
        <v>3169</v>
      </c>
      <c r="R1031" t="s">
        <v>2498</v>
      </c>
      <c r="S1031" t="s">
        <v>4143</v>
      </c>
      <c r="T1031" t="s">
        <v>4144</v>
      </c>
      <c r="U1031" t="b">
        <v>0</v>
      </c>
      <c r="V1031" t="s">
        <v>2497</v>
      </c>
    </row>
    <row r="1032" spans="1:22" x14ac:dyDescent="0.25">
      <c r="A1032" t="s">
        <v>42</v>
      </c>
      <c r="B1032">
        <v>142</v>
      </c>
      <c r="C1032" t="s">
        <v>1014</v>
      </c>
      <c r="D1032" t="s">
        <v>2499</v>
      </c>
      <c r="E1032" t="s">
        <v>1013</v>
      </c>
      <c r="F1032">
        <v>4077</v>
      </c>
      <c r="G1032" t="s">
        <v>24</v>
      </c>
      <c r="H1032" t="s">
        <v>26</v>
      </c>
      <c r="I1032" t="s">
        <v>3167</v>
      </c>
      <c r="J1032" t="s">
        <v>1016</v>
      </c>
      <c r="K1032" t="s">
        <v>3181</v>
      </c>
      <c r="L1032" t="s">
        <v>1016</v>
      </c>
      <c r="M1032" t="s">
        <v>980</v>
      </c>
      <c r="N1032" t="s">
        <v>1015</v>
      </c>
      <c r="O1032" t="s">
        <v>1015</v>
      </c>
      <c r="P1032" t="s">
        <v>1089</v>
      </c>
      <c r="Q1032" t="s">
        <v>3169</v>
      </c>
      <c r="R1032" t="s">
        <v>2492</v>
      </c>
      <c r="S1032" t="s">
        <v>4145</v>
      </c>
      <c r="T1032" t="s">
        <v>3239</v>
      </c>
      <c r="U1032" t="b">
        <v>0</v>
      </c>
      <c r="V1032" t="s">
        <v>2480</v>
      </c>
    </row>
    <row r="1033" spans="1:22" x14ac:dyDescent="0.25">
      <c r="A1033" t="s">
        <v>42</v>
      </c>
      <c r="B1033">
        <v>142</v>
      </c>
      <c r="C1033" t="s">
        <v>1019</v>
      </c>
      <c r="D1033" t="s">
        <v>2503</v>
      </c>
      <c r="E1033" t="s">
        <v>1018</v>
      </c>
      <c r="F1033">
        <v>4257</v>
      </c>
      <c r="G1033" t="s">
        <v>24</v>
      </c>
      <c r="H1033" t="s">
        <v>26</v>
      </c>
      <c r="I1033" t="s">
        <v>3167</v>
      </c>
      <c r="J1033" t="s">
        <v>1021</v>
      </c>
      <c r="K1033" t="s">
        <v>3183</v>
      </c>
      <c r="L1033" t="s">
        <v>1021</v>
      </c>
      <c r="M1033" t="s">
        <v>980</v>
      </c>
      <c r="N1033" t="s">
        <v>1020</v>
      </c>
      <c r="O1033" t="s">
        <v>1020</v>
      </c>
      <c r="P1033" t="s">
        <v>1089</v>
      </c>
      <c r="Q1033" t="s">
        <v>3169</v>
      </c>
      <c r="R1033" t="s">
        <v>2492</v>
      </c>
      <c r="S1033" t="s">
        <v>4145</v>
      </c>
      <c r="T1033" t="s">
        <v>3239</v>
      </c>
      <c r="U1033" t="b">
        <v>0</v>
      </c>
      <c r="V1033" t="s">
        <v>2480</v>
      </c>
    </row>
    <row r="1034" spans="1:22" x14ac:dyDescent="0.25">
      <c r="A1034" t="s">
        <v>42</v>
      </c>
      <c r="B1034">
        <v>142</v>
      </c>
      <c r="C1034" t="s">
        <v>1024</v>
      </c>
      <c r="D1034" t="s">
        <v>2505</v>
      </c>
      <c r="E1034" t="s">
        <v>1023</v>
      </c>
      <c r="F1034">
        <v>4084</v>
      </c>
      <c r="G1034" t="s">
        <v>24</v>
      </c>
      <c r="H1034" t="s">
        <v>26</v>
      </c>
      <c r="I1034" t="s">
        <v>3167</v>
      </c>
      <c r="J1034" t="s">
        <v>1026</v>
      </c>
      <c r="K1034" t="s">
        <v>3185</v>
      </c>
      <c r="L1034" t="s">
        <v>1026</v>
      </c>
      <c r="M1034" t="s">
        <v>1000</v>
      </c>
      <c r="N1034" t="s">
        <v>1025</v>
      </c>
      <c r="O1034" t="s">
        <v>1025</v>
      </c>
      <c r="P1034" t="s">
        <v>1089</v>
      </c>
      <c r="Q1034" t="s">
        <v>3169</v>
      </c>
      <c r="R1034" t="s">
        <v>2492</v>
      </c>
      <c r="S1034" t="s">
        <v>4146</v>
      </c>
      <c r="T1034" t="s">
        <v>3239</v>
      </c>
      <c r="U1034" t="b">
        <v>0</v>
      </c>
      <c r="V1034" t="s">
        <v>2480</v>
      </c>
    </row>
    <row r="1035" spans="1:22" x14ac:dyDescent="0.25">
      <c r="A1035" t="s">
        <v>42</v>
      </c>
      <c r="B1035">
        <v>142</v>
      </c>
      <c r="C1035" t="s">
        <v>1028</v>
      </c>
      <c r="D1035" t="s">
        <v>2785</v>
      </c>
      <c r="E1035" t="s">
        <v>1010</v>
      </c>
      <c r="F1035" t="s">
        <v>4147</v>
      </c>
      <c r="G1035" t="s">
        <v>24</v>
      </c>
      <c r="H1035" t="s">
        <v>26</v>
      </c>
      <c r="I1035" t="s">
        <v>3167</v>
      </c>
      <c r="J1035" t="s">
        <v>1026</v>
      </c>
      <c r="K1035" t="s">
        <v>3185</v>
      </c>
      <c r="L1035" t="s">
        <v>1026</v>
      </c>
      <c r="M1035" t="s">
        <v>1000</v>
      </c>
      <c r="N1035" t="s">
        <v>1025</v>
      </c>
      <c r="O1035" t="s">
        <v>1025</v>
      </c>
      <c r="P1035" t="s">
        <v>1089</v>
      </c>
      <c r="Q1035" t="s">
        <v>3169</v>
      </c>
      <c r="R1035" t="s">
        <v>2492</v>
      </c>
      <c r="S1035" t="s">
        <v>4146</v>
      </c>
      <c r="T1035" t="s">
        <v>1965</v>
      </c>
      <c r="U1035" t="b">
        <v>0</v>
      </c>
      <c r="V1035" t="s">
        <v>2480</v>
      </c>
    </row>
    <row r="1036" spans="1:22" x14ac:dyDescent="0.25">
      <c r="A1036" t="s">
        <v>42</v>
      </c>
      <c r="B1036">
        <v>142</v>
      </c>
      <c r="C1036" t="s">
        <v>1030</v>
      </c>
      <c r="D1036" t="s">
        <v>1588</v>
      </c>
      <c r="E1036" t="s">
        <v>1029</v>
      </c>
      <c r="F1036">
        <v>4313</v>
      </c>
      <c r="G1036" t="s">
        <v>24</v>
      </c>
      <c r="H1036" t="s">
        <v>26</v>
      </c>
      <c r="I1036" t="s">
        <v>3167</v>
      </c>
      <c r="J1036" t="s">
        <v>1033</v>
      </c>
      <c r="K1036" t="s">
        <v>3189</v>
      </c>
      <c r="L1036" t="s">
        <v>1033</v>
      </c>
      <c r="M1036" t="s">
        <v>980</v>
      </c>
      <c r="N1036" t="s">
        <v>1031</v>
      </c>
      <c r="O1036" t="s">
        <v>1031</v>
      </c>
      <c r="P1036" t="s">
        <v>1089</v>
      </c>
      <c r="Q1036" t="s">
        <v>3169</v>
      </c>
      <c r="R1036" t="s">
        <v>2972</v>
      </c>
      <c r="S1036" t="s">
        <v>4145</v>
      </c>
      <c r="T1036" t="s">
        <v>3239</v>
      </c>
      <c r="U1036" t="b">
        <v>0</v>
      </c>
      <c r="V1036" t="s">
        <v>2510</v>
      </c>
    </row>
    <row r="1037" spans="1:22" x14ac:dyDescent="0.25">
      <c r="A1037" t="s">
        <v>42</v>
      </c>
      <c r="B1037">
        <v>142</v>
      </c>
      <c r="C1037" t="s">
        <v>1036</v>
      </c>
      <c r="D1037" t="s">
        <v>1590</v>
      </c>
      <c r="E1037" t="s">
        <v>1035</v>
      </c>
      <c r="F1037">
        <v>4856</v>
      </c>
      <c r="G1037" t="s">
        <v>24</v>
      </c>
      <c r="H1037" t="s">
        <v>26</v>
      </c>
      <c r="I1037" t="s">
        <v>3167</v>
      </c>
      <c r="J1037" t="s">
        <v>1038</v>
      </c>
      <c r="K1037" t="s">
        <v>3191</v>
      </c>
      <c r="L1037" t="s">
        <v>1038</v>
      </c>
      <c r="M1037" t="s">
        <v>980</v>
      </c>
      <c r="N1037" t="s">
        <v>1037</v>
      </c>
      <c r="O1037" t="s">
        <v>1037</v>
      </c>
      <c r="P1037" t="s">
        <v>1089</v>
      </c>
      <c r="Q1037" t="s">
        <v>3169</v>
      </c>
      <c r="R1037" t="s">
        <v>2972</v>
      </c>
      <c r="S1037" t="s">
        <v>4145</v>
      </c>
      <c r="T1037" t="s">
        <v>3239</v>
      </c>
      <c r="U1037" t="b">
        <v>0</v>
      </c>
      <c r="V1037" t="s">
        <v>2510</v>
      </c>
    </row>
    <row r="1038" spans="1:22" x14ac:dyDescent="0.25">
      <c r="A1038" t="s">
        <v>42</v>
      </c>
      <c r="B1038">
        <v>142</v>
      </c>
      <c r="C1038" t="s">
        <v>1041</v>
      </c>
      <c r="D1038" t="s">
        <v>1592</v>
      </c>
      <c r="E1038" t="s">
        <v>1040</v>
      </c>
      <c r="F1038">
        <v>4667</v>
      </c>
      <c r="G1038" t="s">
        <v>24</v>
      </c>
      <c r="H1038" t="s">
        <v>26</v>
      </c>
      <c r="I1038" t="s">
        <v>3167</v>
      </c>
      <c r="J1038" t="s">
        <v>1043</v>
      </c>
      <c r="K1038" t="s">
        <v>3193</v>
      </c>
      <c r="L1038" t="s">
        <v>1043</v>
      </c>
      <c r="M1038" t="s">
        <v>980</v>
      </c>
      <c r="N1038" t="s">
        <v>1042</v>
      </c>
      <c r="O1038" t="s">
        <v>1042</v>
      </c>
      <c r="P1038" t="s">
        <v>1089</v>
      </c>
      <c r="Q1038" t="s">
        <v>3169</v>
      </c>
      <c r="R1038" t="s">
        <v>2972</v>
      </c>
      <c r="S1038" t="s">
        <v>4145</v>
      </c>
      <c r="T1038" t="s">
        <v>3239</v>
      </c>
      <c r="U1038" t="b">
        <v>0</v>
      </c>
      <c r="V1038" t="s">
        <v>2510</v>
      </c>
    </row>
    <row r="1039" spans="1:22" x14ac:dyDescent="0.25">
      <c r="A1039" t="s">
        <v>42</v>
      </c>
      <c r="B1039">
        <v>142</v>
      </c>
      <c r="C1039" t="s">
        <v>1046</v>
      </c>
      <c r="D1039" t="s">
        <v>1594</v>
      </c>
      <c r="E1039" t="s">
        <v>1045</v>
      </c>
      <c r="F1039">
        <v>4735</v>
      </c>
      <c r="G1039" t="s">
        <v>24</v>
      </c>
      <c r="H1039" t="s">
        <v>26</v>
      </c>
      <c r="I1039" t="s">
        <v>3167</v>
      </c>
      <c r="J1039" t="s">
        <v>1048</v>
      </c>
      <c r="K1039" t="s">
        <v>3195</v>
      </c>
      <c r="L1039" t="s">
        <v>1048</v>
      </c>
      <c r="M1039" t="s">
        <v>1000</v>
      </c>
      <c r="N1039" t="s">
        <v>1047</v>
      </c>
      <c r="O1039" t="s">
        <v>1047</v>
      </c>
      <c r="P1039" t="s">
        <v>1089</v>
      </c>
      <c r="Q1039" t="s">
        <v>3169</v>
      </c>
      <c r="R1039" t="s">
        <v>2973</v>
      </c>
      <c r="S1039" t="s">
        <v>4146</v>
      </c>
      <c r="T1039" t="s">
        <v>3239</v>
      </c>
      <c r="U1039" t="b">
        <v>0</v>
      </c>
      <c r="V1039" t="s">
        <v>2515</v>
      </c>
    </row>
    <row r="1040" spans="1:22" x14ac:dyDescent="0.25">
      <c r="A1040" t="s">
        <v>42</v>
      </c>
      <c r="B1040">
        <v>142</v>
      </c>
      <c r="C1040" t="s">
        <v>1050</v>
      </c>
      <c r="D1040" t="s">
        <v>2787</v>
      </c>
      <c r="E1040" t="s">
        <v>1032</v>
      </c>
      <c r="F1040" t="s">
        <v>4148</v>
      </c>
      <c r="G1040" t="s">
        <v>24</v>
      </c>
      <c r="H1040" t="s">
        <v>26</v>
      </c>
      <c r="I1040" t="s">
        <v>3167</v>
      </c>
      <c r="J1040" t="s">
        <v>1048</v>
      </c>
      <c r="K1040" t="s">
        <v>3195</v>
      </c>
      <c r="L1040" t="s">
        <v>1048</v>
      </c>
      <c r="M1040" t="s">
        <v>1000</v>
      </c>
      <c r="N1040" t="s">
        <v>1047</v>
      </c>
      <c r="O1040" t="s">
        <v>1047</v>
      </c>
      <c r="P1040" t="s">
        <v>1089</v>
      </c>
      <c r="Q1040" t="s">
        <v>3169</v>
      </c>
      <c r="R1040" t="s">
        <v>2492</v>
      </c>
      <c r="S1040" t="s">
        <v>4146</v>
      </c>
      <c r="T1040" t="s">
        <v>1965</v>
      </c>
      <c r="U1040" t="b">
        <v>0</v>
      </c>
      <c r="V1040" t="s">
        <v>2480</v>
      </c>
    </row>
    <row r="1041" spans="1:22" x14ac:dyDescent="0.25">
      <c r="A1041" t="s">
        <v>42</v>
      </c>
      <c r="B1041">
        <v>142</v>
      </c>
      <c r="C1041" t="s">
        <v>1052</v>
      </c>
      <c r="D1041" t="s">
        <v>2516</v>
      </c>
      <c r="E1041" t="s">
        <v>1051</v>
      </c>
      <c r="F1041">
        <v>4425</v>
      </c>
      <c r="G1041" t="s">
        <v>24</v>
      </c>
      <c r="H1041" t="s">
        <v>26</v>
      </c>
      <c r="I1041" t="s">
        <v>3167</v>
      </c>
      <c r="J1041" t="s">
        <v>1055</v>
      </c>
      <c r="K1041" t="s">
        <v>3199</v>
      </c>
      <c r="L1041" t="s">
        <v>1055</v>
      </c>
      <c r="M1041" t="s">
        <v>980</v>
      </c>
      <c r="N1041" t="s">
        <v>1053</v>
      </c>
      <c r="O1041" t="s">
        <v>1053</v>
      </c>
      <c r="P1041" t="s">
        <v>1089</v>
      </c>
      <c r="Q1041" t="s">
        <v>3169</v>
      </c>
      <c r="R1041" t="s">
        <v>2498</v>
      </c>
      <c r="S1041" t="s">
        <v>4143</v>
      </c>
      <c r="T1041" t="s">
        <v>4144</v>
      </c>
      <c r="U1041" t="b">
        <v>0</v>
      </c>
      <c r="V1041" t="s">
        <v>2497</v>
      </c>
    </row>
    <row r="1042" spans="1:22" x14ac:dyDescent="0.25">
      <c r="A1042" t="s">
        <v>42</v>
      </c>
      <c r="B1042">
        <v>143</v>
      </c>
      <c r="C1042" t="s">
        <v>979</v>
      </c>
      <c r="D1042" t="s">
        <v>2981</v>
      </c>
      <c r="E1042" t="s">
        <v>978</v>
      </c>
      <c r="F1042" t="s">
        <v>4149</v>
      </c>
      <c r="G1042" t="s">
        <v>24</v>
      </c>
      <c r="H1042" t="s">
        <v>26</v>
      </c>
      <c r="I1042" t="s">
        <v>3167</v>
      </c>
      <c r="J1042" t="s">
        <v>984</v>
      </c>
      <c r="K1042" t="s">
        <v>3168</v>
      </c>
      <c r="L1042" t="s">
        <v>984</v>
      </c>
      <c r="M1042" t="s">
        <v>980</v>
      </c>
      <c r="N1042" t="s">
        <v>981</v>
      </c>
      <c r="O1042" t="s">
        <v>981</v>
      </c>
      <c r="P1042" t="s">
        <v>1089</v>
      </c>
      <c r="Q1042" t="s">
        <v>3169</v>
      </c>
      <c r="R1042" t="s">
        <v>446</v>
      </c>
      <c r="S1042" t="s">
        <v>2982</v>
      </c>
      <c r="T1042" t="s">
        <v>1965</v>
      </c>
      <c r="U1042" t="b">
        <v>0</v>
      </c>
      <c r="V1042" t="s">
        <v>2160</v>
      </c>
    </row>
    <row r="1043" spans="1:22" x14ac:dyDescent="0.25">
      <c r="A1043" t="s">
        <v>42</v>
      </c>
      <c r="B1043">
        <v>143</v>
      </c>
      <c r="C1043" t="s">
        <v>987</v>
      </c>
      <c r="D1043" t="s">
        <v>2995</v>
      </c>
      <c r="E1043" t="s">
        <v>986</v>
      </c>
      <c r="F1043" t="s">
        <v>4150</v>
      </c>
      <c r="G1043" t="s">
        <v>24</v>
      </c>
      <c r="H1043" t="s">
        <v>26</v>
      </c>
      <c r="I1043" t="s">
        <v>3167</v>
      </c>
      <c r="J1043" t="s">
        <v>990</v>
      </c>
      <c r="K1043" t="s">
        <v>3171</v>
      </c>
      <c r="L1043" t="s">
        <v>990</v>
      </c>
      <c r="M1043" t="s">
        <v>980</v>
      </c>
      <c r="N1043" t="s">
        <v>988</v>
      </c>
      <c r="O1043" t="s">
        <v>988</v>
      </c>
      <c r="P1043" t="s">
        <v>1089</v>
      </c>
      <c r="Q1043" t="s">
        <v>3169</v>
      </c>
      <c r="R1043" t="s">
        <v>446</v>
      </c>
      <c r="S1043" t="s">
        <v>2982</v>
      </c>
      <c r="T1043" t="s">
        <v>1965</v>
      </c>
      <c r="U1043" t="b">
        <v>0</v>
      </c>
      <c r="V1043" t="s">
        <v>2160</v>
      </c>
    </row>
    <row r="1044" spans="1:22" x14ac:dyDescent="0.25">
      <c r="A1044" t="s">
        <v>42</v>
      </c>
      <c r="B1044">
        <v>143</v>
      </c>
      <c r="C1044" t="s">
        <v>993</v>
      </c>
      <c r="D1044" t="s">
        <v>3004</v>
      </c>
      <c r="E1044" t="s">
        <v>992</v>
      </c>
      <c r="F1044" t="s">
        <v>4151</v>
      </c>
      <c r="G1044" t="s">
        <v>24</v>
      </c>
      <c r="H1044" t="s">
        <v>26</v>
      </c>
      <c r="I1044" t="s">
        <v>3167</v>
      </c>
      <c r="J1044" t="s">
        <v>996</v>
      </c>
      <c r="K1044" t="s">
        <v>3173</v>
      </c>
      <c r="L1044" t="s">
        <v>996</v>
      </c>
      <c r="M1044" t="s">
        <v>980</v>
      </c>
      <c r="N1044" t="s">
        <v>994</v>
      </c>
      <c r="O1044" t="s">
        <v>994</v>
      </c>
      <c r="P1044" t="s">
        <v>1089</v>
      </c>
      <c r="Q1044" t="s">
        <v>3169</v>
      </c>
      <c r="R1044" t="s">
        <v>446</v>
      </c>
      <c r="S1044" t="s">
        <v>2982</v>
      </c>
      <c r="T1044" t="s">
        <v>1965</v>
      </c>
      <c r="U1044" t="b">
        <v>0</v>
      </c>
      <c r="V1044" t="s">
        <v>2160</v>
      </c>
    </row>
    <row r="1045" spans="1:22" x14ac:dyDescent="0.25">
      <c r="A1045" t="s">
        <v>42</v>
      </c>
      <c r="B1045">
        <v>143</v>
      </c>
      <c r="C1045" t="s">
        <v>999</v>
      </c>
      <c r="D1045" t="s">
        <v>3013</v>
      </c>
      <c r="E1045" t="s">
        <v>998</v>
      </c>
      <c r="F1045" t="s">
        <v>4152</v>
      </c>
      <c r="G1045" t="s">
        <v>24</v>
      </c>
      <c r="H1045" t="s">
        <v>26</v>
      </c>
      <c r="I1045" t="s">
        <v>3167</v>
      </c>
      <c r="J1045" t="s">
        <v>1003</v>
      </c>
      <c r="K1045" t="s">
        <v>3175</v>
      </c>
      <c r="L1045" t="s">
        <v>1003</v>
      </c>
      <c r="M1045" t="s">
        <v>1000</v>
      </c>
      <c r="N1045" t="s">
        <v>1001</v>
      </c>
      <c r="O1045" t="s">
        <v>1001</v>
      </c>
      <c r="P1045" t="s">
        <v>1089</v>
      </c>
      <c r="Q1045" t="s">
        <v>3169</v>
      </c>
      <c r="R1045" t="s">
        <v>446</v>
      </c>
      <c r="S1045" t="s">
        <v>2982</v>
      </c>
      <c r="T1045" t="s">
        <v>1965</v>
      </c>
      <c r="U1045" t="b">
        <v>0</v>
      </c>
      <c r="V1045" t="s">
        <v>2160</v>
      </c>
    </row>
    <row r="1046" spans="1:22" x14ac:dyDescent="0.25">
      <c r="A1046" t="s">
        <v>42</v>
      </c>
      <c r="B1046">
        <v>143</v>
      </c>
      <c r="C1046" t="s">
        <v>1005</v>
      </c>
      <c r="D1046" t="s">
        <v>3022</v>
      </c>
      <c r="E1046" t="s">
        <v>982</v>
      </c>
      <c r="F1046" t="s">
        <v>4152</v>
      </c>
      <c r="G1046" t="s">
        <v>24</v>
      </c>
      <c r="H1046" t="s">
        <v>26</v>
      </c>
      <c r="I1046" t="s">
        <v>3167</v>
      </c>
      <c r="J1046" t="s">
        <v>1003</v>
      </c>
      <c r="K1046" t="s">
        <v>3175</v>
      </c>
      <c r="L1046" t="s">
        <v>1003</v>
      </c>
      <c r="M1046" t="s">
        <v>1000</v>
      </c>
      <c r="N1046" t="s">
        <v>1001</v>
      </c>
      <c r="O1046" t="s">
        <v>1001</v>
      </c>
      <c r="P1046" t="s">
        <v>1089</v>
      </c>
      <c r="Q1046" t="s">
        <v>3169</v>
      </c>
      <c r="R1046" t="s">
        <v>446</v>
      </c>
      <c r="S1046" t="s">
        <v>2982</v>
      </c>
      <c r="T1046" t="s">
        <v>1965</v>
      </c>
      <c r="U1046" t="b">
        <v>0</v>
      </c>
      <c r="V1046" t="s">
        <v>2160</v>
      </c>
    </row>
    <row r="1047" spans="1:22" x14ac:dyDescent="0.25">
      <c r="A1047" t="s">
        <v>42</v>
      </c>
      <c r="B1047">
        <v>143</v>
      </c>
      <c r="C1047" t="s">
        <v>1007</v>
      </c>
      <c r="D1047" t="s">
        <v>3031</v>
      </c>
      <c r="E1047" t="s">
        <v>1006</v>
      </c>
      <c r="F1047" t="s">
        <v>4153</v>
      </c>
      <c r="G1047" t="s">
        <v>24</v>
      </c>
      <c r="H1047" t="s">
        <v>26</v>
      </c>
      <c r="I1047" t="s">
        <v>3167</v>
      </c>
      <c r="J1047" t="s">
        <v>1011</v>
      </c>
      <c r="K1047" t="s">
        <v>3179</v>
      </c>
      <c r="L1047" t="s">
        <v>1011</v>
      </c>
      <c r="M1047" t="s">
        <v>1008</v>
      </c>
      <c r="N1047" t="s">
        <v>1009</v>
      </c>
      <c r="O1047" t="s">
        <v>1009</v>
      </c>
      <c r="P1047" t="s">
        <v>1089</v>
      </c>
      <c r="Q1047" t="s">
        <v>3169</v>
      </c>
      <c r="R1047" t="s">
        <v>446</v>
      </c>
      <c r="S1047" t="s">
        <v>2982</v>
      </c>
      <c r="T1047" t="s">
        <v>1965</v>
      </c>
      <c r="U1047" t="b">
        <v>0</v>
      </c>
      <c r="V1047" t="s">
        <v>2160</v>
      </c>
    </row>
    <row r="1048" spans="1:22" x14ac:dyDescent="0.25">
      <c r="A1048" t="s">
        <v>42</v>
      </c>
      <c r="B1048">
        <v>143</v>
      </c>
      <c r="C1048" t="s">
        <v>1014</v>
      </c>
      <c r="D1048" t="s">
        <v>3040</v>
      </c>
      <c r="E1048" t="s">
        <v>1013</v>
      </c>
      <c r="F1048" t="s">
        <v>4154</v>
      </c>
      <c r="G1048" t="s">
        <v>24</v>
      </c>
      <c r="H1048" t="s">
        <v>26</v>
      </c>
      <c r="I1048" t="s">
        <v>3167</v>
      </c>
      <c r="J1048" t="s">
        <v>1016</v>
      </c>
      <c r="K1048" t="s">
        <v>3181</v>
      </c>
      <c r="L1048" t="s">
        <v>1016</v>
      </c>
      <c r="M1048" t="s">
        <v>980</v>
      </c>
      <c r="N1048" t="s">
        <v>1015</v>
      </c>
      <c r="O1048" t="s">
        <v>1015</v>
      </c>
      <c r="P1048" t="s">
        <v>1089</v>
      </c>
      <c r="Q1048" t="s">
        <v>3169</v>
      </c>
      <c r="R1048" t="s">
        <v>446</v>
      </c>
      <c r="S1048" t="s">
        <v>2982</v>
      </c>
      <c r="T1048" t="s">
        <v>1965</v>
      </c>
      <c r="U1048" t="b">
        <v>0</v>
      </c>
      <c r="V1048" t="s">
        <v>2160</v>
      </c>
    </row>
    <row r="1049" spans="1:22" x14ac:dyDescent="0.25">
      <c r="A1049" t="s">
        <v>42</v>
      </c>
      <c r="B1049">
        <v>143</v>
      </c>
      <c r="C1049" t="s">
        <v>1019</v>
      </c>
      <c r="D1049" t="s">
        <v>3049</v>
      </c>
      <c r="E1049" t="s">
        <v>1018</v>
      </c>
      <c r="F1049" t="s">
        <v>4155</v>
      </c>
      <c r="G1049" t="s">
        <v>24</v>
      </c>
      <c r="H1049" t="s">
        <v>26</v>
      </c>
      <c r="I1049" t="s">
        <v>3167</v>
      </c>
      <c r="J1049" t="s">
        <v>1021</v>
      </c>
      <c r="K1049" t="s">
        <v>3183</v>
      </c>
      <c r="L1049" t="s">
        <v>1021</v>
      </c>
      <c r="M1049" t="s">
        <v>980</v>
      </c>
      <c r="N1049" t="s">
        <v>1020</v>
      </c>
      <c r="O1049" t="s">
        <v>1020</v>
      </c>
      <c r="P1049" t="s">
        <v>1089</v>
      </c>
      <c r="Q1049" t="s">
        <v>3169</v>
      </c>
      <c r="R1049" t="s">
        <v>446</v>
      </c>
      <c r="S1049" t="s">
        <v>2982</v>
      </c>
      <c r="T1049" t="s">
        <v>1965</v>
      </c>
      <c r="U1049" t="b">
        <v>0</v>
      </c>
      <c r="V1049" t="s">
        <v>2160</v>
      </c>
    </row>
    <row r="1050" spans="1:22" x14ac:dyDescent="0.25">
      <c r="A1050" t="s">
        <v>42</v>
      </c>
      <c r="B1050">
        <v>143</v>
      </c>
      <c r="C1050" t="s">
        <v>1024</v>
      </c>
      <c r="D1050" t="s">
        <v>3058</v>
      </c>
      <c r="E1050" t="s">
        <v>1023</v>
      </c>
      <c r="F1050" t="s">
        <v>4156</v>
      </c>
      <c r="G1050" t="s">
        <v>24</v>
      </c>
      <c r="H1050" t="s">
        <v>26</v>
      </c>
      <c r="I1050" t="s">
        <v>3167</v>
      </c>
      <c r="J1050" t="s">
        <v>1026</v>
      </c>
      <c r="K1050" t="s">
        <v>3185</v>
      </c>
      <c r="L1050" t="s">
        <v>1026</v>
      </c>
      <c r="M1050" t="s">
        <v>1000</v>
      </c>
      <c r="N1050" t="s">
        <v>1025</v>
      </c>
      <c r="O1050" t="s">
        <v>1025</v>
      </c>
      <c r="P1050" t="s">
        <v>1089</v>
      </c>
      <c r="Q1050" t="s">
        <v>3169</v>
      </c>
      <c r="R1050" t="s">
        <v>446</v>
      </c>
      <c r="S1050" t="s">
        <v>2982</v>
      </c>
      <c r="T1050" t="s">
        <v>1965</v>
      </c>
      <c r="U1050" t="b">
        <v>0</v>
      </c>
      <c r="V1050" t="s">
        <v>2160</v>
      </c>
    </row>
    <row r="1051" spans="1:22" x14ac:dyDescent="0.25">
      <c r="A1051" t="s">
        <v>42</v>
      </c>
      <c r="B1051">
        <v>143</v>
      </c>
      <c r="C1051" t="s">
        <v>1028</v>
      </c>
      <c r="D1051" t="s">
        <v>3067</v>
      </c>
      <c r="E1051" t="s">
        <v>1010</v>
      </c>
      <c r="F1051" t="s">
        <v>4156</v>
      </c>
      <c r="G1051" t="s">
        <v>24</v>
      </c>
      <c r="H1051" t="s">
        <v>26</v>
      </c>
      <c r="I1051" t="s">
        <v>3167</v>
      </c>
      <c r="J1051" t="s">
        <v>1026</v>
      </c>
      <c r="K1051" t="s">
        <v>3185</v>
      </c>
      <c r="L1051" t="s">
        <v>1026</v>
      </c>
      <c r="M1051" t="s">
        <v>1000</v>
      </c>
      <c r="N1051" t="s">
        <v>1025</v>
      </c>
      <c r="O1051" t="s">
        <v>1025</v>
      </c>
      <c r="P1051" t="s">
        <v>1089</v>
      </c>
      <c r="Q1051" t="s">
        <v>3169</v>
      </c>
      <c r="R1051" t="s">
        <v>446</v>
      </c>
      <c r="S1051" t="s">
        <v>2982</v>
      </c>
      <c r="T1051" t="s">
        <v>1965</v>
      </c>
      <c r="U1051" t="b">
        <v>0</v>
      </c>
      <c r="V1051" t="s">
        <v>2160</v>
      </c>
    </row>
    <row r="1052" spans="1:22" x14ac:dyDescent="0.25">
      <c r="A1052" t="s">
        <v>42</v>
      </c>
      <c r="B1052">
        <v>143</v>
      </c>
      <c r="C1052" t="s">
        <v>1030</v>
      </c>
      <c r="D1052" t="s">
        <v>3076</v>
      </c>
      <c r="E1052" t="s">
        <v>1029</v>
      </c>
      <c r="F1052" t="s">
        <v>4157</v>
      </c>
      <c r="G1052" t="s">
        <v>24</v>
      </c>
      <c r="H1052" t="s">
        <v>26</v>
      </c>
      <c r="I1052" t="s">
        <v>3167</v>
      </c>
      <c r="J1052" t="s">
        <v>1033</v>
      </c>
      <c r="K1052" t="s">
        <v>3189</v>
      </c>
      <c r="L1052" t="s">
        <v>1033</v>
      </c>
      <c r="M1052" t="s">
        <v>980</v>
      </c>
      <c r="N1052" t="s">
        <v>1031</v>
      </c>
      <c r="O1052" t="s">
        <v>1031</v>
      </c>
      <c r="P1052" t="s">
        <v>1089</v>
      </c>
      <c r="Q1052" t="s">
        <v>3169</v>
      </c>
      <c r="R1052" t="s">
        <v>446</v>
      </c>
      <c r="S1052" t="s">
        <v>2982</v>
      </c>
      <c r="T1052" t="s">
        <v>1965</v>
      </c>
      <c r="U1052" t="b">
        <v>0</v>
      </c>
      <c r="V1052" t="s">
        <v>2160</v>
      </c>
    </row>
    <row r="1053" spans="1:22" x14ac:dyDescent="0.25">
      <c r="A1053" t="s">
        <v>42</v>
      </c>
      <c r="B1053">
        <v>143</v>
      </c>
      <c r="C1053" t="s">
        <v>1036</v>
      </c>
      <c r="D1053" t="s">
        <v>3085</v>
      </c>
      <c r="E1053" t="s">
        <v>1035</v>
      </c>
      <c r="F1053" t="s">
        <v>4158</v>
      </c>
      <c r="G1053" t="s">
        <v>24</v>
      </c>
      <c r="H1053" t="s">
        <v>26</v>
      </c>
      <c r="I1053" t="s">
        <v>3167</v>
      </c>
      <c r="J1053" t="s">
        <v>1038</v>
      </c>
      <c r="K1053" t="s">
        <v>3191</v>
      </c>
      <c r="L1053" t="s">
        <v>1038</v>
      </c>
      <c r="M1053" t="s">
        <v>980</v>
      </c>
      <c r="N1053" t="s">
        <v>1037</v>
      </c>
      <c r="O1053" t="s">
        <v>1037</v>
      </c>
      <c r="P1053" t="s">
        <v>1089</v>
      </c>
      <c r="Q1053" t="s">
        <v>3169</v>
      </c>
      <c r="R1053" t="s">
        <v>446</v>
      </c>
      <c r="S1053" t="s">
        <v>2982</v>
      </c>
      <c r="T1053" t="s">
        <v>1965</v>
      </c>
      <c r="U1053" t="b">
        <v>0</v>
      </c>
      <c r="V1053" t="s">
        <v>2160</v>
      </c>
    </row>
    <row r="1054" spans="1:22" x14ac:dyDescent="0.25">
      <c r="A1054" t="s">
        <v>42</v>
      </c>
      <c r="B1054">
        <v>143</v>
      </c>
      <c r="C1054" t="s">
        <v>1041</v>
      </c>
      <c r="D1054" t="s">
        <v>3094</v>
      </c>
      <c r="E1054" t="s">
        <v>1040</v>
      </c>
      <c r="F1054" t="s">
        <v>4159</v>
      </c>
      <c r="G1054" t="s">
        <v>24</v>
      </c>
      <c r="H1054" t="s">
        <v>26</v>
      </c>
      <c r="I1054" t="s">
        <v>3167</v>
      </c>
      <c r="J1054" t="s">
        <v>1043</v>
      </c>
      <c r="K1054" t="s">
        <v>3193</v>
      </c>
      <c r="L1054" t="s">
        <v>1043</v>
      </c>
      <c r="M1054" t="s">
        <v>980</v>
      </c>
      <c r="N1054" t="s">
        <v>1042</v>
      </c>
      <c r="O1054" t="s">
        <v>1042</v>
      </c>
      <c r="P1054" t="s">
        <v>1089</v>
      </c>
      <c r="Q1054" t="s">
        <v>3169</v>
      </c>
      <c r="R1054" t="s">
        <v>446</v>
      </c>
      <c r="S1054" t="s">
        <v>2982</v>
      </c>
      <c r="T1054" t="s">
        <v>1965</v>
      </c>
      <c r="U1054" t="b">
        <v>0</v>
      </c>
      <c r="V1054" t="s">
        <v>2160</v>
      </c>
    </row>
    <row r="1055" spans="1:22" x14ac:dyDescent="0.25">
      <c r="A1055" t="s">
        <v>42</v>
      </c>
      <c r="B1055">
        <v>143</v>
      </c>
      <c r="C1055" t="s">
        <v>1046</v>
      </c>
      <c r="D1055" t="s">
        <v>3103</v>
      </c>
      <c r="E1055" t="s">
        <v>1045</v>
      </c>
      <c r="F1055" t="s">
        <v>4160</v>
      </c>
      <c r="G1055" t="s">
        <v>24</v>
      </c>
      <c r="H1055" t="s">
        <v>26</v>
      </c>
      <c r="I1055" t="s">
        <v>3167</v>
      </c>
      <c r="J1055" t="s">
        <v>1048</v>
      </c>
      <c r="K1055" t="s">
        <v>3195</v>
      </c>
      <c r="L1055" t="s">
        <v>1048</v>
      </c>
      <c r="M1055" t="s">
        <v>1000</v>
      </c>
      <c r="N1055" t="s">
        <v>1047</v>
      </c>
      <c r="O1055" t="s">
        <v>1047</v>
      </c>
      <c r="P1055" t="s">
        <v>1089</v>
      </c>
      <c r="Q1055" t="s">
        <v>3169</v>
      </c>
      <c r="R1055" t="s">
        <v>446</v>
      </c>
      <c r="S1055" t="s">
        <v>2982</v>
      </c>
      <c r="T1055" t="s">
        <v>1965</v>
      </c>
      <c r="U1055" t="b">
        <v>0</v>
      </c>
      <c r="V1055" t="s">
        <v>2160</v>
      </c>
    </row>
    <row r="1056" spans="1:22" x14ac:dyDescent="0.25">
      <c r="A1056" t="s">
        <v>42</v>
      </c>
      <c r="B1056">
        <v>143</v>
      </c>
      <c r="C1056" t="s">
        <v>1050</v>
      </c>
      <c r="D1056" t="s">
        <v>3112</v>
      </c>
      <c r="E1056" t="s">
        <v>1032</v>
      </c>
      <c r="F1056" t="s">
        <v>4160</v>
      </c>
      <c r="G1056" t="s">
        <v>24</v>
      </c>
      <c r="H1056" t="s">
        <v>26</v>
      </c>
      <c r="I1056" t="s">
        <v>3167</v>
      </c>
      <c r="J1056" t="s">
        <v>1048</v>
      </c>
      <c r="K1056" t="s">
        <v>3195</v>
      </c>
      <c r="L1056" t="s">
        <v>1048</v>
      </c>
      <c r="M1056" t="s">
        <v>1000</v>
      </c>
      <c r="N1056" t="s">
        <v>1047</v>
      </c>
      <c r="O1056" t="s">
        <v>1047</v>
      </c>
      <c r="P1056" t="s">
        <v>1089</v>
      </c>
      <c r="Q1056" t="s">
        <v>3169</v>
      </c>
      <c r="R1056" t="s">
        <v>446</v>
      </c>
      <c r="S1056" t="s">
        <v>2982</v>
      </c>
      <c r="T1056" t="s">
        <v>1965</v>
      </c>
      <c r="U1056" t="b">
        <v>0</v>
      </c>
      <c r="V1056" t="s">
        <v>2160</v>
      </c>
    </row>
    <row r="1057" spans="1:22" x14ac:dyDescent="0.25">
      <c r="A1057" t="s">
        <v>42</v>
      </c>
      <c r="B1057">
        <v>143</v>
      </c>
      <c r="C1057" t="s">
        <v>1052</v>
      </c>
      <c r="D1057" t="s">
        <v>3121</v>
      </c>
      <c r="E1057" t="s">
        <v>1051</v>
      </c>
      <c r="F1057" t="s">
        <v>4161</v>
      </c>
      <c r="G1057" t="s">
        <v>24</v>
      </c>
      <c r="H1057" t="s">
        <v>26</v>
      </c>
      <c r="I1057" t="s">
        <v>3167</v>
      </c>
      <c r="J1057" t="s">
        <v>1055</v>
      </c>
      <c r="K1057" t="s">
        <v>3199</v>
      </c>
      <c r="L1057" t="s">
        <v>1055</v>
      </c>
      <c r="M1057" t="s">
        <v>980</v>
      </c>
      <c r="N1057" t="s">
        <v>1053</v>
      </c>
      <c r="O1057" t="s">
        <v>1053</v>
      </c>
      <c r="P1057" t="s">
        <v>1089</v>
      </c>
      <c r="Q1057" t="s">
        <v>3169</v>
      </c>
      <c r="R1057" t="s">
        <v>446</v>
      </c>
      <c r="S1057" t="s">
        <v>2982</v>
      </c>
      <c r="T1057" t="s">
        <v>1965</v>
      </c>
      <c r="U1057" t="b">
        <v>0</v>
      </c>
      <c r="V1057" t="s">
        <v>2160</v>
      </c>
    </row>
    <row r="1058" spans="1:22" x14ac:dyDescent="0.25">
      <c r="A1058" t="s">
        <v>42</v>
      </c>
      <c r="B1058">
        <v>145</v>
      </c>
      <c r="C1058" t="s">
        <v>979</v>
      </c>
      <c r="D1058" t="s">
        <v>2987</v>
      </c>
      <c r="E1058" t="s">
        <v>978</v>
      </c>
      <c r="F1058" t="s">
        <v>4162</v>
      </c>
      <c r="G1058" t="s">
        <v>24</v>
      </c>
      <c r="H1058" t="s">
        <v>26</v>
      </c>
      <c r="I1058" t="s">
        <v>3167</v>
      </c>
      <c r="J1058" t="s">
        <v>984</v>
      </c>
      <c r="K1058" t="s">
        <v>3168</v>
      </c>
      <c r="L1058" t="s">
        <v>984</v>
      </c>
      <c r="M1058" t="s">
        <v>980</v>
      </c>
      <c r="N1058" t="s">
        <v>981</v>
      </c>
      <c r="O1058" t="s">
        <v>981</v>
      </c>
      <c r="P1058" t="s">
        <v>1089</v>
      </c>
      <c r="Q1058" t="s">
        <v>3169</v>
      </c>
      <c r="R1058" t="s">
        <v>446</v>
      </c>
      <c r="S1058" t="s">
        <v>2988</v>
      </c>
      <c r="T1058" t="s">
        <v>1965</v>
      </c>
      <c r="U1058" t="b">
        <v>0</v>
      </c>
      <c r="V1058" t="s">
        <v>2160</v>
      </c>
    </row>
    <row r="1059" spans="1:22" x14ac:dyDescent="0.25">
      <c r="A1059" t="s">
        <v>42</v>
      </c>
      <c r="B1059">
        <v>145</v>
      </c>
      <c r="C1059" t="s">
        <v>987</v>
      </c>
      <c r="D1059" t="s">
        <v>2998</v>
      </c>
      <c r="E1059" t="s">
        <v>986</v>
      </c>
      <c r="F1059" t="s">
        <v>4163</v>
      </c>
      <c r="G1059" t="s">
        <v>24</v>
      </c>
      <c r="H1059" t="s">
        <v>26</v>
      </c>
      <c r="I1059" t="s">
        <v>3167</v>
      </c>
      <c r="J1059" t="s">
        <v>990</v>
      </c>
      <c r="K1059" t="s">
        <v>3171</v>
      </c>
      <c r="L1059" t="s">
        <v>990</v>
      </c>
      <c r="M1059" t="s">
        <v>980</v>
      </c>
      <c r="N1059" t="s">
        <v>988</v>
      </c>
      <c r="O1059" t="s">
        <v>988</v>
      </c>
      <c r="P1059" t="s">
        <v>1089</v>
      </c>
      <c r="Q1059" t="s">
        <v>3169</v>
      </c>
      <c r="R1059" t="s">
        <v>446</v>
      </c>
      <c r="S1059" t="s">
        <v>2988</v>
      </c>
      <c r="T1059" t="s">
        <v>1965</v>
      </c>
      <c r="U1059" t="b">
        <v>0</v>
      </c>
      <c r="V1059" t="s">
        <v>2160</v>
      </c>
    </row>
    <row r="1060" spans="1:22" x14ac:dyDescent="0.25">
      <c r="A1060" t="s">
        <v>42</v>
      </c>
      <c r="B1060">
        <v>145</v>
      </c>
      <c r="C1060" t="s">
        <v>993</v>
      </c>
      <c r="D1060" t="s">
        <v>3007</v>
      </c>
      <c r="E1060" t="s">
        <v>992</v>
      </c>
      <c r="F1060" t="s">
        <v>4164</v>
      </c>
      <c r="G1060" t="s">
        <v>24</v>
      </c>
      <c r="H1060" t="s">
        <v>26</v>
      </c>
      <c r="I1060" t="s">
        <v>3167</v>
      </c>
      <c r="J1060" t="s">
        <v>996</v>
      </c>
      <c r="K1060" t="s">
        <v>3173</v>
      </c>
      <c r="L1060" t="s">
        <v>996</v>
      </c>
      <c r="M1060" t="s">
        <v>980</v>
      </c>
      <c r="N1060" t="s">
        <v>994</v>
      </c>
      <c r="O1060" t="s">
        <v>994</v>
      </c>
      <c r="P1060" t="s">
        <v>1089</v>
      </c>
      <c r="Q1060" t="s">
        <v>3169</v>
      </c>
      <c r="R1060" t="s">
        <v>446</v>
      </c>
      <c r="S1060" t="s">
        <v>2988</v>
      </c>
      <c r="T1060" t="s">
        <v>1965</v>
      </c>
      <c r="U1060" t="b">
        <v>0</v>
      </c>
      <c r="V1060" t="s">
        <v>2160</v>
      </c>
    </row>
    <row r="1061" spans="1:22" x14ac:dyDescent="0.25">
      <c r="A1061" t="s">
        <v>42</v>
      </c>
      <c r="B1061">
        <v>145</v>
      </c>
      <c r="C1061" t="s">
        <v>999</v>
      </c>
      <c r="D1061" t="s">
        <v>3016</v>
      </c>
      <c r="E1061" t="s">
        <v>998</v>
      </c>
      <c r="F1061" t="s">
        <v>4165</v>
      </c>
      <c r="G1061" t="s">
        <v>24</v>
      </c>
      <c r="H1061" t="s">
        <v>26</v>
      </c>
      <c r="I1061" t="s">
        <v>3167</v>
      </c>
      <c r="J1061" t="s">
        <v>1003</v>
      </c>
      <c r="K1061" t="s">
        <v>3175</v>
      </c>
      <c r="L1061" t="s">
        <v>1003</v>
      </c>
      <c r="M1061" t="s">
        <v>1000</v>
      </c>
      <c r="N1061" t="s">
        <v>1001</v>
      </c>
      <c r="O1061" t="s">
        <v>1001</v>
      </c>
      <c r="P1061" t="s">
        <v>1089</v>
      </c>
      <c r="Q1061" t="s">
        <v>3169</v>
      </c>
      <c r="R1061" t="s">
        <v>446</v>
      </c>
      <c r="S1061" t="s">
        <v>2988</v>
      </c>
      <c r="T1061" t="s">
        <v>1965</v>
      </c>
      <c r="U1061" t="b">
        <v>0</v>
      </c>
      <c r="V1061" t="s">
        <v>2160</v>
      </c>
    </row>
    <row r="1062" spans="1:22" x14ac:dyDescent="0.25">
      <c r="A1062" t="s">
        <v>42</v>
      </c>
      <c r="B1062">
        <v>145</v>
      </c>
      <c r="C1062" t="s">
        <v>1005</v>
      </c>
      <c r="D1062" t="s">
        <v>3025</v>
      </c>
      <c r="E1062" t="s">
        <v>982</v>
      </c>
      <c r="F1062" t="s">
        <v>4165</v>
      </c>
      <c r="G1062" t="s">
        <v>24</v>
      </c>
      <c r="H1062" t="s">
        <v>26</v>
      </c>
      <c r="I1062" t="s">
        <v>3167</v>
      </c>
      <c r="J1062" t="s">
        <v>1003</v>
      </c>
      <c r="K1062" t="s">
        <v>3175</v>
      </c>
      <c r="L1062" t="s">
        <v>1003</v>
      </c>
      <c r="M1062" t="s">
        <v>1000</v>
      </c>
      <c r="N1062" t="s">
        <v>1001</v>
      </c>
      <c r="O1062" t="s">
        <v>1001</v>
      </c>
      <c r="P1062" t="s">
        <v>1089</v>
      </c>
      <c r="Q1062" t="s">
        <v>3169</v>
      </c>
      <c r="R1062" t="s">
        <v>446</v>
      </c>
      <c r="S1062" t="s">
        <v>2988</v>
      </c>
      <c r="T1062" t="s">
        <v>1965</v>
      </c>
      <c r="U1062" t="b">
        <v>0</v>
      </c>
      <c r="V1062" t="s">
        <v>2160</v>
      </c>
    </row>
    <row r="1063" spans="1:22" x14ac:dyDescent="0.25">
      <c r="A1063" t="s">
        <v>42</v>
      </c>
      <c r="B1063">
        <v>145</v>
      </c>
      <c r="C1063" t="s">
        <v>1007</v>
      </c>
      <c r="D1063" t="s">
        <v>3034</v>
      </c>
      <c r="E1063" t="s">
        <v>1006</v>
      </c>
      <c r="F1063" t="s">
        <v>4166</v>
      </c>
      <c r="G1063" t="s">
        <v>24</v>
      </c>
      <c r="H1063" t="s">
        <v>26</v>
      </c>
      <c r="I1063" t="s">
        <v>3167</v>
      </c>
      <c r="J1063" t="s">
        <v>1011</v>
      </c>
      <c r="K1063" t="s">
        <v>3179</v>
      </c>
      <c r="L1063" t="s">
        <v>1011</v>
      </c>
      <c r="M1063" t="s">
        <v>1008</v>
      </c>
      <c r="N1063" t="s">
        <v>1009</v>
      </c>
      <c r="O1063" t="s">
        <v>1009</v>
      </c>
      <c r="P1063" t="s">
        <v>1089</v>
      </c>
      <c r="Q1063" t="s">
        <v>3169</v>
      </c>
      <c r="R1063" t="s">
        <v>446</v>
      </c>
      <c r="S1063" t="s">
        <v>2988</v>
      </c>
      <c r="T1063" t="s">
        <v>1965</v>
      </c>
      <c r="U1063" t="b">
        <v>0</v>
      </c>
      <c r="V1063" t="s">
        <v>2160</v>
      </c>
    </row>
    <row r="1064" spans="1:22" x14ac:dyDescent="0.25">
      <c r="A1064" t="s">
        <v>42</v>
      </c>
      <c r="B1064">
        <v>145</v>
      </c>
      <c r="C1064" t="s">
        <v>1014</v>
      </c>
      <c r="D1064" t="s">
        <v>3043</v>
      </c>
      <c r="E1064" t="s">
        <v>1013</v>
      </c>
      <c r="F1064" t="s">
        <v>4167</v>
      </c>
      <c r="G1064" t="s">
        <v>24</v>
      </c>
      <c r="H1064" t="s">
        <v>26</v>
      </c>
      <c r="I1064" t="s">
        <v>3167</v>
      </c>
      <c r="J1064" t="s">
        <v>1016</v>
      </c>
      <c r="K1064" t="s">
        <v>3181</v>
      </c>
      <c r="L1064" t="s">
        <v>1016</v>
      </c>
      <c r="M1064" t="s">
        <v>980</v>
      </c>
      <c r="N1064" t="s">
        <v>1015</v>
      </c>
      <c r="O1064" t="s">
        <v>1015</v>
      </c>
      <c r="P1064" t="s">
        <v>1089</v>
      </c>
      <c r="Q1064" t="s">
        <v>3169</v>
      </c>
      <c r="R1064" t="s">
        <v>446</v>
      </c>
      <c r="S1064" t="s">
        <v>2988</v>
      </c>
      <c r="T1064" t="s">
        <v>1965</v>
      </c>
      <c r="U1064" t="b">
        <v>0</v>
      </c>
      <c r="V1064" t="s">
        <v>2160</v>
      </c>
    </row>
    <row r="1065" spans="1:22" x14ac:dyDescent="0.25">
      <c r="A1065" t="s">
        <v>42</v>
      </c>
      <c r="B1065">
        <v>145</v>
      </c>
      <c r="C1065" t="s">
        <v>1019</v>
      </c>
      <c r="D1065" t="s">
        <v>3052</v>
      </c>
      <c r="E1065" t="s">
        <v>1018</v>
      </c>
      <c r="F1065" t="s">
        <v>4168</v>
      </c>
      <c r="G1065" t="s">
        <v>24</v>
      </c>
      <c r="H1065" t="s">
        <v>26</v>
      </c>
      <c r="I1065" t="s">
        <v>3167</v>
      </c>
      <c r="J1065" t="s">
        <v>1021</v>
      </c>
      <c r="K1065" t="s">
        <v>3183</v>
      </c>
      <c r="L1065" t="s">
        <v>1021</v>
      </c>
      <c r="M1065" t="s">
        <v>980</v>
      </c>
      <c r="N1065" t="s">
        <v>1020</v>
      </c>
      <c r="O1065" t="s">
        <v>1020</v>
      </c>
      <c r="P1065" t="s">
        <v>1089</v>
      </c>
      <c r="Q1065" t="s">
        <v>3169</v>
      </c>
      <c r="R1065" t="s">
        <v>446</v>
      </c>
      <c r="S1065" t="s">
        <v>2988</v>
      </c>
      <c r="T1065" t="s">
        <v>1965</v>
      </c>
      <c r="U1065" t="b">
        <v>0</v>
      </c>
      <c r="V1065" t="s">
        <v>2160</v>
      </c>
    </row>
    <row r="1066" spans="1:22" x14ac:dyDescent="0.25">
      <c r="A1066" t="s">
        <v>42</v>
      </c>
      <c r="B1066">
        <v>145</v>
      </c>
      <c r="C1066" t="s">
        <v>1024</v>
      </c>
      <c r="D1066" t="s">
        <v>3061</v>
      </c>
      <c r="E1066" t="s">
        <v>1023</v>
      </c>
      <c r="F1066" t="s">
        <v>4169</v>
      </c>
      <c r="G1066" t="s">
        <v>24</v>
      </c>
      <c r="H1066" t="s">
        <v>26</v>
      </c>
      <c r="I1066" t="s">
        <v>3167</v>
      </c>
      <c r="J1066" t="s">
        <v>1026</v>
      </c>
      <c r="K1066" t="s">
        <v>3185</v>
      </c>
      <c r="L1066" t="s">
        <v>1026</v>
      </c>
      <c r="M1066" t="s">
        <v>1000</v>
      </c>
      <c r="N1066" t="s">
        <v>1025</v>
      </c>
      <c r="O1066" t="s">
        <v>1025</v>
      </c>
      <c r="P1066" t="s">
        <v>1089</v>
      </c>
      <c r="Q1066" t="s">
        <v>3169</v>
      </c>
      <c r="R1066" t="s">
        <v>446</v>
      </c>
      <c r="S1066" t="s">
        <v>2988</v>
      </c>
      <c r="T1066" t="s">
        <v>1965</v>
      </c>
      <c r="U1066" t="b">
        <v>0</v>
      </c>
      <c r="V1066" t="s">
        <v>2160</v>
      </c>
    </row>
    <row r="1067" spans="1:22" x14ac:dyDescent="0.25">
      <c r="A1067" t="s">
        <v>42</v>
      </c>
      <c r="B1067">
        <v>145</v>
      </c>
      <c r="C1067" t="s">
        <v>1028</v>
      </c>
      <c r="D1067" t="s">
        <v>3070</v>
      </c>
      <c r="E1067" t="s">
        <v>1010</v>
      </c>
      <c r="F1067" t="s">
        <v>4169</v>
      </c>
      <c r="G1067" t="s">
        <v>24</v>
      </c>
      <c r="H1067" t="s">
        <v>26</v>
      </c>
      <c r="I1067" t="s">
        <v>3167</v>
      </c>
      <c r="J1067" t="s">
        <v>1026</v>
      </c>
      <c r="K1067" t="s">
        <v>3185</v>
      </c>
      <c r="L1067" t="s">
        <v>1026</v>
      </c>
      <c r="M1067" t="s">
        <v>1000</v>
      </c>
      <c r="N1067" t="s">
        <v>1025</v>
      </c>
      <c r="O1067" t="s">
        <v>1025</v>
      </c>
      <c r="P1067" t="s">
        <v>1089</v>
      </c>
      <c r="Q1067" t="s">
        <v>3169</v>
      </c>
      <c r="R1067" t="s">
        <v>446</v>
      </c>
      <c r="S1067" t="s">
        <v>2988</v>
      </c>
      <c r="T1067" t="s">
        <v>1965</v>
      </c>
      <c r="U1067" t="b">
        <v>0</v>
      </c>
      <c r="V1067" t="s">
        <v>2160</v>
      </c>
    </row>
    <row r="1068" spans="1:22" x14ac:dyDescent="0.25">
      <c r="A1068" t="s">
        <v>42</v>
      </c>
      <c r="B1068">
        <v>145</v>
      </c>
      <c r="C1068" t="s">
        <v>1030</v>
      </c>
      <c r="D1068" t="s">
        <v>3079</v>
      </c>
      <c r="E1068" t="s">
        <v>1029</v>
      </c>
      <c r="F1068" t="s">
        <v>4170</v>
      </c>
      <c r="G1068" t="s">
        <v>24</v>
      </c>
      <c r="H1068" t="s">
        <v>26</v>
      </c>
      <c r="I1068" t="s">
        <v>3167</v>
      </c>
      <c r="J1068" t="s">
        <v>1033</v>
      </c>
      <c r="K1068" t="s">
        <v>3189</v>
      </c>
      <c r="L1068" t="s">
        <v>1033</v>
      </c>
      <c r="M1068" t="s">
        <v>980</v>
      </c>
      <c r="N1068" t="s">
        <v>1031</v>
      </c>
      <c r="O1068" t="s">
        <v>1031</v>
      </c>
      <c r="P1068" t="s">
        <v>1089</v>
      </c>
      <c r="Q1068" t="s">
        <v>3169</v>
      </c>
      <c r="R1068" t="s">
        <v>446</v>
      </c>
      <c r="S1068" t="s">
        <v>2988</v>
      </c>
      <c r="T1068" t="s">
        <v>1965</v>
      </c>
      <c r="U1068" t="b">
        <v>0</v>
      </c>
      <c r="V1068" t="s">
        <v>2160</v>
      </c>
    </row>
    <row r="1069" spans="1:22" x14ac:dyDescent="0.25">
      <c r="A1069" t="s">
        <v>42</v>
      </c>
      <c r="B1069">
        <v>145</v>
      </c>
      <c r="C1069" t="s">
        <v>1036</v>
      </c>
      <c r="D1069" t="s">
        <v>3088</v>
      </c>
      <c r="E1069" t="s">
        <v>1035</v>
      </c>
      <c r="F1069" t="s">
        <v>4171</v>
      </c>
      <c r="G1069" t="s">
        <v>24</v>
      </c>
      <c r="H1069" t="s">
        <v>26</v>
      </c>
      <c r="I1069" t="s">
        <v>3167</v>
      </c>
      <c r="J1069" t="s">
        <v>1038</v>
      </c>
      <c r="K1069" t="s">
        <v>3191</v>
      </c>
      <c r="L1069" t="s">
        <v>1038</v>
      </c>
      <c r="M1069" t="s">
        <v>980</v>
      </c>
      <c r="N1069" t="s">
        <v>1037</v>
      </c>
      <c r="O1069" t="s">
        <v>1037</v>
      </c>
      <c r="P1069" t="s">
        <v>1089</v>
      </c>
      <c r="Q1069" t="s">
        <v>3169</v>
      </c>
      <c r="R1069" t="s">
        <v>446</v>
      </c>
      <c r="S1069" t="s">
        <v>2988</v>
      </c>
      <c r="T1069" t="s">
        <v>1965</v>
      </c>
      <c r="U1069" t="b">
        <v>0</v>
      </c>
      <c r="V1069" t="s">
        <v>2160</v>
      </c>
    </row>
    <row r="1070" spans="1:22" x14ac:dyDescent="0.25">
      <c r="A1070" t="s">
        <v>42</v>
      </c>
      <c r="B1070">
        <v>145</v>
      </c>
      <c r="C1070" t="s">
        <v>1041</v>
      </c>
      <c r="D1070" t="s">
        <v>3097</v>
      </c>
      <c r="E1070" t="s">
        <v>1040</v>
      </c>
      <c r="F1070" t="s">
        <v>4172</v>
      </c>
      <c r="G1070" t="s">
        <v>24</v>
      </c>
      <c r="H1070" t="s">
        <v>26</v>
      </c>
      <c r="I1070" t="s">
        <v>3167</v>
      </c>
      <c r="J1070" t="s">
        <v>1043</v>
      </c>
      <c r="K1070" t="s">
        <v>3193</v>
      </c>
      <c r="L1070" t="s">
        <v>1043</v>
      </c>
      <c r="M1070" t="s">
        <v>980</v>
      </c>
      <c r="N1070" t="s">
        <v>1042</v>
      </c>
      <c r="O1070" t="s">
        <v>1042</v>
      </c>
      <c r="P1070" t="s">
        <v>1089</v>
      </c>
      <c r="Q1070" t="s">
        <v>3169</v>
      </c>
      <c r="R1070" t="s">
        <v>446</v>
      </c>
      <c r="S1070" t="s">
        <v>2988</v>
      </c>
      <c r="T1070" t="s">
        <v>1965</v>
      </c>
      <c r="U1070" t="b">
        <v>0</v>
      </c>
      <c r="V1070" t="s">
        <v>2160</v>
      </c>
    </row>
    <row r="1071" spans="1:22" x14ac:dyDescent="0.25">
      <c r="A1071" t="s">
        <v>42</v>
      </c>
      <c r="B1071">
        <v>145</v>
      </c>
      <c r="C1071" t="s">
        <v>1046</v>
      </c>
      <c r="D1071" t="s">
        <v>3106</v>
      </c>
      <c r="E1071" t="s">
        <v>1045</v>
      </c>
      <c r="F1071" t="s">
        <v>4173</v>
      </c>
      <c r="G1071" t="s">
        <v>24</v>
      </c>
      <c r="H1071" t="s">
        <v>26</v>
      </c>
      <c r="I1071" t="s">
        <v>3167</v>
      </c>
      <c r="J1071" t="s">
        <v>1048</v>
      </c>
      <c r="K1071" t="s">
        <v>3195</v>
      </c>
      <c r="L1071" t="s">
        <v>1048</v>
      </c>
      <c r="M1071" t="s">
        <v>1000</v>
      </c>
      <c r="N1071" t="s">
        <v>1047</v>
      </c>
      <c r="O1071" t="s">
        <v>1047</v>
      </c>
      <c r="P1071" t="s">
        <v>1089</v>
      </c>
      <c r="Q1071" t="s">
        <v>3169</v>
      </c>
      <c r="R1071" t="s">
        <v>446</v>
      </c>
      <c r="S1071" t="s">
        <v>2988</v>
      </c>
      <c r="T1071" t="s">
        <v>1965</v>
      </c>
      <c r="U1071" t="b">
        <v>0</v>
      </c>
      <c r="V1071" t="s">
        <v>2160</v>
      </c>
    </row>
    <row r="1072" spans="1:22" x14ac:dyDescent="0.25">
      <c r="A1072" t="s">
        <v>42</v>
      </c>
      <c r="B1072">
        <v>145</v>
      </c>
      <c r="C1072" t="s">
        <v>1050</v>
      </c>
      <c r="D1072" t="s">
        <v>3115</v>
      </c>
      <c r="E1072" t="s">
        <v>1032</v>
      </c>
      <c r="F1072" t="s">
        <v>4173</v>
      </c>
      <c r="G1072" t="s">
        <v>24</v>
      </c>
      <c r="H1072" t="s">
        <v>26</v>
      </c>
      <c r="I1072" t="s">
        <v>3167</v>
      </c>
      <c r="J1072" t="s">
        <v>1048</v>
      </c>
      <c r="K1072" t="s">
        <v>3195</v>
      </c>
      <c r="L1072" t="s">
        <v>1048</v>
      </c>
      <c r="M1072" t="s">
        <v>1000</v>
      </c>
      <c r="N1072" t="s">
        <v>1047</v>
      </c>
      <c r="O1072" t="s">
        <v>1047</v>
      </c>
      <c r="P1072" t="s">
        <v>1089</v>
      </c>
      <c r="Q1072" t="s">
        <v>3169</v>
      </c>
      <c r="R1072" t="s">
        <v>446</v>
      </c>
      <c r="S1072" t="s">
        <v>2988</v>
      </c>
      <c r="T1072" t="s">
        <v>1965</v>
      </c>
      <c r="U1072" t="b">
        <v>0</v>
      </c>
      <c r="V1072" t="s">
        <v>2160</v>
      </c>
    </row>
    <row r="1073" spans="1:22" x14ac:dyDescent="0.25">
      <c r="A1073" t="s">
        <v>42</v>
      </c>
      <c r="B1073">
        <v>145</v>
      </c>
      <c r="C1073" t="s">
        <v>1052</v>
      </c>
      <c r="D1073" t="s">
        <v>3124</v>
      </c>
      <c r="E1073" t="s">
        <v>1051</v>
      </c>
      <c r="F1073" t="s">
        <v>4174</v>
      </c>
      <c r="G1073" t="s">
        <v>24</v>
      </c>
      <c r="H1073" t="s">
        <v>26</v>
      </c>
      <c r="I1073" t="s">
        <v>3167</v>
      </c>
      <c r="J1073" t="s">
        <v>1055</v>
      </c>
      <c r="K1073" t="s">
        <v>3199</v>
      </c>
      <c r="L1073" t="s">
        <v>1055</v>
      </c>
      <c r="M1073" t="s">
        <v>980</v>
      </c>
      <c r="N1073" t="s">
        <v>1053</v>
      </c>
      <c r="O1073" t="s">
        <v>1053</v>
      </c>
      <c r="P1073" t="s">
        <v>1089</v>
      </c>
      <c r="Q1073" t="s">
        <v>3169</v>
      </c>
      <c r="R1073" t="s">
        <v>446</v>
      </c>
      <c r="S1073" t="s">
        <v>2988</v>
      </c>
      <c r="T1073" t="s">
        <v>1965</v>
      </c>
      <c r="U1073" t="b">
        <v>0</v>
      </c>
      <c r="V1073" t="s">
        <v>2160</v>
      </c>
    </row>
    <row r="1074" spans="1:22" x14ac:dyDescent="0.25">
      <c r="A1074" t="s">
        <v>42</v>
      </c>
      <c r="B1074">
        <v>147</v>
      </c>
      <c r="C1074" t="s">
        <v>979</v>
      </c>
      <c r="D1074" t="s">
        <v>1596</v>
      </c>
      <c r="E1074" t="s">
        <v>978</v>
      </c>
      <c r="F1074">
        <v>20649</v>
      </c>
      <c r="G1074" t="s">
        <v>24</v>
      </c>
      <c r="H1074" t="s">
        <v>26</v>
      </c>
      <c r="I1074" t="s">
        <v>3167</v>
      </c>
      <c r="J1074" t="s">
        <v>984</v>
      </c>
      <c r="K1074" t="s">
        <v>3168</v>
      </c>
      <c r="L1074" t="s">
        <v>984</v>
      </c>
      <c r="M1074" t="s">
        <v>980</v>
      </c>
      <c r="N1074" t="s">
        <v>981</v>
      </c>
      <c r="O1074" t="s">
        <v>981</v>
      </c>
      <c r="P1074" t="s">
        <v>1089</v>
      </c>
      <c r="Q1074" t="s">
        <v>3169</v>
      </c>
      <c r="R1074" t="s">
        <v>2521</v>
      </c>
      <c r="S1074" t="s">
        <v>4175</v>
      </c>
      <c r="T1074" t="s">
        <v>3239</v>
      </c>
      <c r="U1074" t="b">
        <v>0</v>
      </c>
      <c r="V1074" t="s">
        <v>2520</v>
      </c>
    </row>
    <row r="1075" spans="1:22" x14ac:dyDescent="0.25">
      <c r="A1075" t="s">
        <v>42</v>
      </c>
      <c r="B1075">
        <v>147</v>
      </c>
      <c r="C1075" t="s">
        <v>987</v>
      </c>
      <c r="D1075" t="s">
        <v>1598</v>
      </c>
      <c r="E1075" t="s">
        <v>986</v>
      </c>
      <c r="F1075">
        <v>20753</v>
      </c>
      <c r="G1075" t="s">
        <v>24</v>
      </c>
      <c r="H1075" t="s">
        <v>26</v>
      </c>
      <c r="I1075" t="s">
        <v>3167</v>
      </c>
      <c r="J1075" t="s">
        <v>990</v>
      </c>
      <c r="K1075" t="s">
        <v>3171</v>
      </c>
      <c r="L1075" t="s">
        <v>990</v>
      </c>
      <c r="M1075" t="s">
        <v>980</v>
      </c>
      <c r="N1075" t="s">
        <v>988</v>
      </c>
      <c r="O1075" t="s">
        <v>988</v>
      </c>
      <c r="P1075" t="s">
        <v>1089</v>
      </c>
      <c r="Q1075" t="s">
        <v>3169</v>
      </c>
      <c r="R1075" t="s">
        <v>2521</v>
      </c>
      <c r="S1075" t="s">
        <v>4175</v>
      </c>
      <c r="T1075" t="s">
        <v>3239</v>
      </c>
      <c r="U1075" t="b">
        <v>0</v>
      </c>
      <c r="V1075" t="s">
        <v>2520</v>
      </c>
    </row>
    <row r="1076" spans="1:22" x14ac:dyDescent="0.25">
      <c r="A1076" t="s">
        <v>42</v>
      </c>
      <c r="B1076">
        <v>147</v>
      </c>
      <c r="C1076" t="s">
        <v>993</v>
      </c>
      <c r="D1076" t="s">
        <v>1600</v>
      </c>
      <c r="E1076" t="s">
        <v>992</v>
      </c>
      <c r="F1076">
        <v>20841</v>
      </c>
      <c r="G1076" t="s">
        <v>24</v>
      </c>
      <c r="H1076" t="s">
        <v>26</v>
      </c>
      <c r="I1076" t="s">
        <v>3167</v>
      </c>
      <c r="J1076" t="s">
        <v>996</v>
      </c>
      <c r="K1076" t="s">
        <v>3173</v>
      </c>
      <c r="L1076" t="s">
        <v>996</v>
      </c>
      <c r="M1076" t="s">
        <v>980</v>
      </c>
      <c r="N1076" t="s">
        <v>994</v>
      </c>
      <c r="O1076" t="s">
        <v>994</v>
      </c>
      <c r="P1076" t="s">
        <v>1089</v>
      </c>
      <c r="Q1076" t="s">
        <v>3169</v>
      </c>
      <c r="R1076" t="s">
        <v>2521</v>
      </c>
      <c r="S1076" t="s">
        <v>4175</v>
      </c>
      <c r="T1076" t="s">
        <v>3239</v>
      </c>
      <c r="U1076" t="b">
        <v>0</v>
      </c>
      <c r="V1076" t="s">
        <v>2520</v>
      </c>
    </row>
    <row r="1077" spans="1:22" x14ac:dyDescent="0.25">
      <c r="A1077" t="s">
        <v>42</v>
      </c>
      <c r="B1077">
        <v>147</v>
      </c>
      <c r="C1077" t="s">
        <v>999</v>
      </c>
      <c r="D1077" t="s">
        <v>1602</v>
      </c>
      <c r="E1077" t="s">
        <v>998</v>
      </c>
      <c r="F1077">
        <v>20969</v>
      </c>
      <c r="G1077" t="s">
        <v>24</v>
      </c>
      <c r="H1077" t="s">
        <v>26</v>
      </c>
      <c r="I1077" t="s">
        <v>3167</v>
      </c>
      <c r="J1077" t="s">
        <v>1003</v>
      </c>
      <c r="K1077" t="s">
        <v>3175</v>
      </c>
      <c r="L1077" t="s">
        <v>1003</v>
      </c>
      <c r="M1077" t="s">
        <v>1000</v>
      </c>
      <c r="N1077" t="s">
        <v>1001</v>
      </c>
      <c r="O1077" t="s">
        <v>1001</v>
      </c>
      <c r="P1077" t="s">
        <v>1089</v>
      </c>
      <c r="Q1077" t="s">
        <v>3169</v>
      </c>
      <c r="R1077" t="s">
        <v>2521</v>
      </c>
      <c r="S1077" t="s">
        <v>4175</v>
      </c>
      <c r="T1077" t="s">
        <v>3239</v>
      </c>
      <c r="U1077" t="b">
        <v>0</v>
      </c>
      <c r="V1077" t="s">
        <v>2520</v>
      </c>
    </row>
    <row r="1078" spans="1:22" x14ac:dyDescent="0.25">
      <c r="A1078" t="s">
        <v>42</v>
      </c>
      <c r="B1078">
        <v>147</v>
      </c>
      <c r="C1078" t="s">
        <v>1005</v>
      </c>
      <c r="D1078" t="s">
        <v>2789</v>
      </c>
      <c r="E1078" t="s">
        <v>982</v>
      </c>
      <c r="F1078" t="s">
        <v>4176</v>
      </c>
      <c r="G1078" t="s">
        <v>24</v>
      </c>
      <c r="H1078" t="s">
        <v>26</v>
      </c>
      <c r="I1078" t="s">
        <v>3167</v>
      </c>
      <c r="J1078" t="s">
        <v>1003</v>
      </c>
      <c r="K1078" t="s">
        <v>3175</v>
      </c>
      <c r="L1078" t="s">
        <v>1003</v>
      </c>
      <c r="M1078" t="s">
        <v>1000</v>
      </c>
      <c r="N1078" t="s">
        <v>1001</v>
      </c>
      <c r="O1078" t="s">
        <v>1001</v>
      </c>
      <c r="P1078" t="s">
        <v>1089</v>
      </c>
      <c r="Q1078" t="s">
        <v>3169</v>
      </c>
      <c r="R1078" t="s">
        <v>2521</v>
      </c>
      <c r="S1078" t="s">
        <v>4175</v>
      </c>
      <c r="T1078" t="s">
        <v>1965</v>
      </c>
      <c r="U1078" t="b">
        <v>0</v>
      </c>
      <c r="V1078" t="s">
        <v>2790</v>
      </c>
    </row>
    <row r="1079" spans="1:22" x14ac:dyDescent="0.25">
      <c r="A1079" t="s">
        <v>42</v>
      </c>
      <c r="B1079">
        <v>147</v>
      </c>
      <c r="C1079" t="s">
        <v>1007</v>
      </c>
      <c r="D1079" t="s">
        <v>1604</v>
      </c>
      <c r="E1079" t="s">
        <v>1006</v>
      </c>
      <c r="F1079">
        <v>21081</v>
      </c>
      <c r="G1079" t="s">
        <v>24</v>
      </c>
      <c r="H1079" t="s">
        <v>26</v>
      </c>
      <c r="I1079" t="s">
        <v>3167</v>
      </c>
      <c r="J1079" t="s">
        <v>1967</v>
      </c>
      <c r="K1079" t="s">
        <v>3227</v>
      </c>
      <c r="L1079" t="s">
        <v>1967</v>
      </c>
      <c r="M1079" t="s">
        <v>980</v>
      </c>
      <c r="N1079" t="s">
        <v>1009</v>
      </c>
      <c r="O1079" t="s">
        <v>1009</v>
      </c>
      <c r="P1079" t="s">
        <v>1089</v>
      </c>
      <c r="Q1079" t="s">
        <v>3169</v>
      </c>
      <c r="R1079" t="s">
        <v>2521</v>
      </c>
      <c r="S1079" t="s">
        <v>4175</v>
      </c>
      <c r="T1079" t="s">
        <v>3239</v>
      </c>
      <c r="U1079" t="b">
        <v>0</v>
      </c>
      <c r="V1079" t="s">
        <v>2520</v>
      </c>
    </row>
    <row r="1080" spans="1:22" x14ac:dyDescent="0.25">
      <c r="A1080" t="s">
        <v>42</v>
      </c>
      <c r="B1080">
        <v>147</v>
      </c>
      <c r="C1080" t="s">
        <v>1014</v>
      </c>
      <c r="D1080" t="s">
        <v>1606</v>
      </c>
      <c r="E1080" t="s">
        <v>1013</v>
      </c>
      <c r="F1080">
        <v>21228</v>
      </c>
      <c r="G1080" t="s">
        <v>24</v>
      </c>
      <c r="H1080" t="s">
        <v>26</v>
      </c>
      <c r="I1080" t="s">
        <v>3167</v>
      </c>
      <c r="J1080" t="s">
        <v>1016</v>
      </c>
      <c r="K1080" t="s">
        <v>3181</v>
      </c>
      <c r="L1080" t="s">
        <v>1016</v>
      </c>
      <c r="M1080" t="s">
        <v>980</v>
      </c>
      <c r="N1080" t="s">
        <v>1015</v>
      </c>
      <c r="O1080" t="s">
        <v>1015</v>
      </c>
      <c r="P1080" t="s">
        <v>1089</v>
      </c>
      <c r="Q1080" t="s">
        <v>3169</v>
      </c>
      <c r="R1080" t="s">
        <v>2521</v>
      </c>
      <c r="S1080" t="s">
        <v>4175</v>
      </c>
      <c r="T1080" t="s">
        <v>3239</v>
      </c>
      <c r="U1080" t="b">
        <v>0</v>
      </c>
      <c r="V1080" t="s">
        <v>2520</v>
      </c>
    </row>
    <row r="1081" spans="1:22" x14ac:dyDescent="0.25">
      <c r="A1081" t="s">
        <v>42</v>
      </c>
      <c r="B1081">
        <v>147</v>
      </c>
      <c r="C1081" t="s">
        <v>1019</v>
      </c>
      <c r="D1081" t="s">
        <v>1608</v>
      </c>
      <c r="E1081" t="s">
        <v>1018</v>
      </c>
      <c r="F1081">
        <v>21470</v>
      </c>
      <c r="G1081" t="s">
        <v>24</v>
      </c>
      <c r="H1081" t="s">
        <v>26</v>
      </c>
      <c r="I1081" t="s">
        <v>3167</v>
      </c>
      <c r="J1081" t="s">
        <v>1021</v>
      </c>
      <c r="K1081" t="s">
        <v>3183</v>
      </c>
      <c r="L1081" t="s">
        <v>1021</v>
      </c>
      <c r="M1081" t="s">
        <v>980</v>
      </c>
      <c r="N1081" t="s">
        <v>1020</v>
      </c>
      <c r="O1081" t="s">
        <v>1020</v>
      </c>
      <c r="P1081" t="s">
        <v>1089</v>
      </c>
      <c r="Q1081" t="s">
        <v>3169</v>
      </c>
      <c r="R1081" t="s">
        <v>2521</v>
      </c>
      <c r="S1081" t="s">
        <v>4175</v>
      </c>
      <c r="T1081" t="s">
        <v>3239</v>
      </c>
      <c r="U1081" t="b">
        <v>0</v>
      </c>
      <c r="V1081" t="s">
        <v>2520</v>
      </c>
    </row>
    <row r="1082" spans="1:22" x14ac:dyDescent="0.25">
      <c r="A1082" t="s">
        <v>42</v>
      </c>
      <c r="B1082">
        <v>147</v>
      </c>
      <c r="C1082" t="s">
        <v>1024</v>
      </c>
      <c r="D1082" t="s">
        <v>1610</v>
      </c>
      <c r="E1082" t="s">
        <v>1023</v>
      </c>
      <c r="F1082">
        <v>21561</v>
      </c>
      <c r="G1082" t="s">
        <v>24</v>
      </c>
      <c r="H1082" t="s">
        <v>26</v>
      </c>
      <c r="I1082" t="s">
        <v>3167</v>
      </c>
      <c r="J1082" t="s">
        <v>1026</v>
      </c>
      <c r="K1082" t="s">
        <v>3185</v>
      </c>
      <c r="L1082" t="s">
        <v>1026</v>
      </c>
      <c r="M1082" t="s">
        <v>1000</v>
      </c>
      <c r="N1082" t="s">
        <v>1025</v>
      </c>
      <c r="O1082" t="s">
        <v>1025</v>
      </c>
      <c r="P1082" t="s">
        <v>1089</v>
      </c>
      <c r="Q1082" t="s">
        <v>3169</v>
      </c>
      <c r="R1082" t="s">
        <v>2521</v>
      </c>
      <c r="S1082" t="s">
        <v>4175</v>
      </c>
      <c r="T1082" t="s">
        <v>3239</v>
      </c>
      <c r="U1082" t="b">
        <v>0</v>
      </c>
      <c r="V1082" t="s">
        <v>2520</v>
      </c>
    </row>
    <row r="1083" spans="1:22" x14ac:dyDescent="0.25">
      <c r="A1083" t="s">
        <v>42</v>
      </c>
      <c r="B1083">
        <v>147</v>
      </c>
      <c r="C1083" t="s">
        <v>1028</v>
      </c>
      <c r="D1083" t="s">
        <v>2791</v>
      </c>
      <c r="E1083" t="s">
        <v>1010</v>
      </c>
      <c r="F1083" t="s">
        <v>4177</v>
      </c>
      <c r="G1083" t="s">
        <v>24</v>
      </c>
      <c r="H1083" t="s">
        <v>26</v>
      </c>
      <c r="I1083" t="s">
        <v>3167</v>
      </c>
      <c r="J1083" t="s">
        <v>1026</v>
      </c>
      <c r="K1083" t="s">
        <v>3185</v>
      </c>
      <c r="L1083" t="s">
        <v>1026</v>
      </c>
      <c r="M1083" t="s">
        <v>1000</v>
      </c>
      <c r="N1083" t="s">
        <v>1025</v>
      </c>
      <c r="O1083" t="s">
        <v>1025</v>
      </c>
      <c r="P1083" t="s">
        <v>1089</v>
      </c>
      <c r="Q1083" t="s">
        <v>3169</v>
      </c>
      <c r="R1083" t="s">
        <v>2521</v>
      </c>
      <c r="S1083" t="s">
        <v>4175</v>
      </c>
      <c r="T1083" t="s">
        <v>1965</v>
      </c>
      <c r="U1083" t="b">
        <v>0</v>
      </c>
      <c r="V1083" t="s">
        <v>2790</v>
      </c>
    </row>
    <row r="1084" spans="1:22" x14ac:dyDescent="0.25">
      <c r="A1084" t="s">
        <v>42</v>
      </c>
      <c r="B1084">
        <v>147</v>
      </c>
      <c r="C1084" t="s">
        <v>1030</v>
      </c>
      <c r="D1084" t="s">
        <v>1612</v>
      </c>
      <c r="E1084" t="s">
        <v>1029</v>
      </c>
      <c r="F1084">
        <v>21633</v>
      </c>
      <c r="G1084" t="s">
        <v>24</v>
      </c>
      <c r="H1084" t="s">
        <v>26</v>
      </c>
      <c r="I1084" t="s">
        <v>3167</v>
      </c>
      <c r="J1084" t="s">
        <v>1033</v>
      </c>
      <c r="K1084" t="s">
        <v>3189</v>
      </c>
      <c r="L1084" t="s">
        <v>1033</v>
      </c>
      <c r="M1084" t="s">
        <v>980</v>
      </c>
      <c r="N1084" t="s">
        <v>1031</v>
      </c>
      <c r="O1084" t="s">
        <v>1031</v>
      </c>
      <c r="P1084" t="s">
        <v>1089</v>
      </c>
      <c r="Q1084" t="s">
        <v>3169</v>
      </c>
      <c r="R1084" t="s">
        <v>2521</v>
      </c>
      <c r="S1084" t="s">
        <v>4175</v>
      </c>
      <c r="T1084" t="s">
        <v>3239</v>
      </c>
      <c r="U1084" t="b">
        <v>0</v>
      </c>
      <c r="V1084" t="s">
        <v>2520</v>
      </c>
    </row>
    <row r="1085" spans="1:22" x14ac:dyDescent="0.25">
      <c r="A1085" t="s">
        <v>42</v>
      </c>
      <c r="B1085">
        <v>147</v>
      </c>
      <c r="C1085" t="s">
        <v>1036</v>
      </c>
      <c r="D1085" t="s">
        <v>1614</v>
      </c>
      <c r="E1085" t="s">
        <v>1035</v>
      </c>
      <c r="F1085">
        <v>21730</v>
      </c>
      <c r="G1085" t="s">
        <v>24</v>
      </c>
      <c r="H1085" t="s">
        <v>26</v>
      </c>
      <c r="I1085" t="s">
        <v>3167</v>
      </c>
      <c r="J1085" t="s">
        <v>1038</v>
      </c>
      <c r="K1085" t="s">
        <v>3191</v>
      </c>
      <c r="L1085" t="s">
        <v>1038</v>
      </c>
      <c r="M1085" t="s">
        <v>980</v>
      </c>
      <c r="N1085" t="s">
        <v>1037</v>
      </c>
      <c r="O1085" t="s">
        <v>1037</v>
      </c>
      <c r="P1085" t="s">
        <v>1089</v>
      </c>
      <c r="Q1085" t="s">
        <v>3169</v>
      </c>
      <c r="R1085" t="s">
        <v>2521</v>
      </c>
      <c r="S1085" t="s">
        <v>4175</v>
      </c>
      <c r="T1085" t="s">
        <v>3239</v>
      </c>
      <c r="U1085" t="b">
        <v>0</v>
      </c>
      <c r="V1085" t="s">
        <v>2520</v>
      </c>
    </row>
    <row r="1086" spans="1:22" x14ac:dyDescent="0.25">
      <c r="A1086" t="s">
        <v>42</v>
      </c>
      <c r="B1086">
        <v>147</v>
      </c>
      <c r="C1086" t="s">
        <v>1041</v>
      </c>
      <c r="D1086" t="s">
        <v>1616</v>
      </c>
      <c r="E1086" t="s">
        <v>1040</v>
      </c>
      <c r="F1086">
        <v>22249</v>
      </c>
      <c r="G1086" t="s">
        <v>24</v>
      </c>
      <c r="H1086" t="s">
        <v>26</v>
      </c>
      <c r="I1086" t="s">
        <v>3167</v>
      </c>
      <c r="J1086" t="s">
        <v>1043</v>
      </c>
      <c r="K1086" t="s">
        <v>3193</v>
      </c>
      <c r="L1086" t="s">
        <v>1043</v>
      </c>
      <c r="M1086" t="s">
        <v>980</v>
      </c>
      <c r="N1086" t="s">
        <v>1042</v>
      </c>
      <c r="O1086" t="s">
        <v>1042</v>
      </c>
      <c r="P1086" t="s">
        <v>1089</v>
      </c>
      <c r="Q1086" t="s">
        <v>3169</v>
      </c>
      <c r="R1086" t="s">
        <v>2521</v>
      </c>
      <c r="S1086" t="s">
        <v>4175</v>
      </c>
      <c r="T1086" t="s">
        <v>3239</v>
      </c>
      <c r="U1086" t="b">
        <v>0</v>
      </c>
      <c r="V1086" t="s">
        <v>2520</v>
      </c>
    </row>
    <row r="1087" spans="1:22" x14ac:dyDescent="0.25">
      <c r="A1087" t="s">
        <v>42</v>
      </c>
      <c r="B1087">
        <v>147</v>
      </c>
      <c r="C1087" t="s">
        <v>1046</v>
      </c>
      <c r="D1087" t="s">
        <v>1618</v>
      </c>
      <c r="E1087" t="s">
        <v>1045</v>
      </c>
      <c r="F1087">
        <v>22341</v>
      </c>
      <c r="G1087" t="s">
        <v>24</v>
      </c>
      <c r="H1087" t="s">
        <v>26</v>
      </c>
      <c r="I1087" t="s">
        <v>3167</v>
      </c>
      <c r="J1087" t="s">
        <v>1048</v>
      </c>
      <c r="K1087" t="s">
        <v>3195</v>
      </c>
      <c r="L1087" t="s">
        <v>1048</v>
      </c>
      <c r="M1087" t="s">
        <v>1000</v>
      </c>
      <c r="N1087" t="s">
        <v>1047</v>
      </c>
      <c r="O1087" t="s">
        <v>1047</v>
      </c>
      <c r="P1087" t="s">
        <v>1089</v>
      </c>
      <c r="Q1087" t="s">
        <v>3169</v>
      </c>
      <c r="R1087" t="s">
        <v>2521</v>
      </c>
      <c r="S1087" t="s">
        <v>4175</v>
      </c>
      <c r="T1087" t="s">
        <v>3239</v>
      </c>
      <c r="U1087" t="b">
        <v>0</v>
      </c>
      <c r="V1087" t="s">
        <v>2520</v>
      </c>
    </row>
    <row r="1088" spans="1:22" x14ac:dyDescent="0.25">
      <c r="A1088" t="s">
        <v>42</v>
      </c>
      <c r="B1088">
        <v>147</v>
      </c>
      <c r="C1088" t="s">
        <v>1050</v>
      </c>
      <c r="D1088" t="s">
        <v>2792</v>
      </c>
      <c r="E1088" t="s">
        <v>1032</v>
      </c>
      <c r="F1088" t="s">
        <v>4178</v>
      </c>
      <c r="G1088" t="s">
        <v>24</v>
      </c>
      <c r="H1088" t="s">
        <v>26</v>
      </c>
      <c r="I1088" t="s">
        <v>3167</v>
      </c>
      <c r="J1088" t="s">
        <v>1048</v>
      </c>
      <c r="K1088" t="s">
        <v>3195</v>
      </c>
      <c r="L1088" t="s">
        <v>1048</v>
      </c>
      <c r="M1088" t="s">
        <v>1000</v>
      </c>
      <c r="N1088" t="s">
        <v>1047</v>
      </c>
      <c r="O1088" t="s">
        <v>1047</v>
      </c>
      <c r="P1088" t="s">
        <v>1089</v>
      </c>
      <c r="Q1088" t="s">
        <v>3169</v>
      </c>
      <c r="R1088" t="s">
        <v>2521</v>
      </c>
      <c r="S1088" t="s">
        <v>4175</v>
      </c>
      <c r="T1088" t="s">
        <v>1965</v>
      </c>
      <c r="U1088" t="b">
        <v>0</v>
      </c>
      <c r="V1088" t="s">
        <v>2790</v>
      </c>
    </row>
    <row r="1089" spans="1:22" x14ac:dyDescent="0.25">
      <c r="A1089" t="s">
        <v>42</v>
      </c>
      <c r="B1089">
        <v>147</v>
      </c>
      <c r="C1089" t="s">
        <v>1052</v>
      </c>
      <c r="D1089" t="s">
        <v>1620</v>
      </c>
      <c r="E1089" t="s">
        <v>1051</v>
      </c>
      <c r="F1089">
        <v>22394</v>
      </c>
      <c r="G1089" t="s">
        <v>24</v>
      </c>
      <c r="H1089" t="s">
        <v>26</v>
      </c>
      <c r="I1089" t="s">
        <v>3167</v>
      </c>
      <c r="J1089" t="s">
        <v>1055</v>
      </c>
      <c r="K1089" t="s">
        <v>3199</v>
      </c>
      <c r="L1089" t="s">
        <v>1055</v>
      </c>
      <c r="M1089" t="s">
        <v>980</v>
      </c>
      <c r="N1089" t="s">
        <v>1053</v>
      </c>
      <c r="O1089" t="s">
        <v>1053</v>
      </c>
      <c r="P1089" t="s">
        <v>1089</v>
      </c>
      <c r="Q1089" t="s">
        <v>3169</v>
      </c>
      <c r="R1089" t="s">
        <v>2521</v>
      </c>
      <c r="S1089" t="s">
        <v>4175</v>
      </c>
      <c r="T1089" t="s">
        <v>3239</v>
      </c>
      <c r="U1089" t="b">
        <v>0</v>
      </c>
      <c r="V1089" t="s">
        <v>2520</v>
      </c>
    </row>
    <row r="1090" spans="1:22" x14ac:dyDescent="0.25">
      <c r="A1090" t="s">
        <v>42</v>
      </c>
      <c r="B1090">
        <v>148</v>
      </c>
      <c r="C1090" t="s">
        <v>979</v>
      </c>
      <c r="D1090" t="s">
        <v>1622</v>
      </c>
      <c r="E1090" t="s">
        <v>978</v>
      </c>
      <c r="F1090">
        <v>72137</v>
      </c>
      <c r="G1090" t="s">
        <v>24</v>
      </c>
      <c r="H1090" t="s">
        <v>26</v>
      </c>
      <c r="I1090" t="s">
        <v>3167</v>
      </c>
      <c r="J1090" t="s">
        <v>984</v>
      </c>
      <c r="K1090" t="s">
        <v>3168</v>
      </c>
      <c r="L1090" t="s">
        <v>984</v>
      </c>
      <c r="M1090" t="s">
        <v>980</v>
      </c>
      <c r="N1090" t="s">
        <v>981</v>
      </c>
      <c r="O1090" t="s">
        <v>981</v>
      </c>
      <c r="P1090" t="s">
        <v>1089</v>
      </c>
      <c r="Q1090" t="s">
        <v>3169</v>
      </c>
      <c r="R1090" t="s">
        <v>2537</v>
      </c>
      <c r="S1090" t="s">
        <v>4179</v>
      </c>
      <c r="T1090" t="s">
        <v>3239</v>
      </c>
      <c r="U1090" t="b">
        <v>0</v>
      </c>
      <c r="V1090" t="s">
        <v>2536</v>
      </c>
    </row>
    <row r="1091" spans="1:22" x14ac:dyDescent="0.25">
      <c r="A1091" t="s">
        <v>42</v>
      </c>
      <c r="B1091">
        <v>148</v>
      </c>
      <c r="C1091" t="s">
        <v>987</v>
      </c>
      <c r="D1091" t="s">
        <v>1623</v>
      </c>
      <c r="E1091" t="s">
        <v>986</v>
      </c>
      <c r="F1091">
        <v>72695</v>
      </c>
      <c r="G1091" t="s">
        <v>24</v>
      </c>
      <c r="H1091" t="s">
        <v>26</v>
      </c>
      <c r="I1091" t="s">
        <v>3167</v>
      </c>
      <c r="J1091" t="s">
        <v>990</v>
      </c>
      <c r="K1091" t="s">
        <v>3171</v>
      </c>
      <c r="L1091" t="s">
        <v>990</v>
      </c>
      <c r="M1091" t="s">
        <v>980</v>
      </c>
      <c r="N1091" t="s">
        <v>988</v>
      </c>
      <c r="O1091" t="s">
        <v>988</v>
      </c>
      <c r="P1091" t="s">
        <v>1089</v>
      </c>
      <c r="Q1091" t="s">
        <v>3169</v>
      </c>
      <c r="R1091" t="s">
        <v>2537</v>
      </c>
      <c r="S1091" t="s">
        <v>4179</v>
      </c>
      <c r="T1091" t="s">
        <v>3239</v>
      </c>
      <c r="U1091" t="b">
        <v>0</v>
      </c>
      <c r="V1091" t="s">
        <v>2536</v>
      </c>
    </row>
    <row r="1092" spans="1:22" x14ac:dyDescent="0.25">
      <c r="A1092" t="s">
        <v>42</v>
      </c>
      <c r="B1092">
        <v>148</v>
      </c>
      <c r="C1092" t="s">
        <v>993</v>
      </c>
      <c r="D1092" t="s">
        <v>1625</v>
      </c>
      <c r="E1092" t="s">
        <v>992</v>
      </c>
      <c r="F1092">
        <v>73793</v>
      </c>
      <c r="G1092" t="s">
        <v>24</v>
      </c>
      <c r="H1092" t="s">
        <v>26</v>
      </c>
      <c r="I1092" t="s">
        <v>3167</v>
      </c>
      <c r="J1092" t="s">
        <v>996</v>
      </c>
      <c r="K1092" t="s">
        <v>3173</v>
      </c>
      <c r="L1092" t="s">
        <v>996</v>
      </c>
      <c r="M1092" t="s">
        <v>980</v>
      </c>
      <c r="N1092" t="s">
        <v>994</v>
      </c>
      <c r="O1092" t="s">
        <v>994</v>
      </c>
      <c r="P1092" t="s">
        <v>1089</v>
      </c>
      <c r="Q1092" t="s">
        <v>3169</v>
      </c>
      <c r="R1092" t="s">
        <v>2537</v>
      </c>
      <c r="S1092" t="s">
        <v>4179</v>
      </c>
      <c r="T1092" t="s">
        <v>3239</v>
      </c>
      <c r="U1092" t="b">
        <v>0</v>
      </c>
      <c r="V1092" t="s">
        <v>2536</v>
      </c>
    </row>
    <row r="1093" spans="1:22" x14ac:dyDescent="0.25">
      <c r="A1093" t="s">
        <v>42</v>
      </c>
      <c r="B1093">
        <v>148</v>
      </c>
      <c r="C1093" t="s">
        <v>999</v>
      </c>
      <c r="D1093" t="s">
        <v>1627</v>
      </c>
      <c r="E1093" t="s">
        <v>998</v>
      </c>
      <c r="F1093">
        <v>73782</v>
      </c>
      <c r="G1093" t="s">
        <v>24</v>
      </c>
      <c r="H1093" t="s">
        <v>26</v>
      </c>
      <c r="I1093" t="s">
        <v>3167</v>
      </c>
      <c r="J1093" t="s">
        <v>1003</v>
      </c>
      <c r="K1093" t="s">
        <v>3175</v>
      </c>
      <c r="L1093" t="s">
        <v>1003</v>
      </c>
      <c r="M1093" t="s">
        <v>1000</v>
      </c>
      <c r="N1093" t="s">
        <v>1001</v>
      </c>
      <c r="O1093" t="s">
        <v>1001</v>
      </c>
      <c r="P1093" t="s">
        <v>1089</v>
      </c>
      <c r="Q1093" t="s">
        <v>3169</v>
      </c>
      <c r="R1093" t="s">
        <v>2537</v>
      </c>
      <c r="S1093" t="s">
        <v>4179</v>
      </c>
      <c r="T1093" t="s">
        <v>3239</v>
      </c>
      <c r="U1093" t="b">
        <v>0</v>
      </c>
      <c r="V1093" t="s">
        <v>2536</v>
      </c>
    </row>
    <row r="1094" spans="1:22" x14ac:dyDescent="0.25">
      <c r="A1094" t="s">
        <v>42</v>
      </c>
      <c r="B1094">
        <v>148</v>
      </c>
      <c r="C1094" t="s">
        <v>1005</v>
      </c>
      <c r="D1094" t="s">
        <v>2793</v>
      </c>
      <c r="E1094" t="s">
        <v>982</v>
      </c>
      <c r="F1094" t="s">
        <v>4180</v>
      </c>
      <c r="G1094" t="s">
        <v>24</v>
      </c>
      <c r="H1094" t="s">
        <v>26</v>
      </c>
      <c r="I1094" t="s">
        <v>3167</v>
      </c>
      <c r="J1094" t="s">
        <v>1003</v>
      </c>
      <c r="K1094" t="s">
        <v>3175</v>
      </c>
      <c r="L1094" t="s">
        <v>1003</v>
      </c>
      <c r="M1094" t="s">
        <v>1000</v>
      </c>
      <c r="N1094" t="s">
        <v>1001</v>
      </c>
      <c r="O1094" t="s">
        <v>1001</v>
      </c>
      <c r="P1094" t="s">
        <v>1089</v>
      </c>
      <c r="Q1094" t="s">
        <v>3169</v>
      </c>
      <c r="R1094" t="s">
        <v>2537</v>
      </c>
      <c r="S1094" t="s">
        <v>4179</v>
      </c>
      <c r="T1094" t="s">
        <v>1965</v>
      </c>
      <c r="U1094" t="b">
        <v>0</v>
      </c>
      <c r="V1094" t="s">
        <v>2795</v>
      </c>
    </row>
    <row r="1095" spans="1:22" x14ac:dyDescent="0.25">
      <c r="A1095" t="s">
        <v>42</v>
      </c>
      <c r="B1095">
        <v>148</v>
      </c>
      <c r="C1095" t="s">
        <v>1007</v>
      </c>
      <c r="D1095" t="s">
        <v>1629</v>
      </c>
      <c r="E1095" t="s">
        <v>1006</v>
      </c>
      <c r="F1095">
        <v>74868</v>
      </c>
      <c r="G1095" t="s">
        <v>24</v>
      </c>
      <c r="H1095" t="s">
        <v>26</v>
      </c>
      <c r="I1095" t="s">
        <v>3167</v>
      </c>
      <c r="J1095" t="s">
        <v>1967</v>
      </c>
      <c r="K1095" t="s">
        <v>3227</v>
      </c>
      <c r="L1095" t="s">
        <v>1967</v>
      </c>
      <c r="M1095" t="s">
        <v>980</v>
      </c>
      <c r="N1095" t="s">
        <v>1009</v>
      </c>
      <c r="O1095" t="s">
        <v>1009</v>
      </c>
      <c r="P1095" t="s">
        <v>1089</v>
      </c>
      <c r="Q1095" t="s">
        <v>3169</v>
      </c>
      <c r="R1095" t="s">
        <v>2537</v>
      </c>
      <c r="S1095" t="s">
        <v>4179</v>
      </c>
      <c r="T1095" t="s">
        <v>3239</v>
      </c>
      <c r="U1095" t="b">
        <v>0</v>
      </c>
      <c r="V1095" t="s">
        <v>2536</v>
      </c>
    </row>
    <row r="1096" spans="1:22" x14ac:dyDescent="0.25">
      <c r="A1096" t="s">
        <v>42</v>
      </c>
      <c r="B1096">
        <v>148</v>
      </c>
      <c r="C1096" t="s">
        <v>1014</v>
      </c>
      <c r="D1096" t="s">
        <v>1631</v>
      </c>
      <c r="E1096" t="s">
        <v>1013</v>
      </c>
      <c r="F1096">
        <v>75189</v>
      </c>
      <c r="G1096" t="s">
        <v>24</v>
      </c>
      <c r="H1096" t="s">
        <v>26</v>
      </c>
      <c r="I1096" t="s">
        <v>3167</v>
      </c>
      <c r="J1096" t="s">
        <v>1016</v>
      </c>
      <c r="K1096" t="s">
        <v>3181</v>
      </c>
      <c r="L1096" t="s">
        <v>1016</v>
      </c>
      <c r="M1096" t="s">
        <v>980</v>
      </c>
      <c r="N1096" t="s">
        <v>1015</v>
      </c>
      <c r="O1096" t="s">
        <v>1015</v>
      </c>
      <c r="P1096" t="s">
        <v>1089</v>
      </c>
      <c r="Q1096" t="s">
        <v>3169</v>
      </c>
      <c r="R1096" t="s">
        <v>2537</v>
      </c>
      <c r="S1096" t="s">
        <v>4179</v>
      </c>
      <c r="T1096" t="s">
        <v>3239</v>
      </c>
      <c r="U1096" t="b">
        <v>0</v>
      </c>
      <c r="V1096" t="s">
        <v>2536</v>
      </c>
    </row>
    <row r="1097" spans="1:22" x14ac:dyDescent="0.25">
      <c r="A1097" t="s">
        <v>42</v>
      </c>
      <c r="B1097">
        <v>148</v>
      </c>
      <c r="C1097" t="s">
        <v>1019</v>
      </c>
      <c r="D1097" t="s">
        <v>1633</v>
      </c>
      <c r="E1097" t="s">
        <v>1018</v>
      </c>
      <c r="F1097">
        <v>75946</v>
      </c>
      <c r="G1097" t="s">
        <v>24</v>
      </c>
      <c r="H1097" t="s">
        <v>26</v>
      </c>
      <c r="I1097" t="s">
        <v>3167</v>
      </c>
      <c r="J1097" t="s">
        <v>1021</v>
      </c>
      <c r="K1097" t="s">
        <v>3183</v>
      </c>
      <c r="L1097" t="s">
        <v>1021</v>
      </c>
      <c r="M1097" t="s">
        <v>980</v>
      </c>
      <c r="N1097" t="s">
        <v>1020</v>
      </c>
      <c r="O1097" t="s">
        <v>1020</v>
      </c>
      <c r="P1097" t="s">
        <v>1089</v>
      </c>
      <c r="Q1097" t="s">
        <v>3169</v>
      </c>
      <c r="R1097" t="s">
        <v>2537</v>
      </c>
      <c r="S1097" t="s">
        <v>4179</v>
      </c>
      <c r="T1097" t="s">
        <v>3239</v>
      </c>
      <c r="U1097" t="b">
        <v>0</v>
      </c>
      <c r="V1097" t="s">
        <v>2536</v>
      </c>
    </row>
    <row r="1098" spans="1:22" x14ac:dyDescent="0.25">
      <c r="A1098" t="s">
        <v>42</v>
      </c>
      <c r="B1098">
        <v>148</v>
      </c>
      <c r="C1098" t="s">
        <v>1024</v>
      </c>
      <c r="D1098" t="s">
        <v>1635</v>
      </c>
      <c r="E1098" t="s">
        <v>1023</v>
      </c>
      <c r="F1098">
        <v>76054</v>
      </c>
      <c r="G1098" t="s">
        <v>24</v>
      </c>
      <c r="H1098" t="s">
        <v>26</v>
      </c>
      <c r="I1098" t="s">
        <v>3167</v>
      </c>
      <c r="J1098" t="s">
        <v>1026</v>
      </c>
      <c r="K1098" t="s">
        <v>3185</v>
      </c>
      <c r="L1098" t="s">
        <v>1026</v>
      </c>
      <c r="M1098" t="s">
        <v>1000</v>
      </c>
      <c r="N1098" t="s">
        <v>1025</v>
      </c>
      <c r="O1098" t="s">
        <v>1025</v>
      </c>
      <c r="P1098" t="s">
        <v>1089</v>
      </c>
      <c r="Q1098" t="s">
        <v>3169</v>
      </c>
      <c r="R1098" t="s">
        <v>2537</v>
      </c>
      <c r="S1098" t="s">
        <v>4179</v>
      </c>
      <c r="T1098" t="s">
        <v>3239</v>
      </c>
      <c r="U1098" t="b">
        <v>0</v>
      </c>
      <c r="V1098" t="s">
        <v>2536</v>
      </c>
    </row>
    <row r="1099" spans="1:22" x14ac:dyDescent="0.25">
      <c r="A1099" t="s">
        <v>42</v>
      </c>
      <c r="B1099">
        <v>148</v>
      </c>
      <c r="C1099" t="s">
        <v>1028</v>
      </c>
      <c r="D1099" t="s">
        <v>2796</v>
      </c>
      <c r="E1099" t="s">
        <v>1010</v>
      </c>
      <c r="F1099" t="s">
        <v>4181</v>
      </c>
      <c r="G1099" t="s">
        <v>24</v>
      </c>
      <c r="H1099" t="s">
        <v>26</v>
      </c>
      <c r="I1099" t="s">
        <v>3167</v>
      </c>
      <c r="J1099" t="s">
        <v>1026</v>
      </c>
      <c r="K1099" t="s">
        <v>3185</v>
      </c>
      <c r="L1099" t="s">
        <v>1026</v>
      </c>
      <c r="M1099" t="s">
        <v>1000</v>
      </c>
      <c r="N1099" t="s">
        <v>1025</v>
      </c>
      <c r="O1099" t="s">
        <v>1025</v>
      </c>
      <c r="P1099" t="s">
        <v>1089</v>
      </c>
      <c r="Q1099" t="s">
        <v>3169</v>
      </c>
      <c r="R1099" t="s">
        <v>2537</v>
      </c>
      <c r="S1099" t="s">
        <v>4179</v>
      </c>
      <c r="T1099" t="s">
        <v>1965</v>
      </c>
      <c r="U1099" t="b">
        <v>0</v>
      </c>
      <c r="V1099" t="s">
        <v>2795</v>
      </c>
    </row>
    <row r="1100" spans="1:22" x14ac:dyDescent="0.25">
      <c r="A1100" t="s">
        <v>42</v>
      </c>
      <c r="B1100">
        <v>148</v>
      </c>
      <c r="C1100" t="s">
        <v>1030</v>
      </c>
      <c r="D1100" t="s">
        <v>1637</v>
      </c>
      <c r="E1100" t="s">
        <v>1029</v>
      </c>
      <c r="F1100">
        <v>77189</v>
      </c>
      <c r="G1100" t="s">
        <v>24</v>
      </c>
      <c r="H1100" t="s">
        <v>26</v>
      </c>
      <c r="I1100" t="s">
        <v>3167</v>
      </c>
      <c r="J1100" t="s">
        <v>1033</v>
      </c>
      <c r="K1100" t="s">
        <v>3189</v>
      </c>
      <c r="L1100" t="s">
        <v>1033</v>
      </c>
      <c r="M1100" t="s">
        <v>980</v>
      </c>
      <c r="N1100" t="s">
        <v>1031</v>
      </c>
      <c r="O1100" t="s">
        <v>1031</v>
      </c>
      <c r="P1100" t="s">
        <v>1089</v>
      </c>
      <c r="Q1100" t="s">
        <v>3169</v>
      </c>
      <c r="R1100" t="s">
        <v>2537</v>
      </c>
      <c r="S1100" t="s">
        <v>4179</v>
      </c>
      <c r="T1100" t="s">
        <v>3239</v>
      </c>
      <c r="U1100" t="b">
        <v>0</v>
      </c>
      <c r="V1100" t="s">
        <v>2536</v>
      </c>
    </row>
    <row r="1101" spans="1:22" x14ac:dyDescent="0.25">
      <c r="A1101" t="s">
        <v>42</v>
      </c>
      <c r="B1101">
        <v>148</v>
      </c>
      <c r="C1101" t="s">
        <v>1036</v>
      </c>
      <c r="D1101" t="s">
        <v>1639</v>
      </c>
      <c r="E1101" t="s">
        <v>1035</v>
      </c>
      <c r="F1101">
        <v>78803</v>
      </c>
      <c r="G1101" t="s">
        <v>24</v>
      </c>
      <c r="H1101" t="s">
        <v>26</v>
      </c>
      <c r="I1101" t="s">
        <v>3167</v>
      </c>
      <c r="J1101" t="s">
        <v>1038</v>
      </c>
      <c r="K1101" t="s">
        <v>3191</v>
      </c>
      <c r="L1101" t="s">
        <v>1038</v>
      </c>
      <c r="M1101" t="s">
        <v>980</v>
      </c>
      <c r="N1101" t="s">
        <v>1037</v>
      </c>
      <c r="O1101" t="s">
        <v>1037</v>
      </c>
      <c r="P1101" t="s">
        <v>1089</v>
      </c>
      <c r="Q1101" t="s">
        <v>3169</v>
      </c>
      <c r="R1101" t="s">
        <v>2537</v>
      </c>
      <c r="S1101" t="s">
        <v>4179</v>
      </c>
      <c r="T1101" t="s">
        <v>3239</v>
      </c>
      <c r="U1101" t="b">
        <v>0</v>
      </c>
      <c r="V1101" t="s">
        <v>2536</v>
      </c>
    </row>
    <row r="1102" spans="1:22" x14ac:dyDescent="0.25">
      <c r="A1102" t="s">
        <v>42</v>
      </c>
      <c r="B1102">
        <v>148</v>
      </c>
      <c r="C1102" t="s">
        <v>1041</v>
      </c>
      <c r="D1102" t="s">
        <v>1641</v>
      </c>
      <c r="E1102" t="s">
        <v>1040</v>
      </c>
      <c r="F1102">
        <v>80305</v>
      </c>
      <c r="G1102" t="s">
        <v>24</v>
      </c>
      <c r="H1102" t="s">
        <v>26</v>
      </c>
      <c r="I1102" t="s">
        <v>3167</v>
      </c>
      <c r="J1102" t="s">
        <v>1043</v>
      </c>
      <c r="K1102" t="s">
        <v>3193</v>
      </c>
      <c r="L1102" t="s">
        <v>1043</v>
      </c>
      <c r="M1102" t="s">
        <v>980</v>
      </c>
      <c r="N1102" t="s">
        <v>1042</v>
      </c>
      <c r="O1102" t="s">
        <v>1042</v>
      </c>
      <c r="P1102" t="s">
        <v>1089</v>
      </c>
      <c r="Q1102" t="s">
        <v>3169</v>
      </c>
      <c r="R1102" t="s">
        <v>2537</v>
      </c>
      <c r="S1102" t="s">
        <v>4179</v>
      </c>
      <c r="T1102" t="s">
        <v>3239</v>
      </c>
      <c r="U1102" t="b">
        <v>0</v>
      </c>
      <c r="V1102" t="s">
        <v>2536</v>
      </c>
    </row>
    <row r="1103" spans="1:22" x14ac:dyDescent="0.25">
      <c r="A1103" t="s">
        <v>42</v>
      </c>
      <c r="B1103">
        <v>148</v>
      </c>
      <c r="C1103" t="s">
        <v>1046</v>
      </c>
      <c r="D1103" t="s">
        <v>1643</v>
      </c>
      <c r="E1103" t="s">
        <v>1045</v>
      </c>
      <c r="F1103">
        <v>80382</v>
      </c>
      <c r="G1103" t="s">
        <v>24</v>
      </c>
      <c r="H1103" t="s">
        <v>26</v>
      </c>
      <c r="I1103" t="s">
        <v>3167</v>
      </c>
      <c r="J1103" t="s">
        <v>1048</v>
      </c>
      <c r="K1103" t="s">
        <v>3195</v>
      </c>
      <c r="L1103" t="s">
        <v>1048</v>
      </c>
      <c r="M1103" t="s">
        <v>1000</v>
      </c>
      <c r="N1103" t="s">
        <v>1047</v>
      </c>
      <c r="O1103" t="s">
        <v>1047</v>
      </c>
      <c r="P1103" t="s">
        <v>1089</v>
      </c>
      <c r="Q1103" t="s">
        <v>3169</v>
      </c>
      <c r="R1103" t="s">
        <v>2537</v>
      </c>
      <c r="S1103" t="s">
        <v>4179</v>
      </c>
      <c r="T1103" t="s">
        <v>3239</v>
      </c>
      <c r="U1103" t="b">
        <v>0</v>
      </c>
      <c r="V1103" t="s">
        <v>2536</v>
      </c>
    </row>
    <row r="1104" spans="1:22" x14ac:dyDescent="0.25">
      <c r="A1104" t="s">
        <v>42</v>
      </c>
      <c r="B1104">
        <v>148</v>
      </c>
      <c r="C1104" t="s">
        <v>1050</v>
      </c>
      <c r="D1104" t="s">
        <v>2798</v>
      </c>
      <c r="E1104" t="s">
        <v>1032</v>
      </c>
      <c r="F1104" t="s">
        <v>4182</v>
      </c>
      <c r="G1104" t="s">
        <v>24</v>
      </c>
      <c r="H1104" t="s">
        <v>26</v>
      </c>
      <c r="I1104" t="s">
        <v>3167</v>
      </c>
      <c r="J1104" t="s">
        <v>1048</v>
      </c>
      <c r="K1104" t="s">
        <v>3195</v>
      </c>
      <c r="L1104" t="s">
        <v>1048</v>
      </c>
      <c r="M1104" t="s">
        <v>1000</v>
      </c>
      <c r="N1104" t="s">
        <v>1047</v>
      </c>
      <c r="O1104" t="s">
        <v>1047</v>
      </c>
      <c r="P1104" t="s">
        <v>1089</v>
      </c>
      <c r="Q1104" t="s">
        <v>3169</v>
      </c>
      <c r="R1104" t="s">
        <v>2537</v>
      </c>
      <c r="S1104" t="s">
        <v>4179</v>
      </c>
      <c r="T1104" t="s">
        <v>1965</v>
      </c>
      <c r="U1104" t="b">
        <v>0</v>
      </c>
      <c r="V1104" t="s">
        <v>2795</v>
      </c>
    </row>
    <row r="1105" spans="1:22" x14ac:dyDescent="0.25">
      <c r="A1105" t="s">
        <v>42</v>
      </c>
      <c r="B1105">
        <v>148</v>
      </c>
      <c r="C1105" t="s">
        <v>1052</v>
      </c>
      <c r="D1105" t="s">
        <v>1644</v>
      </c>
      <c r="E1105" t="s">
        <v>1051</v>
      </c>
      <c r="F1105">
        <v>82026</v>
      </c>
      <c r="G1105" t="s">
        <v>24</v>
      </c>
      <c r="H1105" t="s">
        <v>26</v>
      </c>
      <c r="I1105" t="s">
        <v>3167</v>
      </c>
      <c r="J1105" t="s">
        <v>1055</v>
      </c>
      <c r="K1105" t="s">
        <v>3199</v>
      </c>
      <c r="L1105" t="s">
        <v>1055</v>
      </c>
      <c r="M1105" t="s">
        <v>980</v>
      </c>
      <c r="N1105" t="s">
        <v>1053</v>
      </c>
      <c r="O1105" t="s">
        <v>1053</v>
      </c>
      <c r="P1105" t="s">
        <v>1089</v>
      </c>
      <c r="Q1105" t="s">
        <v>3169</v>
      </c>
      <c r="R1105" t="s">
        <v>2537</v>
      </c>
      <c r="S1105" t="s">
        <v>4179</v>
      </c>
      <c r="T1105" t="s">
        <v>3239</v>
      </c>
      <c r="U1105" t="b">
        <v>0</v>
      </c>
      <c r="V1105" t="s">
        <v>2536</v>
      </c>
    </row>
    <row r="1106" spans="1:22" x14ac:dyDescent="0.25">
      <c r="A1106" t="s">
        <v>42</v>
      </c>
      <c r="B1106">
        <v>149</v>
      </c>
      <c r="C1106" t="s">
        <v>979</v>
      </c>
      <c r="D1106" t="s">
        <v>1646</v>
      </c>
      <c r="E1106" t="s">
        <v>978</v>
      </c>
      <c r="F1106">
        <v>-53247</v>
      </c>
      <c r="G1106" t="s">
        <v>24</v>
      </c>
      <c r="H1106" t="s">
        <v>26</v>
      </c>
      <c r="I1106" t="s">
        <v>3167</v>
      </c>
      <c r="J1106" t="s">
        <v>984</v>
      </c>
      <c r="K1106" t="s">
        <v>3168</v>
      </c>
      <c r="L1106" t="s">
        <v>984</v>
      </c>
      <c r="M1106" t="s">
        <v>980</v>
      </c>
      <c r="N1106" t="s">
        <v>981</v>
      </c>
      <c r="O1106" t="s">
        <v>981</v>
      </c>
      <c r="P1106" t="s">
        <v>1089</v>
      </c>
      <c r="Q1106" t="s">
        <v>3169</v>
      </c>
      <c r="R1106" t="s">
        <v>2553</v>
      </c>
      <c r="S1106" t="s">
        <v>4183</v>
      </c>
      <c r="T1106" t="s">
        <v>3239</v>
      </c>
      <c r="U1106" t="b">
        <v>0</v>
      </c>
      <c r="V1106" t="s">
        <v>2552</v>
      </c>
    </row>
    <row r="1107" spans="1:22" x14ac:dyDescent="0.25">
      <c r="A1107" t="s">
        <v>42</v>
      </c>
      <c r="B1107">
        <v>149</v>
      </c>
      <c r="C1107" t="s">
        <v>987</v>
      </c>
      <c r="D1107" t="s">
        <v>1647</v>
      </c>
      <c r="E1107" t="s">
        <v>986</v>
      </c>
      <c r="F1107">
        <v>-53418</v>
      </c>
      <c r="G1107" t="s">
        <v>24</v>
      </c>
      <c r="H1107" t="s">
        <v>26</v>
      </c>
      <c r="I1107" t="s">
        <v>3167</v>
      </c>
      <c r="J1107" t="s">
        <v>990</v>
      </c>
      <c r="K1107" t="s">
        <v>3171</v>
      </c>
      <c r="L1107" t="s">
        <v>990</v>
      </c>
      <c r="M1107" t="s">
        <v>980</v>
      </c>
      <c r="N1107" t="s">
        <v>988</v>
      </c>
      <c r="O1107" t="s">
        <v>988</v>
      </c>
      <c r="P1107" t="s">
        <v>1089</v>
      </c>
      <c r="Q1107" t="s">
        <v>3169</v>
      </c>
      <c r="R1107" t="s">
        <v>2553</v>
      </c>
      <c r="S1107" t="s">
        <v>4183</v>
      </c>
      <c r="T1107" t="s">
        <v>3239</v>
      </c>
      <c r="U1107" t="b">
        <v>0</v>
      </c>
      <c r="V1107" t="s">
        <v>2552</v>
      </c>
    </row>
    <row r="1108" spans="1:22" x14ac:dyDescent="0.25">
      <c r="A1108" t="s">
        <v>42</v>
      </c>
      <c r="B1108">
        <v>149</v>
      </c>
      <c r="C1108" t="s">
        <v>993</v>
      </c>
      <c r="D1108" t="s">
        <v>1648</v>
      </c>
      <c r="E1108" t="s">
        <v>992</v>
      </c>
      <c r="F1108">
        <v>-53494</v>
      </c>
      <c r="G1108" t="s">
        <v>24</v>
      </c>
      <c r="H1108" t="s">
        <v>26</v>
      </c>
      <c r="I1108" t="s">
        <v>3167</v>
      </c>
      <c r="J1108" t="s">
        <v>996</v>
      </c>
      <c r="K1108" t="s">
        <v>3173</v>
      </c>
      <c r="L1108" t="s">
        <v>996</v>
      </c>
      <c r="M1108" t="s">
        <v>980</v>
      </c>
      <c r="N1108" t="s">
        <v>994</v>
      </c>
      <c r="O1108" t="s">
        <v>994</v>
      </c>
      <c r="P1108" t="s">
        <v>1089</v>
      </c>
      <c r="Q1108" t="s">
        <v>3169</v>
      </c>
      <c r="R1108" t="s">
        <v>2553</v>
      </c>
      <c r="S1108" t="s">
        <v>4183</v>
      </c>
      <c r="T1108" t="s">
        <v>3239</v>
      </c>
      <c r="U1108" t="b">
        <v>0</v>
      </c>
      <c r="V1108" t="s">
        <v>2552</v>
      </c>
    </row>
    <row r="1109" spans="1:22" x14ac:dyDescent="0.25">
      <c r="A1109" t="s">
        <v>42</v>
      </c>
      <c r="B1109">
        <v>149</v>
      </c>
      <c r="C1109" t="s">
        <v>999</v>
      </c>
      <c r="D1109" t="s">
        <v>1649</v>
      </c>
      <c r="E1109" t="s">
        <v>998</v>
      </c>
      <c r="F1109">
        <v>-54535</v>
      </c>
      <c r="G1109" t="s">
        <v>24</v>
      </c>
      <c r="H1109" t="s">
        <v>26</v>
      </c>
      <c r="I1109" t="s">
        <v>3167</v>
      </c>
      <c r="J1109" t="s">
        <v>1003</v>
      </c>
      <c r="K1109" t="s">
        <v>3175</v>
      </c>
      <c r="L1109" t="s">
        <v>1003</v>
      </c>
      <c r="M1109" t="s">
        <v>1000</v>
      </c>
      <c r="N1109" t="s">
        <v>1001</v>
      </c>
      <c r="O1109" t="s">
        <v>1001</v>
      </c>
      <c r="P1109" t="s">
        <v>1089</v>
      </c>
      <c r="Q1109" t="s">
        <v>3169</v>
      </c>
      <c r="R1109" t="s">
        <v>2553</v>
      </c>
      <c r="S1109" t="s">
        <v>4183</v>
      </c>
      <c r="T1109" t="s">
        <v>3239</v>
      </c>
      <c r="U1109" t="b">
        <v>0</v>
      </c>
      <c r="V1109" t="s">
        <v>2552</v>
      </c>
    </row>
    <row r="1110" spans="1:22" x14ac:dyDescent="0.25">
      <c r="A1110" t="s">
        <v>42</v>
      </c>
      <c r="B1110">
        <v>149</v>
      </c>
      <c r="C1110" t="s">
        <v>1005</v>
      </c>
      <c r="D1110" t="s">
        <v>2800</v>
      </c>
      <c r="E1110" t="s">
        <v>982</v>
      </c>
      <c r="F1110" t="s">
        <v>4184</v>
      </c>
      <c r="G1110" t="s">
        <v>24</v>
      </c>
      <c r="H1110" t="s">
        <v>26</v>
      </c>
      <c r="I1110" t="s">
        <v>3167</v>
      </c>
      <c r="J1110" t="s">
        <v>1003</v>
      </c>
      <c r="K1110" t="s">
        <v>3175</v>
      </c>
      <c r="L1110" t="s">
        <v>1003</v>
      </c>
      <c r="M1110" t="s">
        <v>1000</v>
      </c>
      <c r="N1110" t="s">
        <v>1001</v>
      </c>
      <c r="O1110" t="s">
        <v>1001</v>
      </c>
      <c r="P1110" t="s">
        <v>1089</v>
      </c>
      <c r="Q1110" t="s">
        <v>3169</v>
      </c>
      <c r="R1110" t="s">
        <v>2553</v>
      </c>
      <c r="S1110" t="s">
        <v>4183</v>
      </c>
      <c r="T1110" t="s">
        <v>1965</v>
      </c>
      <c r="U1110" t="b">
        <v>0</v>
      </c>
      <c r="V1110" t="s">
        <v>2802</v>
      </c>
    </row>
    <row r="1111" spans="1:22" x14ac:dyDescent="0.25">
      <c r="A1111" t="s">
        <v>42</v>
      </c>
      <c r="B1111">
        <v>149</v>
      </c>
      <c r="C1111" t="s">
        <v>1007</v>
      </c>
      <c r="D1111" t="s">
        <v>1650</v>
      </c>
      <c r="E1111" t="s">
        <v>1006</v>
      </c>
      <c r="F1111">
        <v>-55016</v>
      </c>
      <c r="G1111" t="s">
        <v>24</v>
      </c>
      <c r="H1111" t="s">
        <v>26</v>
      </c>
      <c r="I1111" t="s">
        <v>3167</v>
      </c>
      <c r="J1111" t="s">
        <v>1967</v>
      </c>
      <c r="K1111" t="s">
        <v>3227</v>
      </c>
      <c r="L1111" t="s">
        <v>1967</v>
      </c>
      <c r="M1111" t="s">
        <v>980</v>
      </c>
      <c r="N1111" t="s">
        <v>1009</v>
      </c>
      <c r="O1111" t="s">
        <v>1009</v>
      </c>
      <c r="P1111" t="s">
        <v>1089</v>
      </c>
      <c r="Q1111" t="s">
        <v>3169</v>
      </c>
      <c r="R1111" t="s">
        <v>2553</v>
      </c>
      <c r="S1111" t="s">
        <v>4183</v>
      </c>
      <c r="T1111" t="s">
        <v>3239</v>
      </c>
      <c r="U1111" t="b">
        <v>0</v>
      </c>
      <c r="V1111" t="s">
        <v>2552</v>
      </c>
    </row>
    <row r="1112" spans="1:22" x14ac:dyDescent="0.25">
      <c r="A1112" t="s">
        <v>42</v>
      </c>
      <c r="B1112">
        <v>149</v>
      </c>
      <c r="C1112" t="s">
        <v>1014</v>
      </c>
      <c r="D1112" t="s">
        <v>1651</v>
      </c>
      <c r="E1112" t="s">
        <v>1013</v>
      </c>
      <c r="F1112">
        <v>-55106</v>
      </c>
      <c r="G1112" t="s">
        <v>24</v>
      </c>
      <c r="H1112" t="s">
        <v>26</v>
      </c>
      <c r="I1112" t="s">
        <v>3167</v>
      </c>
      <c r="J1112" t="s">
        <v>1016</v>
      </c>
      <c r="K1112" t="s">
        <v>3181</v>
      </c>
      <c r="L1112" t="s">
        <v>1016</v>
      </c>
      <c r="M1112" t="s">
        <v>980</v>
      </c>
      <c r="N1112" t="s">
        <v>1015</v>
      </c>
      <c r="O1112" t="s">
        <v>1015</v>
      </c>
      <c r="P1112" t="s">
        <v>1089</v>
      </c>
      <c r="Q1112" t="s">
        <v>3169</v>
      </c>
      <c r="R1112" t="s">
        <v>2553</v>
      </c>
      <c r="S1112" t="s">
        <v>4183</v>
      </c>
      <c r="T1112" t="s">
        <v>3239</v>
      </c>
      <c r="U1112" t="b">
        <v>0</v>
      </c>
      <c r="V1112" t="s">
        <v>2552</v>
      </c>
    </row>
    <row r="1113" spans="1:22" x14ac:dyDescent="0.25">
      <c r="A1113" t="s">
        <v>42</v>
      </c>
      <c r="B1113">
        <v>149</v>
      </c>
      <c r="C1113" t="s">
        <v>1019</v>
      </c>
      <c r="D1113" t="s">
        <v>1652</v>
      </c>
      <c r="E1113" t="s">
        <v>1018</v>
      </c>
      <c r="F1113">
        <v>-55362</v>
      </c>
      <c r="G1113" t="s">
        <v>24</v>
      </c>
      <c r="H1113" t="s">
        <v>26</v>
      </c>
      <c r="I1113" t="s">
        <v>3167</v>
      </c>
      <c r="J1113" t="s">
        <v>1021</v>
      </c>
      <c r="K1113" t="s">
        <v>3183</v>
      </c>
      <c r="L1113" t="s">
        <v>1021</v>
      </c>
      <c r="M1113" t="s">
        <v>980</v>
      </c>
      <c r="N1113" t="s">
        <v>1020</v>
      </c>
      <c r="O1113" t="s">
        <v>1020</v>
      </c>
      <c r="P1113" t="s">
        <v>1089</v>
      </c>
      <c r="Q1113" t="s">
        <v>3169</v>
      </c>
      <c r="R1113" t="s">
        <v>2553</v>
      </c>
      <c r="S1113" t="s">
        <v>4183</v>
      </c>
      <c r="T1113" t="s">
        <v>3239</v>
      </c>
      <c r="U1113" t="b">
        <v>0</v>
      </c>
      <c r="V1113" t="s">
        <v>2552</v>
      </c>
    </row>
    <row r="1114" spans="1:22" x14ac:dyDescent="0.25">
      <c r="A1114" t="s">
        <v>42</v>
      </c>
      <c r="B1114">
        <v>149</v>
      </c>
      <c r="C1114" t="s">
        <v>1024</v>
      </c>
      <c r="D1114" t="s">
        <v>1653</v>
      </c>
      <c r="E1114" t="s">
        <v>1023</v>
      </c>
      <c r="F1114">
        <v>-55916</v>
      </c>
      <c r="G1114" t="s">
        <v>24</v>
      </c>
      <c r="H1114" t="s">
        <v>26</v>
      </c>
      <c r="I1114" t="s">
        <v>3167</v>
      </c>
      <c r="J1114" t="s">
        <v>1026</v>
      </c>
      <c r="K1114" t="s">
        <v>3185</v>
      </c>
      <c r="L1114" t="s">
        <v>1026</v>
      </c>
      <c r="M1114" t="s">
        <v>1000</v>
      </c>
      <c r="N1114" t="s">
        <v>1025</v>
      </c>
      <c r="O1114" t="s">
        <v>1025</v>
      </c>
      <c r="P1114" t="s">
        <v>1089</v>
      </c>
      <c r="Q1114" t="s">
        <v>3169</v>
      </c>
      <c r="R1114" t="s">
        <v>2553</v>
      </c>
      <c r="S1114" t="s">
        <v>4183</v>
      </c>
      <c r="T1114" t="s">
        <v>3239</v>
      </c>
      <c r="U1114" t="b">
        <v>0</v>
      </c>
      <c r="V1114" t="s">
        <v>2552</v>
      </c>
    </row>
    <row r="1115" spans="1:22" x14ac:dyDescent="0.25">
      <c r="A1115" t="s">
        <v>42</v>
      </c>
      <c r="B1115">
        <v>149</v>
      </c>
      <c r="C1115" t="s">
        <v>1028</v>
      </c>
      <c r="D1115" t="s">
        <v>2803</v>
      </c>
      <c r="E1115" t="s">
        <v>1010</v>
      </c>
      <c r="F1115" t="s">
        <v>4185</v>
      </c>
      <c r="G1115" t="s">
        <v>24</v>
      </c>
      <c r="H1115" t="s">
        <v>26</v>
      </c>
      <c r="I1115" t="s">
        <v>3167</v>
      </c>
      <c r="J1115" t="s">
        <v>1026</v>
      </c>
      <c r="K1115" t="s">
        <v>3185</v>
      </c>
      <c r="L1115" t="s">
        <v>1026</v>
      </c>
      <c r="M1115" t="s">
        <v>1000</v>
      </c>
      <c r="N1115" t="s">
        <v>1025</v>
      </c>
      <c r="O1115" t="s">
        <v>1025</v>
      </c>
      <c r="P1115" t="s">
        <v>1089</v>
      </c>
      <c r="Q1115" t="s">
        <v>3169</v>
      </c>
      <c r="R1115" t="s">
        <v>2553</v>
      </c>
      <c r="S1115" t="s">
        <v>4183</v>
      </c>
      <c r="T1115" t="s">
        <v>1965</v>
      </c>
      <c r="U1115" t="b">
        <v>0</v>
      </c>
      <c r="V1115" t="s">
        <v>2802</v>
      </c>
    </row>
    <row r="1116" spans="1:22" x14ac:dyDescent="0.25">
      <c r="A1116" t="s">
        <v>42</v>
      </c>
      <c r="B1116">
        <v>149</v>
      </c>
      <c r="C1116" t="s">
        <v>1030</v>
      </c>
      <c r="D1116" t="s">
        <v>1654</v>
      </c>
      <c r="E1116" t="s">
        <v>1029</v>
      </c>
      <c r="F1116">
        <v>-56138</v>
      </c>
      <c r="G1116" t="s">
        <v>24</v>
      </c>
      <c r="H1116" t="s">
        <v>26</v>
      </c>
      <c r="I1116" t="s">
        <v>3167</v>
      </c>
      <c r="J1116" t="s">
        <v>1033</v>
      </c>
      <c r="K1116" t="s">
        <v>3189</v>
      </c>
      <c r="L1116" t="s">
        <v>1033</v>
      </c>
      <c r="M1116" t="s">
        <v>980</v>
      </c>
      <c r="N1116" t="s">
        <v>1031</v>
      </c>
      <c r="O1116" t="s">
        <v>1031</v>
      </c>
      <c r="P1116" t="s">
        <v>1089</v>
      </c>
      <c r="Q1116" t="s">
        <v>3169</v>
      </c>
      <c r="R1116" t="s">
        <v>2553</v>
      </c>
      <c r="S1116" t="s">
        <v>4183</v>
      </c>
      <c r="T1116" t="s">
        <v>3239</v>
      </c>
      <c r="U1116" t="b">
        <v>0</v>
      </c>
      <c r="V1116" t="s">
        <v>2552</v>
      </c>
    </row>
    <row r="1117" spans="1:22" x14ac:dyDescent="0.25">
      <c r="A1117" t="s">
        <v>42</v>
      </c>
      <c r="B1117">
        <v>149</v>
      </c>
      <c r="C1117" t="s">
        <v>1036</v>
      </c>
      <c r="D1117" t="s">
        <v>1655</v>
      </c>
      <c r="E1117" t="s">
        <v>1035</v>
      </c>
      <c r="F1117">
        <v>-56190</v>
      </c>
      <c r="G1117" t="s">
        <v>24</v>
      </c>
      <c r="H1117" t="s">
        <v>26</v>
      </c>
      <c r="I1117" t="s">
        <v>3167</v>
      </c>
      <c r="J1117" t="s">
        <v>1038</v>
      </c>
      <c r="K1117" t="s">
        <v>3191</v>
      </c>
      <c r="L1117" t="s">
        <v>1038</v>
      </c>
      <c r="M1117" t="s">
        <v>980</v>
      </c>
      <c r="N1117" t="s">
        <v>1037</v>
      </c>
      <c r="O1117" t="s">
        <v>1037</v>
      </c>
      <c r="P1117" t="s">
        <v>1089</v>
      </c>
      <c r="Q1117" t="s">
        <v>3169</v>
      </c>
      <c r="R1117" t="s">
        <v>2553</v>
      </c>
      <c r="S1117" t="s">
        <v>4183</v>
      </c>
      <c r="T1117" t="s">
        <v>3239</v>
      </c>
      <c r="U1117" t="b">
        <v>0</v>
      </c>
      <c r="V1117" t="s">
        <v>2552</v>
      </c>
    </row>
    <row r="1118" spans="1:22" x14ac:dyDescent="0.25">
      <c r="A1118" t="s">
        <v>42</v>
      </c>
      <c r="B1118">
        <v>149</v>
      </c>
      <c r="C1118" t="s">
        <v>1041</v>
      </c>
      <c r="D1118" t="s">
        <v>1656</v>
      </c>
      <c r="E1118" t="s">
        <v>1040</v>
      </c>
      <c r="F1118">
        <v>-56355</v>
      </c>
      <c r="G1118" t="s">
        <v>24</v>
      </c>
      <c r="H1118" t="s">
        <v>26</v>
      </c>
      <c r="I1118" t="s">
        <v>3167</v>
      </c>
      <c r="J1118" t="s">
        <v>1043</v>
      </c>
      <c r="K1118" t="s">
        <v>3193</v>
      </c>
      <c r="L1118" t="s">
        <v>1043</v>
      </c>
      <c r="M1118" t="s">
        <v>980</v>
      </c>
      <c r="N1118" t="s">
        <v>1042</v>
      </c>
      <c r="O1118" t="s">
        <v>1042</v>
      </c>
      <c r="P1118" t="s">
        <v>1089</v>
      </c>
      <c r="Q1118" t="s">
        <v>3169</v>
      </c>
      <c r="R1118" t="s">
        <v>2553</v>
      </c>
      <c r="S1118" t="s">
        <v>4183</v>
      </c>
      <c r="T1118" t="s">
        <v>3239</v>
      </c>
      <c r="U1118" t="b">
        <v>0</v>
      </c>
      <c r="V1118" t="s">
        <v>2552</v>
      </c>
    </row>
    <row r="1119" spans="1:22" x14ac:dyDescent="0.25">
      <c r="A1119" t="s">
        <v>42</v>
      </c>
      <c r="B1119">
        <v>149</v>
      </c>
      <c r="C1119" t="s">
        <v>1046</v>
      </c>
      <c r="D1119" t="s">
        <v>1657</v>
      </c>
      <c r="E1119" t="s">
        <v>1045</v>
      </c>
      <c r="F1119">
        <v>-56423</v>
      </c>
      <c r="G1119" t="s">
        <v>24</v>
      </c>
      <c r="H1119" t="s">
        <v>26</v>
      </c>
      <c r="I1119" t="s">
        <v>3167</v>
      </c>
      <c r="J1119" t="s">
        <v>1048</v>
      </c>
      <c r="K1119" t="s">
        <v>3195</v>
      </c>
      <c r="L1119" t="s">
        <v>1048</v>
      </c>
      <c r="M1119" t="s">
        <v>1000</v>
      </c>
      <c r="N1119" t="s">
        <v>1047</v>
      </c>
      <c r="O1119" t="s">
        <v>1047</v>
      </c>
      <c r="P1119" t="s">
        <v>1089</v>
      </c>
      <c r="Q1119" t="s">
        <v>3169</v>
      </c>
      <c r="R1119" t="s">
        <v>2553</v>
      </c>
      <c r="S1119" t="s">
        <v>4183</v>
      </c>
      <c r="T1119" t="s">
        <v>3239</v>
      </c>
      <c r="U1119" t="b">
        <v>0</v>
      </c>
      <c r="V1119" t="s">
        <v>2552</v>
      </c>
    </row>
    <row r="1120" spans="1:22" x14ac:dyDescent="0.25">
      <c r="A1120" t="s">
        <v>42</v>
      </c>
      <c r="B1120">
        <v>149</v>
      </c>
      <c r="C1120" t="s">
        <v>1050</v>
      </c>
      <c r="D1120" t="s">
        <v>2805</v>
      </c>
      <c r="E1120" t="s">
        <v>1032</v>
      </c>
      <c r="F1120" t="s">
        <v>4186</v>
      </c>
      <c r="G1120" t="s">
        <v>24</v>
      </c>
      <c r="H1120" t="s">
        <v>26</v>
      </c>
      <c r="I1120" t="s">
        <v>3167</v>
      </c>
      <c r="J1120" t="s">
        <v>1048</v>
      </c>
      <c r="K1120" t="s">
        <v>3195</v>
      </c>
      <c r="L1120" t="s">
        <v>1048</v>
      </c>
      <c r="M1120" t="s">
        <v>1000</v>
      </c>
      <c r="N1120" t="s">
        <v>1047</v>
      </c>
      <c r="O1120" t="s">
        <v>1047</v>
      </c>
      <c r="P1120" t="s">
        <v>1089</v>
      </c>
      <c r="Q1120" t="s">
        <v>3169</v>
      </c>
      <c r="R1120" t="s">
        <v>2553</v>
      </c>
      <c r="S1120" t="s">
        <v>4183</v>
      </c>
      <c r="T1120" t="s">
        <v>1965</v>
      </c>
      <c r="U1120" t="b">
        <v>0</v>
      </c>
      <c r="V1120" t="s">
        <v>2802</v>
      </c>
    </row>
    <row r="1121" spans="1:22" x14ac:dyDescent="0.25">
      <c r="A1121" t="s">
        <v>42</v>
      </c>
      <c r="B1121">
        <v>149</v>
      </c>
      <c r="C1121" t="s">
        <v>1052</v>
      </c>
      <c r="D1121" t="s">
        <v>1658</v>
      </c>
      <c r="E1121" t="s">
        <v>1051</v>
      </c>
      <c r="F1121">
        <v>-56747</v>
      </c>
      <c r="G1121" t="s">
        <v>24</v>
      </c>
      <c r="H1121" t="s">
        <v>26</v>
      </c>
      <c r="I1121" t="s">
        <v>3167</v>
      </c>
      <c r="J1121" t="s">
        <v>1055</v>
      </c>
      <c r="K1121" t="s">
        <v>3199</v>
      </c>
      <c r="L1121" t="s">
        <v>1055</v>
      </c>
      <c r="M1121" t="s">
        <v>980</v>
      </c>
      <c r="N1121" t="s">
        <v>1053</v>
      </c>
      <c r="O1121" t="s">
        <v>1053</v>
      </c>
      <c r="P1121" t="s">
        <v>1089</v>
      </c>
      <c r="Q1121" t="s">
        <v>3169</v>
      </c>
      <c r="R1121" t="s">
        <v>2553</v>
      </c>
      <c r="S1121" t="s">
        <v>4183</v>
      </c>
      <c r="T1121" t="s">
        <v>3239</v>
      </c>
      <c r="U1121" t="b">
        <v>0</v>
      </c>
      <c r="V1121" t="s">
        <v>2552</v>
      </c>
    </row>
    <row r="1122" spans="1:22" x14ac:dyDescent="0.25">
      <c r="A1122" t="s">
        <v>42</v>
      </c>
      <c r="B1122">
        <v>150</v>
      </c>
      <c r="C1122" t="s">
        <v>979</v>
      </c>
      <c r="D1122" t="s">
        <v>1659</v>
      </c>
      <c r="E1122" t="s">
        <v>978</v>
      </c>
      <c r="F1122">
        <v>-14322</v>
      </c>
      <c r="G1122" t="s">
        <v>24</v>
      </c>
      <c r="H1122" t="s">
        <v>26</v>
      </c>
      <c r="I1122" t="s">
        <v>3167</v>
      </c>
      <c r="J1122" t="s">
        <v>984</v>
      </c>
      <c r="K1122" t="s">
        <v>3168</v>
      </c>
      <c r="L1122" t="s">
        <v>984</v>
      </c>
      <c r="M1122" t="s">
        <v>980</v>
      </c>
      <c r="N1122" t="s">
        <v>981</v>
      </c>
      <c r="O1122" t="s">
        <v>981</v>
      </c>
      <c r="P1122" t="s">
        <v>1089</v>
      </c>
      <c r="Q1122" t="s">
        <v>3169</v>
      </c>
      <c r="R1122" t="s">
        <v>2569</v>
      </c>
      <c r="S1122" t="s">
        <v>4187</v>
      </c>
      <c r="T1122" t="s">
        <v>3239</v>
      </c>
      <c r="U1122" t="b">
        <v>0</v>
      </c>
      <c r="V1122" t="s">
        <v>2568</v>
      </c>
    </row>
    <row r="1123" spans="1:22" x14ac:dyDescent="0.25">
      <c r="A1123" t="s">
        <v>42</v>
      </c>
      <c r="B1123">
        <v>150</v>
      </c>
      <c r="C1123" t="s">
        <v>987</v>
      </c>
      <c r="D1123" t="s">
        <v>1661</v>
      </c>
      <c r="E1123" t="s">
        <v>986</v>
      </c>
      <c r="F1123">
        <v>-14017</v>
      </c>
      <c r="G1123" t="s">
        <v>24</v>
      </c>
      <c r="H1123" t="s">
        <v>26</v>
      </c>
      <c r="I1123" t="s">
        <v>3167</v>
      </c>
      <c r="J1123" t="s">
        <v>990</v>
      </c>
      <c r="K1123" t="s">
        <v>3171</v>
      </c>
      <c r="L1123" t="s">
        <v>990</v>
      </c>
      <c r="M1123" t="s">
        <v>980</v>
      </c>
      <c r="N1123" t="s">
        <v>988</v>
      </c>
      <c r="O1123" t="s">
        <v>988</v>
      </c>
      <c r="P1123" t="s">
        <v>1089</v>
      </c>
      <c r="Q1123" t="s">
        <v>3169</v>
      </c>
      <c r="R1123" t="s">
        <v>2569</v>
      </c>
      <c r="S1123" t="s">
        <v>4187</v>
      </c>
      <c r="T1123" t="s">
        <v>3239</v>
      </c>
      <c r="U1123" t="b">
        <v>0</v>
      </c>
      <c r="V1123" t="s">
        <v>2568</v>
      </c>
    </row>
    <row r="1124" spans="1:22" x14ac:dyDescent="0.25">
      <c r="A1124" t="s">
        <v>42</v>
      </c>
      <c r="B1124">
        <v>150</v>
      </c>
      <c r="C1124" t="s">
        <v>993</v>
      </c>
      <c r="D1124" t="s">
        <v>1663</v>
      </c>
      <c r="E1124" t="s">
        <v>992</v>
      </c>
      <c r="F1124">
        <v>-14815</v>
      </c>
      <c r="G1124" t="s">
        <v>24</v>
      </c>
      <c r="H1124" t="s">
        <v>26</v>
      </c>
      <c r="I1124" t="s">
        <v>3167</v>
      </c>
      <c r="J1124" t="s">
        <v>996</v>
      </c>
      <c r="K1124" t="s">
        <v>3173</v>
      </c>
      <c r="L1124" t="s">
        <v>996</v>
      </c>
      <c r="M1124" t="s">
        <v>980</v>
      </c>
      <c r="N1124" t="s">
        <v>994</v>
      </c>
      <c r="O1124" t="s">
        <v>994</v>
      </c>
      <c r="P1124" t="s">
        <v>1089</v>
      </c>
      <c r="Q1124" t="s">
        <v>3169</v>
      </c>
      <c r="R1124" t="s">
        <v>2569</v>
      </c>
      <c r="S1124" t="s">
        <v>4187</v>
      </c>
      <c r="T1124" t="s">
        <v>3239</v>
      </c>
      <c r="U1124" t="b">
        <v>0</v>
      </c>
      <c r="V1124" t="s">
        <v>2568</v>
      </c>
    </row>
    <row r="1125" spans="1:22" x14ac:dyDescent="0.25">
      <c r="A1125" t="s">
        <v>42</v>
      </c>
      <c r="B1125">
        <v>150</v>
      </c>
      <c r="C1125" t="s">
        <v>999</v>
      </c>
      <c r="D1125" t="s">
        <v>1665</v>
      </c>
      <c r="E1125" t="s">
        <v>998</v>
      </c>
      <c r="F1125">
        <v>-14275</v>
      </c>
      <c r="G1125" t="s">
        <v>24</v>
      </c>
      <c r="H1125" t="s">
        <v>26</v>
      </c>
      <c r="I1125" t="s">
        <v>3167</v>
      </c>
      <c r="J1125" t="s">
        <v>1003</v>
      </c>
      <c r="K1125" t="s">
        <v>3175</v>
      </c>
      <c r="L1125" t="s">
        <v>1003</v>
      </c>
      <c r="M1125" t="s">
        <v>1000</v>
      </c>
      <c r="N1125" t="s">
        <v>1001</v>
      </c>
      <c r="O1125" t="s">
        <v>1001</v>
      </c>
      <c r="P1125" t="s">
        <v>1089</v>
      </c>
      <c r="Q1125" t="s">
        <v>3169</v>
      </c>
      <c r="R1125" t="s">
        <v>2569</v>
      </c>
      <c r="S1125" t="s">
        <v>4187</v>
      </c>
      <c r="T1125" t="s">
        <v>3239</v>
      </c>
      <c r="U1125" t="b">
        <v>0</v>
      </c>
      <c r="V1125" t="s">
        <v>2568</v>
      </c>
    </row>
    <row r="1126" spans="1:22" x14ac:dyDescent="0.25">
      <c r="A1126" t="s">
        <v>42</v>
      </c>
      <c r="B1126">
        <v>150</v>
      </c>
      <c r="C1126" t="s">
        <v>1005</v>
      </c>
      <c r="D1126" t="s">
        <v>2807</v>
      </c>
      <c r="E1126" t="s">
        <v>982</v>
      </c>
      <c r="F1126" t="s">
        <v>4188</v>
      </c>
      <c r="G1126" t="s">
        <v>24</v>
      </c>
      <c r="H1126" t="s">
        <v>26</v>
      </c>
      <c r="I1126" t="s">
        <v>3167</v>
      </c>
      <c r="J1126" t="s">
        <v>1003</v>
      </c>
      <c r="K1126" t="s">
        <v>3175</v>
      </c>
      <c r="L1126" t="s">
        <v>1003</v>
      </c>
      <c r="M1126" t="s">
        <v>1000</v>
      </c>
      <c r="N1126" t="s">
        <v>1001</v>
      </c>
      <c r="O1126" t="s">
        <v>1001</v>
      </c>
      <c r="P1126" t="s">
        <v>1089</v>
      </c>
      <c r="Q1126" t="s">
        <v>3169</v>
      </c>
      <c r="R1126" t="s">
        <v>2569</v>
      </c>
      <c r="S1126" t="s">
        <v>4187</v>
      </c>
      <c r="T1126" t="s">
        <v>1965</v>
      </c>
      <c r="U1126" t="b">
        <v>0</v>
      </c>
      <c r="V1126" t="s">
        <v>2809</v>
      </c>
    </row>
    <row r="1127" spans="1:22" x14ac:dyDescent="0.25">
      <c r="A1127" t="s">
        <v>42</v>
      </c>
      <c r="B1127">
        <v>150</v>
      </c>
      <c r="C1127" t="s">
        <v>1007</v>
      </c>
      <c r="D1127" t="s">
        <v>1666</v>
      </c>
      <c r="E1127" t="s">
        <v>1006</v>
      </c>
      <c r="F1127">
        <v>-14504</v>
      </c>
      <c r="G1127" t="s">
        <v>24</v>
      </c>
      <c r="H1127" t="s">
        <v>26</v>
      </c>
      <c r="I1127" t="s">
        <v>3167</v>
      </c>
      <c r="J1127" t="s">
        <v>1967</v>
      </c>
      <c r="K1127" t="s">
        <v>3227</v>
      </c>
      <c r="L1127" t="s">
        <v>1967</v>
      </c>
      <c r="M1127" t="s">
        <v>980</v>
      </c>
      <c r="N1127" t="s">
        <v>1009</v>
      </c>
      <c r="O1127" t="s">
        <v>1009</v>
      </c>
      <c r="P1127" t="s">
        <v>1089</v>
      </c>
      <c r="Q1127" t="s">
        <v>3169</v>
      </c>
      <c r="R1127" t="s">
        <v>2569</v>
      </c>
      <c r="S1127" t="s">
        <v>4187</v>
      </c>
      <c r="T1127" t="s">
        <v>3239</v>
      </c>
      <c r="U1127" t="b">
        <v>0</v>
      </c>
      <c r="V1127" t="s">
        <v>2568</v>
      </c>
    </row>
    <row r="1128" spans="1:22" x14ac:dyDescent="0.25">
      <c r="A1128" t="s">
        <v>42</v>
      </c>
      <c r="B1128">
        <v>150</v>
      </c>
      <c r="C1128" t="s">
        <v>1014</v>
      </c>
      <c r="D1128" t="s">
        <v>1668</v>
      </c>
      <c r="E1128" t="s">
        <v>1013</v>
      </c>
      <c r="F1128">
        <v>-15458</v>
      </c>
      <c r="G1128" t="s">
        <v>24</v>
      </c>
      <c r="H1128" t="s">
        <v>26</v>
      </c>
      <c r="I1128" t="s">
        <v>3167</v>
      </c>
      <c r="J1128" t="s">
        <v>1016</v>
      </c>
      <c r="K1128" t="s">
        <v>3181</v>
      </c>
      <c r="L1128" t="s">
        <v>1016</v>
      </c>
      <c r="M1128" t="s">
        <v>980</v>
      </c>
      <c r="N1128" t="s">
        <v>1015</v>
      </c>
      <c r="O1128" t="s">
        <v>1015</v>
      </c>
      <c r="P1128" t="s">
        <v>1089</v>
      </c>
      <c r="Q1128" t="s">
        <v>3169</v>
      </c>
      <c r="R1128" t="s">
        <v>2569</v>
      </c>
      <c r="S1128" t="s">
        <v>4187</v>
      </c>
      <c r="T1128" t="s">
        <v>3239</v>
      </c>
      <c r="U1128" t="b">
        <v>0</v>
      </c>
      <c r="V1128" t="s">
        <v>2568</v>
      </c>
    </row>
    <row r="1129" spans="1:22" x14ac:dyDescent="0.25">
      <c r="A1129" t="s">
        <v>42</v>
      </c>
      <c r="B1129">
        <v>150</v>
      </c>
      <c r="C1129" t="s">
        <v>1019</v>
      </c>
      <c r="D1129" t="s">
        <v>1670</v>
      </c>
      <c r="E1129" t="s">
        <v>1018</v>
      </c>
      <c r="F1129">
        <v>-15536</v>
      </c>
      <c r="G1129" t="s">
        <v>24</v>
      </c>
      <c r="H1129" t="s">
        <v>26</v>
      </c>
      <c r="I1129" t="s">
        <v>3167</v>
      </c>
      <c r="J1129" t="s">
        <v>1021</v>
      </c>
      <c r="K1129" t="s">
        <v>3183</v>
      </c>
      <c r="L1129" t="s">
        <v>1021</v>
      </c>
      <c r="M1129" t="s">
        <v>980</v>
      </c>
      <c r="N1129" t="s">
        <v>1020</v>
      </c>
      <c r="O1129" t="s">
        <v>1020</v>
      </c>
      <c r="P1129" t="s">
        <v>1089</v>
      </c>
      <c r="Q1129" t="s">
        <v>3169</v>
      </c>
      <c r="R1129" t="s">
        <v>2569</v>
      </c>
      <c r="S1129" t="s">
        <v>4187</v>
      </c>
      <c r="T1129" t="s">
        <v>3239</v>
      </c>
      <c r="U1129" t="b">
        <v>0</v>
      </c>
      <c r="V1129" t="s">
        <v>2568</v>
      </c>
    </row>
    <row r="1130" spans="1:22" x14ac:dyDescent="0.25">
      <c r="A1130" t="s">
        <v>42</v>
      </c>
      <c r="B1130">
        <v>150</v>
      </c>
      <c r="C1130" t="s">
        <v>1024</v>
      </c>
      <c r="D1130" t="s">
        <v>1672</v>
      </c>
      <c r="E1130" t="s">
        <v>1023</v>
      </c>
      <c r="F1130">
        <v>-16843</v>
      </c>
      <c r="G1130" t="s">
        <v>24</v>
      </c>
      <c r="H1130" t="s">
        <v>26</v>
      </c>
      <c r="I1130" t="s">
        <v>3167</v>
      </c>
      <c r="J1130" t="s">
        <v>1026</v>
      </c>
      <c r="K1130" t="s">
        <v>3185</v>
      </c>
      <c r="L1130" t="s">
        <v>1026</v>
      </c>
      <c r="M1130" t="s">
        <v>1000</v>
      </c>
      <c r="N1130" t="s">
        <v>1025</v>
      </c>
      <c r="O1130" t="s">
        <v>1025</v>
      </c>
      <c r="P1130" t="s">
        <v>1089</v>
      </c>
      <c r="Q1130" t="s">
        <v>3169</v>
      </c>
      <c r="R1130" t="s">
        <v>2569</v>
      </c>
      <c r="S1130" t="s">
        <v>4187</v>
      </c>
      <c r="T1130" t="s">
        <v>3239</v>
      </c>
      <c r="U1130" t="b">
        <v>0</v>
      </c>
      <c r="V1130" t="s">
        <v>2568</v>
      </c>
    </row>
    <row r="1131" spans="1:22" x14ac:dyDescent="0.25">
      <c r="A1131" t="s">
        <v>42</v>
      </c>
      <c r="B1131">
        <v>150</v>
      </c>
      <c r="C1131" t="s">
        <v>1028</v>
      </c>
      <c r="D1131" t="s">
        <v>2810</v>
      </c>
      <c r="E1131" t="s">
        <v>1010</v>
      </c>
      <c r="F1131" t="s">
        <v>4189</v>
      </c>
      <c r="G1131" t="s">
        <v>24</v>
      </c>
      <c r="H1131" t="s">
        <v>26</v>
      </c>
      <c r="I1131" t="s">
        <v>3167</v>
      </c>
      <c r="J1131" t="s">
        <v>1026</v>
      </c>
      <c r="K1131" t="s">
        <v>3185</v>
      </c>
      <c r="L1131" t="s">
        <v>1026</v>
      </c>
      <c r="M1131" t="s">
        <v>1000</v>
      </c>
      <c r="N1131" t="s">
        <v>1025</v>
      </c>
      <c r="O1131" t="s">
        <v>1025</v>
      </c>
      <c r="P1131" t="s">
        <v>1089</v>
      </c>
      <c r="Q1131" t="s">
        <v>3169</v>
      </c>
      <c r="R1131" t="s">
        <v>2569</v>
      </c>
      <c r="S1131" t="s">
        <v>4187</v>
      </c>
      <c r="T1131" t="s">
        <v>1965</v>
      </c>
      <c r="U1131" t="b">
        <v>0</v>
      </c>
      <c r="V1131" t="s">
        <v>2809</v>
      </c>
    </row>
    <row r="1132" spans="1:22" x14ac:dyDescent="0.25">
      <c r="A1132" t="s">
        <v>42</v>
      </c>
      <c r="B1132">
        <v>150</v>
      </c>
      <c r="C1132" t="s">
        <v>1030</v>
      </c>
      <c r="D1132" t="s">
        <v>1674</v>
      </c>
      <c r="E1132" t="s">
        <v>1029</v>
      </c>
      <c r="F1132">
        <v>-16482</v>
      </c>
      <c r="G1132" t="s">
        <v>24</v>
      </c>
      <c r="H1132" t="s">
        <v>26</v>
      </c>
      <c r="I1132" t="s">
        <v>3167</v>
      </c>
      <c r="J1132" t="s">
        <v>1033</v>
      </c>
      <c r="K1132" t="s">
        <v>3189</v>
      </c>
      <c r="L1132" t="s">
        <v>1033</v>
      </c>
      <c r="M1132" t="s">
        <v>980</v>
      </c>
      <c r="N1132" t="s">
        <v>1031</v>
      </c>
      <c r="O1132" t="s">
        <v>1031</v>
      </c>
      <c r="P1132" t="s">
        <v>1089</v>
      </c>
      <c r="Q1132" t="s">
        <v>3169</v>
      </c>
      <c r="R1132" t="s">
        <v>2569</v>
      </c>
      <c r="S1132" t="s">
        <v>4187</v>
      </c>
      <c r="T1132" t="s">
        <v>3239</v>
      </c>
      <c r="U1132" t="b">
        <v>0</v>
      </c>
      <c r="V1132" t="s">
        <v>2568</v>
      </c>
    </row>
    <row r="1133" spans="1:22" x14ac:dyDescent="0.25">
      <c r="A1133" t="s">
        <v>42</v>
      </c>
      <c r="B1133">
        <v>150</v>
      </c>
      <c r="C1133" t="s">
        <v>1036</v>
      </c>
      <c r="D1133" t="s">
        <v>1676</v>
      </c>
      <c r="E1133" t="s">
        <v>1035</v>
      </c>
      <c r="F1133">
        <v>-15758</v>
      </c>
      <c r="G1133" t="s">
        <v>24</v>
      </c>
      <c r="H1133" t="s">
        <v>26</v>
      </c>
      <c r="I1133" t="s">
        <v>3167</v>
      </c>
      <c r="J1133" t="s">
        <v>1038</v>
      </c>
      <c r="K1133" t="s">
        <v>3191</v>
      </c>
      <c r="L1133" t="s">
        <v>1038</v>
      </c>
      <c r="M1133" t="s">
        <v>980</v>
      </c>
      <c r="N1133" t="s">
        <v>1037</v>
      </c>
      <c r="O1133" t="s">
        <v>1037</v>
      </c>
      <c r="P1133" t="s">
        <v>1089</v>
      </c>
      <c r="Q1133" t="s">
        <v>3169</v>
      </c>
      <c r="R1133" t="s">
        <v>2569</v>
      </c>
      <c r="S1133" t="s">
        <v>4187</v>
      </c>
      <c r="T1133" t="s">
        <v>3239</v>
      </c>
      <c r="U1133" t="b">
        <v>0</v>
      </c>
      <c r="V1133" t="s">
        <v>2568</v>
      </c>
    </row>
    <row r="1134" spans="1:22" x14ac:dyDescent="0.25">
      <c r="A1134" t="s">
        <v>42</v>
      </c>
      <c r="B1134">
        <v>150</v>
      </c>
      <c r="C1134" t="s">
        <v>1041</v>
      </c>
      <c r="D1134" t="s">
        <v>1678</v>
      </c>
      <c r="E1134" t="s">
        <v>1040</v>
      </c>
      <c r="F1134">
        <v>-14952</v>
      </c>
      <c r="G1134" t="s">
        <v>24</v>
      </c>
      <c r="H1134" t="s">
        <v>26</v>
      </c>
      <c r="I1134" t="s">
        <v>3167</v>
      </c>
      <c r="J1134" t="s">
        <v>1043</v>
      </c>
      <c r="K1134" t="s">
        <v>3193</v>
      </c>
      <c r="L1134" t="s">
        <v>1043</v>
      </c>
      <c r="M1134" t="s">
        <v>980</v>
      </c>
      <c r="N1134" t="s">
        <v>1042</v>
      </c>
      <c r="O1134" t="s">
        <v>1042</v>
      </c>
      <c r="P1134" t="s">
        <v>1089</v>
      </c>
      <c r="Q1134" t="s">
        <v>3169</v>
      </c>
      <c r="R1134" t="s">
        <v>2569</v>
      </c>
      <c r="S1134" t="s">
        <v>4187</v>
      </c>
      <c r="T1134" t="s">
        <v>3239</v>
      </c>
      <c r="U1134" t="b">
        <v>0</v>
      </c>
      <c r="V1134" t="s">
        <v>2568</v>
      </c>
    </row>
    <row r="1135" spans="1:22" x14ac:dyDescent="0.25">
      <c r="A1135" t="s">
        <v>42</v>
      </c>
      <c r="B1135">
        <v>150</v>
      </c>
      <c r="C1135" t="s">
        <v>1046</v>
      </c>
      <c r="D1135" t="s">
        <v>1680</v>
      </c>
      <c r="E1135" t="s">
        <v>1045</v>
      </c>
      <c r="F1135">
        <v>-14131</v>
      </c>
      <c r="G1135" t="s">
        <v>24</v>
      </c>
      <c r="H1135" t="s">
        <v>26</v>
      </c>
      <c r="I1135" t="s">
        <v>3167</v>
      </c>
      <c r="J1135" t="s">
        <v>1048</v>
      </c>
      <c r="K1135" t="s">
        <v>3195</v>
      </c>
      <c r="L1135" t="s">
        <v>1048</v>
      </c>
      <c r="M1135" t="s">
        <v>1000</v>
      </c>
      <c r="N1135" t="s">
        <v>1047</v>
      </c>
      <c r="O1135" t="s">
        <v>1047</v>
      </c>
      <c r="P1135" t="s">
        <v>1089</v>
      </c>
      <c r="Q1135" t="s">
        <v>3169</v>
      </c>
      <c r="R1135" t="s">
        <v>2569</v>
      </c>
      <c r="S1135" t="s">
        <v>4187</v>
      </c>
      <c r="T1135" t="s">
        <v>3239</v>
      </c>
      <c r="U1135" t="b">
        <v>0</v>
      </c>
      <c r="V1135" t="s">
        <v>2568</v>
      </c>
    </row>
    <row r="1136" spans="1:22" x14ac:dyDescent="0.25">
      <c r="A1136" t="s">
        <v>42</v>
      </c>
      <c r="B1136">
        <v>150</v>
      </c>
      <c r="C1136" t="s">
        <v>1050</v>
      </c>
      <c r="D1136" t="s">
        <v>2812</v>
      </c>
      <c r="E1136" t="s">
        <v>1032</v>
      </c>
      <c r="F1136" t="s">
        <v>4190</v>
      </c>
      <c r="G1136" t="s">
        <v>24</v>
      </c>
      <c r="H1136" t="s">
        <v>26</v>
      </c>
      <c r="I1136" t="s">
        <v>3167</v>
      </c>
      <c r="J1136" t="s">
        <v>1048</v>
      </c>
      <c r="K1136" t="s">
        <v>3195</v>
      </c>
      <c r="L1136" t="s">
        <v>1048</v>
      </c>
      <c r="M1136" t="s">
        <v>1000</v>
      </c>
      <c r="N1136" t="s">
        <v>1047</v>
      </c>
      <c r="O1136" t="s">
        <v>1047</v>
      </c>
      <c r="P1136" t="s">
        <v>1089</v>
      </c>
      <c r="Q1136" t="s">
        <v>3169</v>
      </c>
      <c r="R1136" t="s">
        <v>2569</v>
      </c>
      <c r="S1136" t="s">
        <v>4187</v>
      </c>
      <c r="T1136" t="s">
        <v>1965</v>
      </c>
      <c r="U1136" t="b">
        <v>0</v>
      </c>
      <c r="V1136" t="s">
        <v>2809</v>
      </c>
    </row>
    <row r="1137" spans="1:22" x14ac:dyDescent="0.25">
      <c r="A1137" t="s">
        <v>42</v>
      </c>
      <c r="B1137">
        <v>150</v>
      </c>
      <c r="C1137" t="s">
        <v>1052</v>
      </c>
      <c r="D1137" t="s">
        <v>1681</v>
      </c>
      <c r="E1137" t="s">
        <v>1051</v>
      </c>
      <c r="F1137">
        <v>-14040</v>
      </c>
      <c r="G1137" t="s">
        <v>24</v>
      </c>
      <c r="H1137" t="s">
        <v>26</v>
      </c>
      <c r="I1137" t="s">
        <v>3167</v>
      </c>
      <c r="J1137" t="s">
        <v>1055</v>
      </c>
      <c r="K1137" t="s">
        <v>3199</v>
      </c>
      <c r="L1137" t="s">
        <v>1055</v>
      </c>
      <c r="M1137" t="s">
        <v>980</v>
      </c>
      <c r="N1137" t="s">
        <v>1053</v>
      </c>
      <c r="O1137" t="s">
        <v>1053</v>
      </c>
      <c r="P1137" t="s">
        <v>1089</v>
      </c>
      <c r="Q1137" t="s">
        <v>3169</v>
      </c>
      <c r="R1137" t="s">
        <v>2569</v>
      </c>
      <c r="S1137" t="s">
        <v>4187</v>
      </c>
      <c r="T1137" t="s">
        <v>3239</v>
      </c>
      <c r="U1137" t="b">
        <v>0</v>
      </c>
      <c r="V1137" t="s">
        <v>2568</v>
      </c>
    </row>
    <row r="1138" spans="1:22" x14ac:dyDescent="0.25">
      <c r="A1138" t="s">
        <v>42</v>
      </c>
      <c r="B1138">
        <v>151</v>
      </c>
      <c r="C1138" t="s">
        <v>979</v>
      </c>
      <c r="D1138" t="s">
        <v>2983</v>
      </c>
      <c r="E1138" t="s">
        <v>978</v>
      </c>
      <c r="F1138" t="s">
        <v>4191</v>
      </c>
      <c r="G1138" t="s">
        <v>24</v>
      </c>
      <c r="H1138" t="s">
        <v>26</v>
      </c>
      <c r="I1138" t="s">
        <v>3167</v>
      </c>
      <c r="J1138" t="s">
        <v>984</v>
      </c>
      <c r="K1138" t="s">
        <v>3168</v>
      </c>
      <c r="L1138" t="s">
        <v>984</v>
      </c>
      <c r="M1138" t="s">
        <v>980</v>
      </c>
      <c r="N1138" t="s">
        <v>981</v>
      </c>
      <c r="O1138" t="s">
        <v>981</v>
      </c>
      <c r="P1138" t="s">
        <v>1089</v>
      </c>
      <c r="Q1138" t="s">
        <v>3169</v>
      </c>
      <c r="R1138" t="s">
        <v>446</v>
      </c>
      <c r="S1138" t="s">
        <v>2984</v>
      </c>
      <c r="T1138" t="s">
        <v>1965</v>
      </c>
      <c r="U1138" t="b">
        <v>0</v>
      </c>
      <c r="V1138" t="s">
        <v>2160</v>
      </c>
    </row>
    <row r="1139" spans="1:22" x14ac:dyDescent="0.25">
      <c r="A1139" t="s">
        <v>42</v>
      </c>
      <c r="B1139">
        <v>151</v>
      </c>
      <c r="C1139" t="s">
        <v>987</v>
      </c>
      <c r="D1139" t="s">
        <v>2996</v>
      </c>
      <c r="E1139" t="s">
        <v>986</v>
      </c>
      <c r="F1139" t="s">
        <v>4192</v>
      </c>
      <c r="G1139" t="s">
        <v>24</v>
      </c>
      <c r="H1139" t="s">
        <v>26</v>
      </c>
      <c r="I1139" t="s">
        <v>3167</v>
      </c>
      <c r="J1139" t="s">
        <v>990</v>
      </c>
      <c r="K1139" t="s">
        <v>3171</v>
      </c>
      <c r="L1139" t="s">
        <v>990</v>
      </c>
      <c r="M1139" t="s">
        <v>980</v>
      </c>
      <c r="N1139" t="s">
        <v>988</v>
      </c>
      <c r="O1139" t="s">
        <v>988</v>
      </c>
      <c r="P1139" t="s">
        <v>1089</v>
      </c>
      <c r="Q1139" t="s">
        <v>3169</v>
      </c>
      <c r="R1139" t="s">
        <v>446</v>
      </c>
      <c r="S1139" t="s">
        <v>2984</v>
      </c>
      <c r="T1139" t="s">
        <v>1965</v>
      </c>
      <c r="U1139" t="b">
        <v>0</v>
      </c>
      <c r="V1139" t="s">
        <v>2160</v>
      </c>
    </row>
    <row r="1140" spans="1:22" x14ac:dyDescent="0.25">
      <c r="A1140" t="s">
        <v>42</v>
      </c>
      <c r="B1140">
        <v>151</v>
      </c>
      <c r="C1140" t="s">
        <v>993</v>
      </c>
      <c r="D1140" t="s">
        <v>3005</v>
      </c>
      <c r="E1140" t="s">
        <v>992</v>
      </c>
      <c r="F1140" t="s">
        <v>4193</v>
      </c>
      <c r="G1140" t="s">
        <v>24</v>
      </c>
      <c r="H1140" t="s">
        <v>26</v>
      </c>
      <c r="I1140" t="s">
        <v>3167</v>
      </c>
      <c r="J1140" t="s">
        <v>996</v>
      </c>
      <c r="K1140" t="s">
        <v>3173</v>
      </c>
      <c r="L1140" t="s">
        <v>996</v>
      </c>
      <c r="M1140" t="s">
        <v>980</v>
      </c>
      <c r="N1140" t="s">
        <v>994</v>
      </c>
      <c r="O1140" t="s">
        <v>994</v>
      </c>
      <c r="P1140" t="s">
        <v>1089</v>
      </c>
      <c r="Q1140" t="s">
        <v>3169</v>
      </c>
      <c r="R1140" t="s">
        <v>446</v>
      </c>
      <c r="S1140" t="s">
        <v>2984</v>
      </c>
      <c r="T1140" t="s">
        <v>1965</v>
      </c>
      <c r="U1140" t="b">
        <v>0</v>
      </c>
      <c r="V1140" t="s">
        <v>2160</v>
      </c>
    </row>
    <row r="1141" spans="1:22" x14ac:dyDescent="0.25">
      <c r="A1141" t="s">
        <v>42</v>
      </c>
      <c r="B1141">
        <v>151</v>
      </c>
      <c r="C1141" t="s">
        <v>999</v>
      </c>
      <c r="D1141" t="s">
        <v>3014</v>
      </c>
      <c r="E1141" t="s">
        <v>998</v>
      </c>
      <c r="F1141" t="s">
        <v>4194</v>
      </c>
      <c r="G1141" t="s">
        <v>24</v>
      </c>
      <c r="H1141" t="s">
        <v>26</v>
      </c>
      <c r="I1141" t="s">
        <v>3167</v>
      </c>
      <c r="J1141" t="s">
        <v>1003</v>
      </c>
      <c r="K1141" t="s">
        <v>3175</v>
      </c>
      <c r="L1141" t="s">
        <v>1003</v>
      </c>
      <c r="M1141" t="s">
        <v>1000</v>
      </c>
      <c r="N1141" t="s">
        <v>1001</v>
      </c>
      <c r="O1141" t="s">
        <v>1001</v>
      </c>
      <c r="P1141" t="s">
        <v>1089</v>
      </c>
      <c r="Q1141" t="s">
        <v>3169</v>
      </c>
      <c r="R1141" t="s">
        <v>446</v>
      </c>
      <c r="S1141" t="s">
        <v>2984</v>
      </c>
      <c r="T1141" t="s">
        <v>1965</v>
      </c>
      <c r="U1141" t="b">
        <v>0</v>
      </c>
      <c r="V1141" t="s">
        <v>2160</v>
      </c>
    </row>
    <row r="1142" spans="1:22" x14ac:dyDescent="0.25">
      <c r="A1142" t="s">
        <v>42</v>
      </c>
      <c r="B1142">
        <v>151</v>
      </c>
      <c r="C1142" t="s">
        <v>1005</v>
      </c>
      <c r="D1142" t="s">
        <v>3023</v>
      </c>
      <c r="E1142" t="s">
        <v>982</v>
      </c>
      <c r="F1142" t="s">
        <v>4194</v>
      </c>
      <c r="G1142" t="s">
        <v>24</v>
      </c>
      <c r="H1142" t="s">
        <v>26</v>
      </c>
      <c r="I1142" t="s">
        <v>3167</v>
      </c>
      <c r="J1142" t="s">
        <v>1003</v>
      </c>
      <c r="K1142" t="s">
        <v>3175</v>
      </c>
      <c r="L1142" t="s">
        <v>1003</v>
      </c>
      <c r="M1142" t="s">
        <v>1000</v>
      </c>
      <c r="N1142" t="s">
        <v>1001</v>
      </c>
      <c r="O1142" t="s">
        <v>1001</v>
      </c>
      <c r="P1142" t="s">
        <v>1089</v>
      </c>
      <c r="Q1142" t="s">
        <v>3169</v>
      </c>
      <c r="R1142" t="s">
        <v>446</v>
      </c>
      <c r="S1142" t="s">
        <v>2984</v>
      </c>
      <c r="T1142" t="s">
        <v>1965</v>
      </c>
      <c r="U1142" t="b">
        <v>0</v>
      </c>
      <c r="V1142" t="s">
        <v>2160</v>
      </c>
    </row>
    <row r="1143" spans="1:22" x14ac:dyDescent="0.25">
      <c r="A1143" t="s">
        <v>42</v>
      </c>
      <c r="B1143">
        <v>151</v>
      </c>
      <c r="C1143" t="s">
        <v>1007</v>
      </c>
      <c r="D1143" t="s">
        <v>3032</v>
      </c>
      <c r="E1143" t="s">
        <v>1006</v>
      </c>
      <c r="F1143" t="s">
        <v>4195</v>
      </c>
      <c r="G1143" t="s">
        <v>24</v>
      </c>
      <c r="H1143" t="s">
        <v>26</v>
      </c>
      <c r="I1143" t="s">
        <v>3167</v>
      </c>
      <c r="J1143" t="s">
        <v>1967</v>
      </c>
      <c r="K1143" t="s">
        <v>3227</v>
      </c>
      <c r="L1143" t="s">
        <v>1967</v>
      </c>
      <c r="M1143" t="s">
        <v>1008</v>
      </c>
      <c r="N1143" t="s">
        <v>1009</v>
      </c>
      <c r="O1143" t="s">
        <v>1009</v>
      </c>
      <c r="P1143" t="s">
        <v>1089</v>
      </c>
      <c r="Q1143" t="s">
        <v>3169</v>
      </c>
      <c r="R1143" t="s">
        <v>446</v>
      </c>
      <c r="S1143" t="s">
        <v>2984</v>
      </c>
      <c r="T1143" t="s">
        <v>1965</v>
      </c>
      <c r="U1143" t="b">
        <v>0</v>
      </c>
      <c r="V1143" t="s">
        <v>2160</v>
      </c>
    </row>
    <row r="1144" spans="1:22" x14ac:dyDescent="0.25">
      <c r="A1144" t="s">
        <v>42</v>
      </c>
      <c r="B1144">
        <v>151</v>
      </c>
      <c r="C1144" t="s">
        <v>1014</v>
      </c>
      <c r="D1144" t="s">
        <v>3041</v>
      </c>
      <c r="E1144" t="s">
        <v>1013</v>
      </c>
      <c r="F1144" t="s">
        <v>4196</v>
      </c>
      <c r="G1144" t="s">
        <v>24</v>
      </c>
      <c r="H1144" t="s">
        <v>26</v>
      </c>
      <c r="I1144" t="s">
        <v>3167</v>
      </c>
      <c r="J1144" t="s">
        <v>1016</v>
      </c>
      <c r="K1144" t="s">
        <v>3181</v>
      </c>
      <c r="L1144" t="s">
        <v>1016</v>
      </c>
      <c r="M1144" t="s">
        <v>980</v>
      </c>
      <c r="N1144" t="s">
        <v>1015</v>
      </c>
      <c r="O1144" t="s">
        <v>1015</v>
      </c>
      <c r="P1144" t="s">
        <v>1089</v>
      </c>
      <c r="Q1144" t="s">
        <v>3169</v>
      </c>
      <c r="R1144" t="s">
        <v>446</v>
      </c>
      <c r="S1144" t="s">
        <v>2984</v>
      </c>
      <c r="T1144" t="s">
        <v>1965</v>
      </c>
      <c r="U1144" t="b">
        <v>0</v>
      </c>
      <c r="V1144" t="s">
        <v>2160</v>
      </c>
    </row>
    <row r="1145" spans="1:22" x14ac:dyDescent="0.25">
      <c r="A1145" t="s">
        <v>42</v>
      </c>
      <c r="B1145">
        <v>151</v>
      </c>
      <c r="C1145" t="s">
        <v>1019</v>
      </c>
      <c r="D1145" t="s">
        <v>3050</v>
      </c>
      <c r="E1145" t="s">
        <v>1018</v>
      </c>
      <c r="F1145" t="s">
        <v>4197</v>
      </c>
      <c r="G1145" t="s">
        <v>24</v>
      </c>
      <c r="H1145" t="s">
        <v>26</v>
      </c>
      <c r="I1145" t="s">
        <v>3167</v>
      </c>
      <c r="J1145" t="s">
        <v>1021</v>
      </c>
      <c r="K1145" t="s">
        <v>3183</v>
      </c>
      <c r="L1145" t="s">
        <v>1021</v>
      </c>
      <c r="M1145" t="s">
        <v>980</v>
      </c>
      <c r="N1145" t="s">
        <v>1020</v>
      </c>
      <c r="O1145" t="s">
        <v>1020</v>
      </c>
      <c r="P1145" t="s">
        <v>1089</v>
      </c>
      <c r="Q1145" t="s">
        <v>3169</v>
      </c>
      <c r="R1145" t="s">
        <v>446</v>
      </c>
      <c r="S1145" t="s">
        <v>2984</v>
      </c>
      <c r="T1145" t="s">
        <v>1965</v>
      </c>
      <c r="U1145" t="b">
        <v>0</v>
      </c>
      <c r="V1145" t="s">
        <v>2160</v>
      </c>
    </row>
    <row r="1146" spans="1:22" x14ac:dyDescent="0.25">
      <c r="A1146" t="s">
        <v>42</v>
      </c>
      <c r="B1146">
        <v>151</v>
      </c>
      <c r="C1146" t="s">
        <v>1024</v>
      </c>
      <c r="D1146" t="s">
        <v>3059</v>
      </c>
      <c r="E1146" t="s">
        <v>1023</v>
      </c>
      <c r="F1146" t="s">
        <v>4198</v>
      </c>
      <c r="G1146" t="s">
        <v>24</v>
      </c>
      <c r="H1146" t="s">
        <v>26</v>
      </c>
      <c r="I1146" t="s">
        <v>3167</v>
      </c>
      <c r="J1146" t="s">
        <v>1026</v>
      </c>
      <c r="K1146" t="s">
        <v>3185</v>
      </c>
      <c r="L1146" t="s">
        <v>1026</v>
      </c>
      <c r="M1146" t="s">
        <v>1000</v>
      </c>
      <c r="N1146" t="s">
        <v>1025</v>
      </c>
      <c r="O1146" t="s">
        <v>1025</v>
      </c>
      <c r="P1146" t="s">
        <v>1089</v>
      </c>
      <c r="Q1146" t="s">
        <v>3169</v>
      </c>
      <c r="R1146" t="s">
        <v>446</v>
      </c>
      <c r="S1146" t="s">
        <v>2984</v>
      </c>
      <c r="T1146" t="s">
        <v>1965</v>
      </c>
      <c r="U1146" t="b">
        <v>0</v>
      </c>
      <c r="V1146" t="s">
        <v>2160</v>
      </c>
    </row>
    <row r="1147" spans="1:22" x14ac:dyDescent="0.25">
      <c r="A1147" t="s">
        <v>42</v>
      </c>
      <c r="B1147">
        <v>151</v>
      </c>
      <c r="C1147" t="s">
        <v>1028</v>
      </c>
      <c r="D1147" t="s">
        <v>3068</v>
      </c>
      <c r="E1147" t="s">
        <v>1010</v>
      </c>
      <c r="F1147" t="s">
        <v>4198</v>
      </c>
      <c r="G1147" t="s">
        <v>24</v>
      </c>
      <c r="H1147" t="s">
        <v>26</v>
      </c>
      <c r="I1147" t="s">
        <v>3167</v>
      </c>
      <c r="J1147" t="s">
        <v>1026</v>
      </c>
      <c r="K1147" t="s">
        <v>3185</v>
      </c>
      <c r="L1147" t="s">
        <v>1026</v>
      </c>
      <c r="M1147" t="s">
        <v>1000</v>
      </c>
      <c r="N1147" t="s">
        <v>1025</v>
      </c>
      <c r="O1147" t="s">
        <v>1025</v>
      </c>
      <c r="P1147" t="s">
        <v>1089</v>
      </c>
      <c r="Q1147" t="s">
        <v>3169</v>
      </c>
      <c r="R1147" t="s">
        <v>446</v>
      </c>
      <c r="S1147" t="s">
        <v>2984</v>
      </c>
      <c r="T1147" t="s">
        <v>1965</v>
      </c>
      <c r="U1147" t="b">
        <v>0</v>
      </c>
      <c r="V1147" t="s">
        <v>2160</v>
      </c>
    </row>
    <row r="1148" spans="1:22" x14ac:dyDescent="0.25">
      <c r="A1148" t="s">
        <v>42</v>
      </c>
      <c r="B1148">
        <v>151</v>
      </c>
      <c r="C1148" t="s">
        <v>1030</v>
      </c>
      <c r="D1148" t="s">
        <v>3077</v>
      </c>
      <c r="E1148" t="s">
        <v>1029</v>
      </c>
      <c r="F1148" t="s">
        <v>4199</v>
      </c>
      <c r="G1148" t="s">
        <v>24</v>
      </c>
      <c r="H1148" t="s">
        <v>26</v>
      </c>
      <c r="I1148" t="s">
        <v>3167</v>
      </c>
      <c r="J1148" t="s">
        <v>1033</v>
      </c>
      <c r="K1148" t="s">
        <v>3189</v>
      </c>
      <c r="L1148" t="s">
        <v>1033</v>
      </c>
      <c r="M1148" t="s">
        <v>980</v>
      </c>
      <c r="N1148" t="s">
        <v>1031</v>
      </c>
      <c r="O1148" t="s">
        <v>1031</v>
      </c>
      <c r="P1148" t="s">
        <v>1089</v>
      </c>
      <c r="Q1148" t="s">
        <v>3169</v>
      </c>
      <c r="R1148" t="s">
        <v>446</v>
      </c>
      <c r="S1148" t="s">
        <v>2984</v>
      </c>
      <c r="T1148" t="s">
        <v>1965</v>
      </c>
      <c r="U1148" t="b">
        <v>0</v>
      </c>
      <c r="V1148" t="s">
        <v>2160</v>
      </c>
    </row>
    <row r="1149" spans="1:22" x14ac:dyDescent="0.25">
      <c r="A1149" t="s">
        <v>42</v>
      </c>
      <c r="B1149">
        <v>151</v>
      </c>
      <c r="C1149" t="s">
        <v>1036</v>
      </c>
      <c r="D1149" t="s">
        <v>3086</v>
      </c>
      <c r="E1149" t="s">
        <v>1035</v>
      </c>
      <c r="F1149" t="s">
        <v>4200</v>
      </c>
      <c r="G1149" t="s">
        <v>24</v>
      </c>
      <c r="H1149" t="s">
        <v>26</v>
      </c>
      <c r="I1149" t="s">
        <v>3167</v>
      </c>
      <c r="J1149" t="s">
        <v>1038</v>
      </c>
      <c r="K1149" t="s">
        <v>3191</v>
      </c>
      <c r="L1149" t="s">
        <v>1038</v>
      </c>
      <c r="M1149" t="s">
        <v>980</v>
      </c>
      <c r="N1149" t="s">
        <v>1037</v>
      </c>
      <c r="O1149" t="s">
        <v>1037</v>
      </c>
      <c r="P1149" t="s">
        <v>1089</v>
      </c>
      <c r="Q1149" t="s">
        <v>3169</v>
      </c>
      <c r="R1149" t="s">
        <v>446</v>
      </c>
      <c r="S1149" t="s">
        <v>2984</v>
      </c>
      <c r="T1149" t="s">
        <v>1965</v>
      </c>
      <c r="U1149" t="b">
        <v>0</v>
      </c>
      <c r="V1149" t="s">
        <v>2160</v>
      </c>
    </row>
    <row r="1150" spans="1:22" x14ac:dyDescent="0.25">
      <c r="A1150" t="s">
        <v>42</v>
      </c>
      <c r="B1150">
        <v>151</v>
      </c>
      <c r="C1150" t="s">
        <v>1041</v>
      </c>
      <c r="D1150" t="s">
        <v>3095</v>
      </c>
      <c r="E1150" t="s">
        <v>1040</v>
      </c>
      <c r="F1150" t="s">
        <v>4201</v>
      </c>
      <c r="G1150" t="s">
        <v>24</v>
      </c>
      <c r="H1150" t="s">
        <v>26</v>
      </c>
      <c r="I1150" t="s">
        <v>3167</v>
      </c>
      <c r="J1150" t="s">
        <v>1043</v>
      </c>
      <c r="K1150" t="s">
        <v>3193</v>
      </c>
      <c r="L1150" t="s">
        <v>1043</v>
      </c>
      <c r="M1150" t="s">
        <v>980</v>
      </c>
      <c r="N1150" t="s">
        <v>1042</v>
      </c>
      <c r="O1150" t="s">
        <v>1042</v>
      </c>
      <c r="P1150" t="s">
        <v>1089</v>
      </c>
      <c r="Q1150" t="s">
        <v>3169</v>
      </c>
      <c r="R1150" t="s">
        <v>446</v>
      </c>
      <c r="S1150" t="s">
        <v>2984</v>
      </c>
      <c r="T1150" t="s">
        <v>1965</v>
      </c>
      <c r="U1150" t="b">
        <v>0</v>
      </c>
      <c r="V1150" t="s">
        <v>2160</v>
      </c>
    </row>
    <row r="1151" spans="1:22" x14ac:dyDescent="0.25">
      <c r="A1151" t="s">
        <v>42</v>
      </c>
      <c r="B1151">
        <v>151</v>
      </c>
      <c r="C1151" t="s">
        <v>1046</v>
      </c>
      <c r="D1151" t="s">
        <v>3104</v>
      </c>
      <c r="E1151" t="s">
        <v>1045</v>
      </c>
      <c r="F1151" t="s">
        <v>4202</v>
      </c>
      <c r="G1151" t="s">
        <v>24</v>
      </c>
      <c r="H1151" t="s">
        <v>26</v>
      </c>
      <c r="I1151" t="s">
        <v>3167</v>
      </c>
      <c r="J1151" t="s">
        <v>1048</v>
      </c>
      <c r="K1151" t="s">
        <v>3195</v>
      </c>
      <c r="L1151" t="s">
        <v>1048</v>
      </c>
      <c r="M1151" t="s">
        <v>1000</v>
      </c>
      <c r="N1151" t="s">
        <v>1047</v>
      </c>
      <c r="O1151" t="s">
        <v>1047</v>
      </c>
      <c r="P1151" t="s">
        <v>1089</v>
      </c>
      <c r="Q1151" t="s">
        <v>3169</v>
      </c>
      <c r="R1151" t="s">
        <v>446</v>
      </c>
      <c r="S1151" t="s">
        <v>2984</v>
      </c>
      <c r="T1151" t="s">
        <v>1965</v>
      </c>
      <c r="U1151" t="b">
        <v>0</v>
      </c>
      <c r="V1151" t="s">
        <v>2160</v>
      </c>
    </row>
    <row r="1152" spans="1:22" x14ac:dyDescent="0.25">
      <c r="A1152" t="s">
        <v>42</v>
      </c>
      <c r="B1152">
        <v>151</v>
      </c>
      <c r="C1152" t="s">
        <v>1050</v>
      </c>
      <c r="D1152" t="s">
        <v>3113</v>
      </c>
      <c r="E1152" t="s">
        <v>1032</v>
      </c>
      <c r="F1152" t="s">
        <v>4202</v>
      </c>
      <c r="G1152" t="s">
        <v>24</v>
      </c>
      <c r="H1152" t="s">
        <v>26</v>
      </c>
      <c r="I1152" t="s">
        <v>3167</v>
      </c>
      <c r="J1152" t="s">
        <v>1048</v>
      </c>
      <c r="K1152" t="s">
        <v>3195</v>
      </c>
      <c r="L1152" t="s">
        <v>1048</v>
      </c>
      <c r="M1152" t="s">
        <v>1000</v>
      </c>
      <c r="N1152" t="s">
        <v>1047</v>
      </c>
      <c r="O1152" t="s">
        <v>1047</v>
      </c>
      <c r="P1152" t="s">
        <v>1089</v>
      </c>
      <c r="Q1152" t="s">
        <v>3169</v>
      </c>
      <c r="R1152" t="s">
        <v>446</v>
      </c>
      <c r="S1152" t="s">
        <v>2984</v>
      </c>
      <c r="T1152" t="s">
        <v>1965</v>
      </c>
      <c r="U1152" t="b">
        <v>0</v>
      </c>
      <c r="V1152" t="s">
        <v>2160</v>
      </c>
    </row>
    <row r="1153" spans="1:22" x14ac:dyDescent="0.25">
      <c r="A1153" t="s">
        <v>42</v>
      </c>
      <c r="B1153">
        <v>151</v>
      </c>
      <c r="C1153" t="s">
        <v>1052</v>
      </c>
      <c r="D1153" t="s">
        <v>3122</v>
      </c>
      <c r="E1153" t="s">
        <v>1051</v>
      </c>
      <c r="F1153" t="s">
        <v>4203</v>
      </c>
      <c r="G1153" t="s">
        <v>24</v>
      </c>
      <c r="H1153" t="s">
        <v>26</v>
      </c>
      <c r="I1153" t="s">
        <v>3167</v>
      </c>
      <c r="J1153" t="s">
        <v>1055</v>
      </c>
      <c r="K1153" t="s">
        <v>3199</v>
      </c>
      <c r="L1153" t="s">
        <v>1055</v>
      </c>
      <c r="M1153" t="s">
        <v>980</v>
      </c>
      <c r="N1153" t="s">
        <v>1053</v>
      </c>
      <c r="O1153" t="s">
        <v>1053</v>
      </c>
      <c r="P1153" t="s">
        <v>1089</v>
      </c>
      <c r="Q1153" t="s">
        <v>3169</v>
      </c>
      <c r="R1153" t="s">
        <v>446</v>
      </c>
      <c r="S1153" t="s">
        <v>2984</v>
      </c>
      <c r="T1153" t="s">
        <v>1965</v>
      </c>
      <c r="U1153" t="b">
        <v>0</v>
      </c>
      <c r="V1153" t="s">
        <v>2160</v>
      </c>
    </row>
    <row r="1154" spans="1:22" x14ac:dyDescent="0.25">
      <c r="A1154" t="s">
        <v>42</v>
      </c>
      <c r="B1154">
        <v>153</v>
      </c>
      <c r="C1154" t="s">
        <v>979</v>
      </c>
      <c r="D1154" t="s">
        <v>1683</v>
      </c>
      <c r="E1154" t="s">
        <v>978</v>
      </c>
      <c r="F1154">
        <v>1651</v>
      </c>
      <c r="G1154" t="s">
        <v>24</v>
      </c>
      <c r="H1154" t="s">
        <v>26</v>
      </c>
      <c r="I1154" t="s">
        <v>3167</v>
      </c>
      <c r="J1154" t="s">
        <v>984</v>
      </c>
      <c r="K1154" t="s">
        <v>3168</v>
      </c>
      <c r="L1154" t="s">
        <v>984</v>
      </c>
      <c r="M1154" t="s">
        <v>980</v>
      </c>
      <c r="N1154" t="s">
        <v>981</v>
      </c>
      <c r="O1154" t="s">
        <v>981</v>
      </c>
      <c r="P1154" t="s">
        <v>1089</v>
      </c>
      <c r="Q1154" t="s">
        <v>3169</v>
      </c>
      <c r="R1154" t="s">
        <v>2583</v>
      </c>
      <c r="S1154" t="s">
        <v>4204</v>
      </c>
      <c r="T1154" t="s">
        <v>3239</v>
      </c>
      <c r="U1154" t="b">
        <v>0</v>
      </c>
      <c r="V1154" t="s">
        <v>2584</v>
      </c>
    </row>
    <row r="1155" spans="1:22" x14ac:dyDescent="0.25">
      <c r="A1155" t="s">
        <v>42</v>
      </c>
      <c r="B1155">
        <v>153</v>
      </c>
      <c r="C1155" t="s">
        <v>987</v>
      </c>
      <c r="D1155" t="s">
        <v>1684</v>
      </c>
      <c r="E1155" t="s">
        <v>986</v>
      </c>
      <c r="F1155">
        <v>1539</v>
      </c>
      <c r="G1155" t="s">
        <v>24</v>
      </c>
      <c r="H1155" t="s">
        <v>26</v>
      </c>
      <c r="I1155" t="s">
        <v>3167</v>
      </c>
      <c r="J1155" t="s">
        <v>990</v>
      </c>
      <c r="K1155" t="s">
        <v>3171</v>
      </c>
      <c r="L1155" t="s">
        <v>990</v>
      </c>
      <c r="M1155" t="s">
        <v>980</v>
      </c>
      <c r="N1155" t="s">
        <v>988</v>
      </c>
      <c r="O1155" t="s">
        <v>988</v>
      </c>
      <c r="P1155" t="s">
        <v>1089</v>
      </c>
      <c r="Q1155" t="s">
        <v>3169</v>
      </c>
      <c r="R1155" t="s">
        <v>2583</v>
      </c>
      <c r="S1155" t="s">
        <v>4204</v>
      </c>
      <c r="T1155" t="s">
        <v>3239</v>
      </c>
      <c r="U1155" t="b">
        <v>0</v>
      </c>
      <c r="V1155" t="s">
        <v>2584</v>
      </c>
    </row>
    <row r="1156" spans="1:22" x14ac:dyDescent="0.25">
      <c r="A1156" t="s">
        <v>42</v>
      </c>
      <c r="B1156">
        <v>153</v>
      </c>
      <c r="C1156" t="s">
        <v>993</v>
      </c>
      <c r="D1156" t="s">
        <v>1685</v>
      </c>
      <c r="E1156" t="s">
        <v>992</v>
      </c>
      <c r="F1156">
        <v>1508</v>
      </c>
      <c r="G1156" t="s">
        <v>24</v>
      </c>
      <c r="H1156" t="s">
        <v>26</v>
      </c>
      <c r="I1156" t="s">
        <v>3167</v>
      </c>
      <c r="J1156" t="s">
        <v>996</v>
      </c>
      <c r="K1156" t="s">
        <v>3173</v>
      </c>
      <c r="L1156" t="s">
        <v>996</v>
      </c>
      <c r="M1156" t="s">
        <v>980</v>
      </c>
      <c r="N1156" t="s">
        <v>994</v>
      </c>
      <c r="O1156" t="s">
        <v>994</v>
      </c>
      <c r="P1156" t="s">
        <v>1089</v>
      </c>
      <c r="Q1156" t="s">
        <v>3169</v>
      </c>
      <c r="R1156" t="s">
        <v>2583</v>
      </c>
      <c r="S1156" t="s">
        <v>4204</v>
      </c>
      <c r="T1156" t="s">
        <v>3239</v>
      </c>
      <c r="U1156" t="b">
        <v>0</v>
      </c>
      <c r="V1156" t="s">
        <v>2584</v>
      </c>
    </row>
    <row r="1157" spans="1:22" x14ac:dyDescent="0.25">
      <c r="A1157" t="s">
        <v>42</v>
      </c>
      <c r="B1157">
        <v>153</v>
      </c>
      <c r="C1157" t="s">
        <v>999</v>
      </c>
      <c r="D1157" t="s">
        <v>1686</v>
      </c>
      <c r="E1157" t="s">
        <v>998</v>
      </c>
      <c r="F1157">
        <v>1539</v>
      </c>
      <c r="G1157" t="s">
        <v>24</v>
      </c>
      <c r="H1157" t="s">
        <v>26</v>
      </c>
      <c r="I1157" t="s">
        <v>3167</v>
      </c>
      <c r="J1157" t="s">
        <v>1003</v>
      </c>
      <c r="K1157" t="s">
        <v>3175</v>
      </c>
      <c r="L1157" t="s">
        <v>1003</v>
      </c>
      <c r="M1157" t="s">
        <v>1000</v>
      </c>
      <c r="N1157" t="s">
        <v>1001</v>
      </c>
      <c r="O1157" t="s">
        <v>1001</v>
      </c>
      <c r="P1157" t="s">
        <v>1089</v>
      </c>
      <c r="Q1157" t="s">
        <v>3169</v>
      </c>
      <c r="R1157" t="s">
        <v>2583</v>
      </c>
      <c r="S1157" t="s">
        <v>4204</v>
      </c>
      <c r="T1157" t="s">
        <v>3239</v>
      </c>
      <c r="U1157" t="b">
        <v>0</v>
      </c>
      <c r="V1157" t="s">
        <v>2584</v>
      </c>
    </row>
    <row r="1158" spans="1:22" x14ac:dyDescent="0.25">
      <c r="A1158" t="s">
        <v>42</v>
      </c>
      <c r="B1158">
        <v>153</v>
      </c>
      <c r="C1158" t="s">
        <v>1005</v>
      </c>
      <c r="D1158" t="s">
        <v>2814</v>
      </c>
      <c r="E1158" t="s">
        <v>982</v>
      </c>
      <c r="F1158" t="s">
        <v>4205</v>
      </c>
      <c r="G1158" t="s">
        <v>24</v>
      </c>
      <c r="H1158" t="s">
        <v>26</v>
      </c>
      <c r="I1158" t="s">
        <v>3167</v>
      </c>
      <c r="J1158" t="s">
        <v>1003</v>
      </c>
      <c r="K1158" t="s">
        <v>3175</v>
      </c>
      <c r="L1158" t="s">
        <v>1003</v>
      </c>
      <c r="M1158" t="s">
        <v>1000</v>
      </c>
      <c r="N1158" t="s">
        <v>1001</v>
      </c>
      <c r="O1158" t="s">
        <v>1001</v>
      </c>
      <c r="P1158" t="s">
        <v>1089</v>
      </c>
      <c r="Q1158" t="s">
        <v>3169</v>
      </c>
      <c r="R1158" t="s">
        <v>2583</v>
      </c>
      <c r="S1158" t="s">
        <v>4204</v>
      </c>
      <c r="T1158" t="s">
        <v>1965</v>
      </c>
      <c r="U1158" t="b">
        <v>0</v>
      </c>
      <c r="V1158" t="s">
        <v>2816</v>
      </c>
    </row>
    <row r="1159" spans="1:22" x14ac:dyDescent="0.25">
      <c r="A1159" t="s">
        <v>42</v>
      </c>
      <c r="B1159">
        <v>153</v>
      </c>
      <c r="C1159" t="s">
        <v>1007</v>
      </c>
      <c r="D1159" t="s">
        <v>1687</v>
      </c>
      <c r="E1159" t="s">
        <v>1006</v>
      </c>
      <c r="F1159">
        <v>1517</v>
      </c>
      <c r="G1159" t="s">
        <v>24</v>
      </c>
      <c r="H1159" t="s">
        <v>26</v>
      </c>
      <c r="I1159" t="s">
        <v>3167</v>
      </c>
      <c r="J1159" t="s">
        <v>1967</v>
      </c>
      <c r="K1159" t="s">
        <v>3227</v>
      </c>
      <c r="L1159" t="s">
        <v>1967</v>
      </c>
      <c r="M1159" t="s">
        <v>980</v>
      </c>
      <c r="N1159" t="s">
        <v>1009</v>
      </c>
      <c r="O1159" t="s">
        <v>1009</v>
      </c>
      <c r="P1159" t="s">
        <v>1089</v>
      </c>
      <c r="Q1159" t="s">
        <v>3169</v>
      </c>
      <c r="R1159" t="s">
        <v>2583</v>
      </c>
      <c r="S1159" t="s">
        <v>4204</v>
      </c>
      <c r="T1159" t="s">
        <v>3239</v>
      </c>
      <c r="U1159" t="b">
        <v>0</v>
      </c>
      <c r="V1159" t="s">
        <v>2584</v>
      </c>
    </row>
    <row r="1160" spans="1:22" x14ac:dyDescent="0.25">
      <c r="A1160" t="s">
        <v>42</v>
      </c>
      <c r="B1160">
        <v>153</v>
      </c>
      <c r="C1160" t="s">
        <v>1014</v>
      </c>
      <c r="D1160" t="s">
        <v>1688</v>
      </c>
      <c r="E1160" t="s">
        <v>1013</v>
      </c>
      <c r="F1160">
        <v>1558</v>
      </c>
      <c r="G1160" t="s">
        <v>24</v>
      </c>
      <c r="H1160" t="s">
        <v>26</v>
      </c>
      <c r="I1160" t="s">
        <v>3167</v>
      </c>
      <c r="J1160" t="s">
        <v>1016</v>
      </c>
      <c r="K1160" t="s">
        <v>3181</v>
      </c>
      <c r="L1160" t="s">
        <v>1016</v>
      </c>
      <c r="M1160" t="s">
        <v>980</v>
      </c>
      <c r="N1160" t="s">
        <v>1015</v>
      </c>
      <c r="O1160" t="s">
        <v>1015</v>
      </c>
      <c r="P1160" t="s">
        <v>1089</v>
      </c>
      <c r="Q1160" t="s">
        <v>3169</v>
      </c>
      <c r="R1160" t="s">
        <v>2583</v>
      </c>
      <c r="S1160" t="s">
        <v>4204</v>
      </c>
      <c r="T1160" t="s">
        <v>3239</v>
      </c>
      <c r="U1160" t="b">
        <v>0</v>
      </c>
      <c r="V1160" t="s">
        <v>2584</v>
      </c>
    </row>
    <row r="1161" spans="1:22" x14ac:dyDescent="0.25">
      <c r="A1161" t="s">
        <v>42</v>
      </c>
      <c r="B1161">
        <v>153</v>
      </c>
      <c r="C1161" t="s">
        <v>1019</v>
      </c>
      <c r="D1161" t="s">
        <v>1689</v>
      </c>
      <c r="E1161" t="s">
        <v>1018</v>
      </c>
      <c r="F1161">
        <v>1636</v>
      </c>
      <c r="G1161" t="s">
        <v>24</v>
      </c>
      <c r="H1161" t="s">
        <v>26</v>
      </c>
      <c r="I1161" t="s">
        <v>3167</v>
      </c>
      <c r="J1161" t="s">
        <v>1021</v>
      </c>
      <c r="K1161" t="s">
        <v>3183</v>
      </c>
      <c r="L1161" t="s">
        <v>1021</v>
      </c>
      <c r="M1161" t="s">
        <v>980</v>
      </c>
      <c r="N1161" t="s">
        <v>1020</v>
      </c>
      <c r="O1161" t="s">
        <v>1020</v>
      </c>
      <c r="P1161" t="s">
        <v>1089</v>
      </c>
      <c r="Q1161" t="s">
        <v>3169</v>
      </c>
      <c r="R1161" t="s">
        <v>2583</v>
      </c>
      <c r="S1161" t="s">
        <v>4204</v>
      </c>
      <c r="T1161" t="s">
        <v>3239</v>
      </c>
      <c r="U1161" t="b">
        <v>0</v>
      </c>
      <c r="V1161" t="s">
        <v>2584</v>
      </c>
    </row>
    <row r="1162" spans="1:22" x14ac:dyDescent="0.25">
      <c r="A1162" t="s">
        <v>42</v>
      </c>
      <c r="B1162">
        <v>153</v>
      </c>
      <c r="C1162" t="s">
        <v>1024</v>
      </c>
      <c r="D1162" t="s">
        <v>1690</v>
      </c>
      <c r="E1162" t="s">
        <v>1023</v>
      </c>
      <c r="F1162">
        <v>1516</v>
      </c>
      <c r="G1162" t="s">
        <v>24</v>
      </c>
      <c r="H1162" t="s">
        <v>26</v>
      </c>
      <c r="I1162" t="s">
        <v>3167</v>
      </c>
      <c r="J1162" t="s">
        <v>1026</v>
      </c>
      <c r="K1162" t="s">
        <v>3185</v>
      </c>
      <c r="L1162" t="s">
        <v>1026</v>
      </c>
      <c r="M1162" t="s">
        <v>1000</v>
      </c>
      <c r="N1162" t="s">
        <v>1025</v>
      </c>
      <c r="O1162" t="s">
        <v>1025</v>
      </c>
      <c r="P1162" t="s">
        <v>1089</v>
      </c>
      <c r="Q1162" t="s">
        <v>3169</v>
      </c>
      <c r="R1162" t="s">
        <v>2583</v>
      </c>
      <c r="S1162" t="s">
        <v>4204</v>
      </c>
      <c r="T1162" t="s">
        <v>3239</v>
      </c>
      <c r="U1162" t="b">
        <v>0</v>
      </c>
      <c r="V1162" t="s">
        <v>2584</v>
      </c>
    </row>
    <row r="1163" spans="1:22" x14ac:dyDescent="0.25">
      <c r="A1163" t="s">
        <v>42</v>
      </c>
      <c r="B1163">
        <v>153</v>
      </c>
      <c r="C1163" t="s">
        <v>1028</v>
      </c>
      <c r="D1163" t="s">
        <v>2817</v>
      </c>
      <c r="E1163" t="s">
        <v>1010</v>
      </c>
      <c r="F1163" t="s">
        <v>4206</v>
      </c>
      <c r="G1163" t="s">
        <v>24</v>
      </c>
      <c r="H1163" t="s">
        <v>26</v>
      </c>
      <c r="I1163" t="s">
        <v>3167</v>
      </c>
      <c r="J1163" t="s">
        <v>1026</v>
      </c>
      <c r="K1163" t="s">
        <v>3185</v>
      </c>
      <c r="L1163" t="s">
        <v>1026</v>
      </c>
      <c r="M1163" t="s">
        <v>1000</v>
      </c>
      <c r="N1163" t="s">
        <v>1025</v>
      </c>
      <c r="O1163" t="s">
        <v>1025</v>
      </c>
      <c r="P1163" t="s">
        <v>1089</v>
      </c>
      <c r="Q1163" t="s">
        <v>3169</v>
      </c>
      <c r="R1163" t="s">
        <v>2583</v>
      </c>
      <c r="S1163" t="s">
        <v>4204</v>
      </c>
      <c r="T1163" t="s">
        <v>1965</v>
      </c>
      <c r="U1163" t="b">
        <v>0</v>
      </c>
      <c r="V1163" t="s">
        <v>2816</v>
      </c>
    </row>
    <row r="1164" spans="1:22" x14ac:dyDescent="0.25">
      <c r="A1164" t="s">
        <v>42</v>
      </c>
      <c r="B1164">
        <v>153</v>
      </c>
      <c r="C1164" t="s">
        <v>1030</v>
      </c>
      <c r="D1164" t="s">
        <v>1691</v>
      </c>
      <c r="E1164" t="s">
        <v>1029</v>
      </c>
      <c r="F1164">
        <v>1552</v>
      </c>
      <c r="G1164" t="s">
        <v>24</v>
      </c>
      <c r="H1164" t="s">
        <v>26</v>
      </c>
      <c r="I1164" t="s">
        <v>3167</v>
      </c>
      <c r="J1164" t="s">
        <v>1033</v>
      </c>
      <c r="K1164" t="s">
        <v>3189</v>
      </c>
      <c r="L1164" t="s">
        <v>1033</v>
      </c>
      <c r="M1164" t="s">
        <v>980</v>
      </c>
      <c r="N1164" t="s">
        <v>1031</v>
      </c>
      <c r="O1164" t="s">
        <v>1031</v>
      </c>
      <c r="P1164" t="s">
        <v>1089</v>
      </c>
      <c r="Q1164" t="s">
        <v>3169</v>
      </c>
      <c r="R1164" t="s">
        <v>2583</v>
      </c>
      <c r="S1164" t="s">
        <v>4204</v>
      </c>
      <c r="T1164" t="s">
        <v>3239</v>
      </c>
      <c r="U1164" t="b">
        <v>0</v>
      </c>
      <c r="V1164" t="s">
        <v>2584</v>
      </c>
    </row>
    <row r="1165" spans="1:22" x14ac:dyDescent="0.25">
      <c r="A1165" t="s">
        <v>42</v>
      </c>
      <c r="B1165">
        <v>153</v>
      </c>
      <c r="C1165" t="s">
        <v>1036</v>
      </c>
      <c r="D1165" t="s">
        <v>1692</v>
      </c>
      <c r="E1165" t="s">
        <v>1035</v>
      </c>
      <c r="F1165">
        <v>1597</v>
      </c>
      <c r="G1165" t="s">
        <v>24</v>
      </c>
      <c r="H1165" t="s">
        <v>26</v>
      </c>
      <c r="I1165" t="s">
        <v>3167</v>
      </c>
      <c r="J1165" t="s">
        <v>1038</v>
      </c>
      <c r="K1165" t="s">
        <v>3191</v>
      </c>
      <c r="L1165" t="s">
        <v>1038</v>
      </c>
      <c r="M1165" t="s">
        <v>980</v>
      </c>
      <c r="N1165" t="s">
        <v>1037</v>
      </c>
      <c r="O1165" t="s">
        <v>1037</v>
      </c>
      <c r="P1165" t="s">
        <v>1089</v>
      </c>
      <c r="Q1165" t="s">
        <v>3169</v>
      </c>
      <c r="R1165" t="s">
        <v>2583</v>
      </c>
      <c r="S1165" t="s">
        <v>4204</v>
      </c>
      <c r="T1165" t="s">
        <v>3239</v>
      </c>
      <c r="U1165" t="b">
        <v>0</v>
      </c>
      <c r="V1165" t="s">
        <v>2584</v>
      </c>
    </row>
    <row r="1166" spans="1:22" x14ac:dyDescent="0.25">
      <c r="A1166" t="s">
        <v>42</v>
      </c>
      <c r="B1166">
        <v>153</v>
      </c>
      <c r="C1166" t="s">
        <v>1041</v>
      </c>
      <c r="D1166" t="s">
        <v>1693</v>
      </c>
      <c r="E1166" t="s">
        <v>1040</v>
      </c>
      <c r="F1166">
        <v>2020</v>
      </c>
      <c r="G1166" t="s">
        <v>24</v>
      </c>
      <c r="H1166" t="s">
        <v>26</v>
      </c>
      <c r="I1166" t="s">
        <v>3167</v>
      </c>
      <c r="J1166" t="s">
        <v>1043</v>
      </c>
      <c r="K1166" t="s">
        <v>3193</v>
      </c>
      <c r="L1166" t="s">
        <v>1043</v>
      </c>
      <c r="M1166" t="s">
        <v>980</v>
      </c>
      <c r="N1166" t="s">
        <v>1042</v>
      </c>
      <c r="O1166" t="s">
        <v>1042</v>
      </c>
      <c r="P1166" t="s">
        <v>1089</v>
      </c>
      <c r="Q1166" t="s">
        <v>3169</v>
      </c>
      <c r="R1166" t="s">
        <v>2583</v>
      </c>
      <c r="S1166" t="s">
        <v>4204</v>
      </c>
      <c r="T1166" t="s">
        <v>3239</v>
      </c>
      <c r="U1166" t="b">
        <v>0</v>
      </c>
      <c r="V1166" t="s">
        <v>2584</v>
      </c>
    </row>
    <row r="1167" spans="1:22" x14ac:dyDescent="0.25">
      <c r="A1167" t="s">
        <v>42</v>
      </c>
      <c r="B1167">
        <v>153</v>
      </c>
      <c r="C1167" t="s">
        <v>1046</v>
      </c>
      <c r="D1167" t="s">
        <v>1694</v>
      </c>
      <c r="E1167" t="s">
        <v>1045</v>
      </c>
      <c r="F1167">
        <v>2106</v>
      </c>
      <c r="G1167" t="s">
        <v>24</v>
      </c>
      <c r="H1167" t="s">
        <v>26</v>
      </c>
      <c r="I1167" t="s">
        <v>3167</v>
      </c>
      <c r="J1167" t="s">
        <v>1048</v>
      </c>
      <c r="K1167" t="s">
        <v>3195</v>
      </c>
      <c r="L1167" t="s">
        <v>1048</v>
      </c>
      <c r="M1167" t="s">
        <v>1000</v>
      </c>
      <c r="N1167" t="s">
        <v>1047</v>
      </c>
      <c r="O1167" t="s">
        <v>1047</v>
      </c>
      <c r="P1167" t="s">
        <v>1089</v>
      </c>
      <c r="Q1167" t="s">
        <v>3169</v>
      </c>
      <c r="R1167" t="s">
        <v>2583</v>
      </c>
      <c r="S1167" t="s">
        <v>4204</v>
      </c>
      <c r="T1167" t="s">
        <v>3239</v>
      </c>
      <c r="U1167" t="b">
        <v>0</v>
      </c>
      <c r="V1167" t="s">
        <v>2584</v>
      </c>
    </row>
    <row r="1168" spans="1:22" x14ac:dyDescent="0.25">
      <c r="A1168" t="s">
        <v>42</v>
      </c>
      <c r="B1168">
        <v>153</v>
      </c>
      <c r="C1168" t="s">
        <v>1050</v>
      </c>
      <c r="D1168" t="s">
        <v>2819</v>
      </c>
      <c r="E1168" t="s">
        <v>1032</v>
      </c>
      <c r="F1168" t="s">
        <v>4207</v>
      </c>
      <c r="G1168" t="s">
        <v>24</v>
      </c>
      <c r="H1168" t="s">
        <v>26</v>
      </c>
      <c r="I1168" t="s">
        <v>3167</v>
      </c>
      <c r="J1168" t="s">
        <v>1048</v>
      </c>
      <c r="K1168" t="s">
        <v>3195</v>
      </c>
      <c r="L1168" t="s">
        <v>1048</v>
      </c>
      <c r="M1168" t="s">
        <v>1000</v>
      </c>
      <c r="N1168" t="s">
        <v>1047</v>
      </c>
      <c r="O1168" t="s">
        <v>1047</v>
      </c>
      <c r="P1168" t="s">
        <v>1089</v>
      </c>
      <c r="Q1168" t="s">
        <v>3169</v>
      </c>
      <c r="R1168" t="s">
        <v>2583</v>
      </c>
      <c r="S1168" t="s">
        <v>4204</v>
      </c>
      <c r="T1168" t="s">
        <v>1965</v>
      </c>
      <c r="U1168" t="b">
        <v>0</v>
      </c>
      <c r="V1168" t="s">
        <v>2816</v>
      </c>
    </row>
    <row r="1169" spans="1:22" x14ac:dyDescent="0.25">
      <c r="A1169" t="s">
        <v>42</v>
      </c>
      <c r="B1169">
        <v>153</v>
      </c>
      <c r="C1169" t="s">
        <v>1052</v>
      </c>
      <c r="D1169" t="s">
        <v>1695</v>
      </c>
      <c r="E1169" t="s">
        <v>1051</v>
      </c>
      <c r="F1169">
        <v>2101</v>
      </c>
      <c r="G1169" t="s">
        <v>24</v>
      </c>
      <c r="H1169" t="s">
        <v>26</v>
      </c>
      <c r="I1169" t="s">
        <v>3167</v>
      </c>
      <c r="J1169" t="s">
        <v>1055</v>
      </c>
      <c r="K1169" t="s">
        <v>3199</v>
      </c>
      <c r="L1169" t="s">
        <v>1055</v>
      </c>
      <c r="M1169" t="s">
        <v>980</v>
      </c>
      <c r="N1169" t="s">
        <v>1053</v>
      </c>
      <c r="O1169" t="s">
        <v>1053</v>
      </c>
      <c r="P1169" t="s">
        <v>1089</v>
      </c>
      <c r="Q1169" t="s">
        <v>3169</v>
      </c>
      <c r="R1169" t="s">
        <v>2583</v>
      </c>
      <c r="S1169" t="s">
        <v>4204</v>
      </c>
      <c r="T1169" t="s">
        <v>3239</v>
      </c>
      <c r="U1169" t="b">
        <v>0</v>
      </c>
      <c r="V1169" t="s">
        <v>2584</v>
      </c>
    </row>
    <row r="1170" spans="1:22" x14ac:dyDescent="0.25">
      <c r="A1170" t="s">
        <v>42</v>
      </c>
      <c r="B1170">
        <v>154</v>
      </c>
      <c r="C1170" t="s">
        <v>979</v>
      </c>
      <c r="D1170" t="s">
        <v>2985</v>
      </c>
      <c r="E1170" t="s">
        <v>978</v>
      </c>
      <c r="F1170" t="s">
        <v>4208</v>
      </c>
      <c r="G1170" t="s">
        <v>24</v>
      </c>
      <c r="H1170" t="s">
        <v>26</v>
      </c>
      <c r="I1170" t="s">
        <v>3167</v>
      </c>
      <c r="J1170" t="s">
        <v>984</v>
      </c>
      <c r="K1170" t="s">
        <v>3168</v>
      </c>
      <c r="L1170" t="s">
        <v>984</v>
      </c>
      <c r="M1170" t="s">
        <v>980</v>
      </c>
      <c r="N1170" t="s">
        <v>981</v>
      </c>
      <c r="O1170" t="s">
        <v>981</v>
      </c>
      <c r="P1170" t="s">
        <v>1089</v>
      </c>
      <c r="Q1170" t="s">
        <v>3169</v>
      </c>
      <c r="R1170" t="s">
        <v>446</v>
      </c>
      <c r="S1170" t="s">
        <v>2986</v>
      </c>
      <c r="T1170" t="s">
        <v>1965</v>
      </c>
      <c r="U1170" t="b">
        <v>0</v>
      </c>
      <c r="V1170" t="s">
        <v>2160</v>
      </c>
    </row>
    <row r="1171" spans="1:22" x14ac:dyDescent="0.25">
      <c r="A1171" t="s">
        <v>42</v>
      </c>
      <c r="B1171">
        <v>154</v>
      </c>
      <c r="C1171" t="s">
        <v>987</v>
      </c>
      <c r="D1171" t="s">
        <v>2997</v>
      </c>
      <c r="E1171" t="s">
        <v>986</v>
      </c>
      <c r="F1171" t="s">
        <v>4209</v>
      </c>
      <c r="G1171" t="s">
        <v>24</v>
      </c>
      <c r="H1171" t="s">
        <v>26</v>
      </c>
      <c r="I1171" t="s">
        <v>3167</v>
      </c>
      <c r="J1171" t="s">
        <v>990</v>
      </c>
      <c r="K1171" t="s">
        <v>3171</v>
      </c>
      <c r="L1171" t="s">
        <v>990</v>
      </c>
      <c r="M1171" t="s">
        <v>980</v>
      </c>
      <c r="N1171" t="s">
        <v>988</v>
      </c>
      <c r="O1171" t="s">
        <v>988</v>
      </c>
      <c r="P1171" t="s">
        <v>1089</v>
      </c>
      <c r="Q1171" t="s">
        <v>3169</v>
      </c>
      <c r="R1171" t="s">
        <v>446</v>
      </c>
      <c r="S1171" t="s">
        <v>2986</v>
      </c>
      <c r="T1171" t="s">
        <v>1965</v>
      </c>
      <c r="U1171" t="b">
        <v>0</v>
      </c>
      <c r="V1171" t="s">
        <v>2160</v>
      </c>
    </row>
    <row r="1172" spans="1:22" x14ac:dyDescent="0.25">
      <c r="A1172" t="s">
        <v>42</v>
      </c>
      <c r="B1172">
        <v>154</v>
      </c>
      <c r="C1172" t="s">
        <v>993</v>
      </c>
      <c r="D1172" t="s">
        <v>3006</v>
      </c>
      <c r="E1172" t="s">
        <v>992</v>
      </c>
      <c r="F1172" t="s">
        <v>4210</v>
      </c>
      <c r="G1172" t="s">
        <v>24</v>
      </c>
      <c r="H1172" t="s">
        <v>26</v>
      </c>
      <c r="I1172" t="s">
        <v>3167</v>
      </c>
      <c r="J1172" t="s">
        <v>996</v>
      </c>
      <c r="K1172" t="s">
        <v>3173</v>
      </c>
      <c r="L1172" t="s">
        <v>996</v>
      </c>
      <c r="M1172" t="s">
        <v>980</v>
      </c>
      <c r="N1172" t="s">
        <v>994</v>
      </c>
      <c r="O1172" t="s">
        <v>994</v>
      </c>
      <c r="P1172" t="s">
        <v>1089</v>
      </c>
      <c r="Q1172" t="s">
        <v>3169</v>
      </c>
      <c r="R1172" t="s">
        <v>446</v>
      </c>
      <c r="S1172" t="s">
        <v>2986</v>
      </c>
      <c r="T1172" t="s">
        <v>1965</v>
      </c>
      <c r="U1172" t="b">
        <v>0</v>
      </c>
      <c r="V1172" t="s">
        <v>2160</v>
      </c>
    </row>
    <row r="1173" spans="1:22" x14ac:dyDescent="0.25">
      <c r="A1173" t="s">
        <v>42</v>
      </c>
      <c r="B1173">
        <v>154</v>
      </c>
      <c r="C1173" t="s">
        <v>999</v>
      </c>
      <c r="D1173" t="s">
        <v>3015</v>
      </c>
      <c r="E1173" t="s">
        <v>998</v>
      </c>
      <c r="F1173" t="s">
        <v>4211</v>
      </c>
      <c r="G1173" t="s">
        <v>24</v>
      </c>
      <c r="H1173" t="s">
        <v>26</v>
      </c>
      <c r="I1173" t="s">
        <v>3167</v>
      </c>
      <c r="J1173" t="s">
        <v>1003</v>
      </c>
      <c r="K1173" t="s">
        <v>3175</v>
      </c>
      <c r="L1173" t="s">
        <v>1003</v>
      </c>
      <c r="M1173" t="s">
        <v>1000</v>
      </c>
      <c r="N1173" t="s">
        <v>1001</v>
      </c>
      <c r="O1173" t="s">
        <v>1001</v>
      </c>
      <c r="P1173" t="s">
        <v>1089</v>
      </c>
      <c r="Q1173" t="s">
        <v>3169</v>
      </c>
      <c r="R1173" t="s">
        <v>446</v>
      </c>
      <c r="S1173" t="s">
        <v>2986</v>
      </c>
      <c r="T1173" t="s">
        <v>1965</v>
      </c>
      <c r="U1173" t="b">
        <v>0</v>
      </c>
      <c r="V1173" t="s">
        <v>2160</v>
      </c>
    </row>
    <row r="1174" spans="1:22" x14ac:dyDescent="0.25">
      <c r="A1174" t="s">
        <v>42</v>
      </c>
      <c r="B1174">
        <v>154</v>
      </c>
      <c r="C1174" t="s">
        <v>1005</v>
      </c>
      <c r="D1174" t="s">
        <v>3024</v>
      </c>
      <c r="E1174" t="s">
        <v>982</v>
      </c>
      <c r="F1174" t="s">
        <v>4211</v>
      </c>
      <c r="G1174" t="s">
        <v>24</v>
      </c>
      <c r="H1174" t="s">
        <v>26</v>
      </c>
      <c r="I1174" t="s">
        <v>3167</v>
      </c>
      <c r="J1174" t="s">
        <v>1003</v>
      </c>
      <c r="K1174" t="s">
        <v>3175</v>
      </c>
      <c r="L1174" t="s">
        <v>1003</v>
      </c>
      <c r="M1174" t="s">
        <v>1000</v>
      </c>
      <c r="N1174" t="s">
        <v>1001</v>
      </c>
      <c r="O1174" t="s">
        <v>1001</v>
      </c>
      <c r="P1174" t="s">
        <v>1089</v>
      </c>
      <c r="Q1174" t="s">
        <v>3169</v>
      </c>
      <c r="R1174" t="s">
        <v>446</v>
      </c>
      <c r="S1174" t="s">
        <v>2986</v>
      </c>
      <c r="T1174" t="s">
        <v>1965</v>
      </c>
      <c r="U1174" t="b">
        <v>0</v>
      </c>
      <c r="V1174" t="s">
        <v>2160</v>
      </c>
    </row>
    <row r="1175" spans="1:22" x14ac:dyDescent="0.25">
      <c r="A1175" t="s">
        <v>42</v>
      </c>
      <c r="B1175">
        <v>154</v>
      </c>
      <c r="C1175" t="s">
        <v>1007</v>
      </c>
      <c r="D1175" t="s">
        <v>3033</v>
      </c>
      <c r="E1175" t="s">
        <v>1006</v>
      </c>
      <c r="F1175" t="s">
        <v>4212</v>
      </c>
      <c r="G1175" t="s">
        <v>24</v>
      </c>
      <c r="H1175" t="s">
        <v>26</v>
      </c>
      <c r="I1175" t="s">
        <v>3167</v>
      </c>
      <c r="J1175" t="s">
        <v>1967</v>
      </c>
      <c r="K1175" t="s">
        <v>3227</v>
      </c>
      <c r="L1175" t="s">
        <v>1967</v>
      </c>
      <c r="M1175" t="s">
        <v>1008</v>
      </c>
      <c r="N1175" t="s">
        <v>1009</v>
      </c>
      <c r="O1175" t="s">
        <v>1009</v>
      </c>
      <c r="P1175" t="s">
        <v>1089</v>
      </c>
      <c r="Q1175" t="s">
        <v>3169</v>
      </c>
      <c r="R1175" t="s">
        <v>446</v>
      </c>
      <c r="S1175" t="s">
        <v>2986</v>
      </c>
      <c r="T1175" t="s">
        <v>1965</v>
      </c>
      <c r="U1175" t="b">
        <v>0</v>
      </c>
      <c r="V1175" t="s">
        <v>2160</v>
      </c>
    </row>
    <row r="1176" spans="1:22" x14ac:dyDescent="0.25">
      <c r="A1176" t="s">
        <v>42</v>
      </c>
      <c r="B1176">
        <v>154</v>
      </c>
      <c r="C1176" t="s">
        <v>1014</v>
      </c>
      <c r="D1176" t="s">
        <v>3042</v>
      </c>
      <c r="E1176" t="s">
        <v>1013</v>
      </c>
      <c r="F1176" t="s">
        <v>4213</v>
      </c>
      <c r="G1176" t="s">
        <v>24</v>
      </c>
      <c r="H1176" t="s">
        <v>26</v>
      </c>
      <c r="I1176" t="s">
        <v>3167</v>
      </c>
      <c r="J1176" t="s">
        <v>1016</v>
      </c>
      <c r="K1176" t="s">
        <v>3181</v>
      </c>
      <c r="L1176" t="s">
        <v>1016</v>
      </c>
      <c r="M1176" t="s">
        <v>980</v>
      </c>
      <c r="N1176" t="s">
        <v>1015</v>
      </c>
      <c r="O1176" t="s">
        <v>1015</v>
      </c>
      <c r="P1176" t="s">
        <v>1089</v>
      </c>
      <c r="Q1176" t="s">
        <v>3169</v>
      </c>
      <c r="R1176" t="s">
        <v>446</v>
      </c>
      <c r="S1176" t="s">
        <v>2986</v>
      </c>
      <c r="T1176" t="s">
        <v>1965</v>
      </c>
      <c r="U1176" t="b">
        <v>0</v>
      </c>
      <c r="V1176" t="s">
        <v>2160</v>
      </c>
    </row>
    <row r="1177" spans="1:22" x14ac:dyDescent="0.25">
      <c r="A1177" t="s">
        <v>42</v>
      </c>
      <c r="B1177">
        <v>154</v>
      </c>
      <c r="C1177" t="s">
        <v>1019</v>
      </c>
      <c r="D1177" t="s">
        <v>3051</v>
      </c>
      <c r="E1177" t="s">
        <v>1018</v>
      </c>
      <c r="F1177" t="s">
        <v>4214</v>
      </c>
      <c r="G1177" t="s">
        <v>24</v>
      </c>
      <c r="H1177" t="s">
        <v>26</v>
      </c>
      <c r="I1177" t="s">
        <v>3167</v>
      </c>
      <c r="J1177" t="s">
        <v>1021</v>
      </c>
      <c r="K1177" t="s">
        <v>3183</v>
      </c>
      <c r="L1177" t="s">
        <v>1021</v>
      </c>
      <c r="M1177" t="s">
        <v>980</v>
      </c>
      <c r="N1177" t="s">
        <v>1020</v>
      </c>
      <c r="O1177" t="s">
        <v>1020</v>
      </c>
      <c r="P1177" t="s">
        <v>1089</v>
      </c>
      <c r="Q1177" t="s">
        <v>3169</v>
      </c>
      <c r="R1177" t="s">
        <v>446</v>
      </c>
      <c r="S1177" t="s">
        <v>2986</v>
      </c>
      <c r="T1177" t="s">
        <v>1965</v>
      </c>
      <c r="U1177" t="b">
        <v>0</v>
      </c>
      <c r="V1177" t="s">
        <v>2160</v>
      </c>
    </row>
    <row r="1178" spans="1:22" x14ac:dyDescent="0.25">
      <c r="A1178" t="s">
        <v>42</v>
      </c>
      <c r="B1178">
        <v>154</v>
      </c>
      <c r="C1178" t="s">
        <v>1024</v>
      </c>
      <c r="D1178" t="s">
        <v>3060</v>
      </c>
      <c r="E1178" t="s">
        <v>1023</v>
      </c>
      <c r="F1178" t="s">
        <v>4215</v>
      </c>
      <c r="G1178" t="s">
        <v>24</v>
      </c>
      <c r="H1178" t="s">
        <v>26</v>
      </c>
      <c r="I1178" t="s">
        <v>3167</v>
      </c>
      <c r="J1178" t="s">
        <v>1026</v>
      </c>
      <c r="K1178" t="s">
        <v>3185</v>
      </c>
      <c r="L1178" t="s">
        <v>1026</v>
      </c>
      <c r="M1178" t="s">
        <v>1000</v>
      </c>
      <c r="N1178" t="s">
        <v>1025</v>
      </c>
      <c r="O1178" t="s">
        <v>1025</v>
      </c>
      <c r="P1178" t="s">
        <v>1089</v>
      </c>
      <c r="Q1178" t="s">
        <v>3169</v>
      </c>
      <c r="R1178" t="s">
        <v>446</v>
      </c>
      <c r="S1178" t="s">
        <v>2986</v>
      </c>
      <c r="T1178" t="s">
        <v>1965</v>
      </c>
      <c r="U1178" t="b">
        <v>0</v>
      </c>
      <c r="V1178" t="s">
        <v>2160</v>
      </c>
    </row>
    <row r="1179" spans="1:22" x14ac:dyDescent="0.25">
      <c r="A1179" t="s">
        <v>42</v>
      </c>
      <c r="B1179">
        <v>154</v>
      </c>
      <c r="C1179" t="s">
        <v>1028</v>
      </c>
      <c r="D1179" t="s">
        <v>3069</v>
      </c>
      <c r="E1179" t="s">
        <v>1010</v>
      </c>
      <c r="F1179" t="s">
        <v>4215</v>
      </c>
      <c r="G1179" t="s">
        <v>24</v>
      </c>
      <c r="H1179" t="s">
        <v>26</v>
      </c>
      <c r="I1179" t="s">
        <v>3167</v>
      </c>
      <c r="J1179" t="s">
        <v>1026</v>
      </c>
      <c r="K1179" t="s">
        <v>3185</v>
      </c>
      <c r="L1179" t="s">
        <v>1026</v>
      </c>
      <c r="M1179" t="s">
        <v>1000</v>
      </c>
      <c r="N1179" t="s">
        <v>1025</v>
      </c>
      <c r="O1179" t="s">
        <v>1025</v>
      </c>
      <c r="P1179" t="s">
        <v>1089</v>
      </c>
      <c r="Q1179" t="s">
        <v>3169</v>
      </c>
      <c r="R1179" t="s">
        <v>446</v>
      </c>
      <c r="S1179" t="s">
        <v>2986</v>
      </c>
      <c r="T1179" t="s">
        <v>1965</v>
      </c>
      <c r="U1179" t="b">
        <v>0</v>
      </c>
      <c r="V1179" t="s">
        <v>2160</v>
      </c>
    </row>
    <row r="1180" spans="1:22" x14ac:dyDescent="0.25">
      <c r="A1180" t="s">
        <v>42</v>
      </c>
      <c r="B1180">
        <v>154</v>
      </c>
      <c r="C1180" t="s">
        <v>1030</v>
      </c>
      <c r="D1180" t="s">
        <v>3078</v>
      </c>
      <c r="E1180" t="s">
        <v>1029</v>
      </c>
      <c r="F1180" t="s">
        <v>4216</v>
      </c>
      <c r="G1180" t="s">
        <v>24</v>
      </c>
      <c r="H1180" t="s">
        <v>26</v>
      </c>
      <c r="I1180" t="s">
        <v>3167</v>
      </c>
      <c r="J1180" t="s">
        <v>1033</v>
      </c>
      <c r="K1180" t="s">
        <v>3189</v>
      </c>
      <c r="L1180" t="s">
        <v>1033</v>
      </c>
      <c r="M1180" t="s">
        <v>980</v>
      </c>
      <c r="N1180" t="s">
        <v>1031</v>
      </c>
      <c r="O1180" t="s">
        <v>1031</v>
      </c>
      <c r="P1180" t="s">
        <v>1089</v>
      </c>
      <c r="Q1180" t="s">
        <v>3169</v>
      </c>
      <c r="R1180" t="s">
        <v>446</v>
      </c>
      <c r="S1180" t="s">
        <v>2986</v>
      </c>
      <c r="T1180" t="s">
        <v>1965</v>
      </c>
      <c r="U1180" t="b">
        <v>0</v>
      </c>
      <c r="V1180" t="s">
        <v>2160</v>
      </c>
    </row>
    <row r="1181" spans="1:22" x14ac:dyDescent="0.25">
      <c r="A1181" t="s">
        <v>42</v>
      </c>
      <c r="B1181">
        <v>154</v>
      </c>
      <c r="C1181" t="s">
        <v>1036</v>
      </c>
      <c r="D1181" t="s">
        <v>3087</v>
      </c>
      <c r="E1181" t="s">
        <v>1035</v>
      </c>
      <c r="F1181" t="s">
        <v>4217</v>
      </c>
      <c r="G1181" t="s">
        <v>24</v>
      </c>
      <c r="H1181" t="s">
        <v>26</v>
      </c>
      <c r="I1181" t="s">
        <v>3167</v>
      </c>
      <c r="J1181" t="s">
        <v>1038</v>
      </c>
      <c r="K1181" t="s">
        <v>3191</v>
      </c>
      <c r="L1181" t="s">
        <v>1038</v>
      </c>
      <c r="M1181" t="s">
        <v>980</v>
      </c>
      <c r="N1181" t="s">
        <v>1037</v>
      </c>
      <c r="O1181" t="s">
        <v>1037</v>
      </c>
      <c r="P1181" t="s">
        <v>1089</v>
      </c>
      <c r="Q1181" t="s">
        <v>3169</v>
      </c>
      <c r="R1181" t="s">
        <v>446</v>
      </c>
      <c r="S1181" t="s">
        <v>2986</v>
      </c>
      <c r="T1181" t="s">
        <v>1965</v>
      </c>
      <c r="U1181" t="b">
        <v>0</v>
      </c>
      <c r="V1181" t="s">
        <v>2160</v>
      </c>
    </row>
    <row r="1182" spans="1:22" x14ac:dyDescent="0.25">
      <c r="A1182" t="s">
        <v>42</v>
      </c>
      <c r="B1182">
        <v>154</v>
      </c>
      <c r="C1182" t="s">
        <v>1041</v>
      </c>
      <c r="D1182" t="s">
        <v>3096</v>
      </c>
      <c r="E1182" t="s">
        <v>1040</v>
      </c>
      <c r="F1182" t="s">
        <v>4218</v>
      </c>
      <c r="G1182" t="s">
        <v>24</v>
      </c>
      <c r="H1182" t="s">
        <v>26</v>
      </c>
      <c r="I1182" t="s">
        <v>3167</v>
      </c>
      <c r="J1182" t="s">
        <v>1043</v>
      </c>
      <c r="K1182" t="s">
        <v>3193</v>
      </c>
      <c r="L1182" t="s">
        <v>1043</v>
      </c>
      <c r="M1182" t="s">
        <v>980</v>
      </c>
      <c r="N1182" t="s">
        <v>1042</v>
      </c>
      <c r="O1182" t="s">
        <v>1042</v>
      </c>
      <c r="P1182" t="s">
        <v>1089</v>
      </c>
      <c r="Q1182" t="s">
        <v>3169</v>
      </c>
      <c r="R1182" t="s">
        <v>446</v>
      </c>
      <c r="S1182" t="s">
        <v>2986</v>
      </c>
      <c r="T1182" t="s">
        <v>1965</v>
      </c>
      <c r="U1182" t="b">
        <v>0</v>
      </c>
      <c r="V1182" t="s">
        <v>2160</v>
      </c>
    </row>
    <row r="1183" spans="1:22" x14ac:dyDescent="0.25">
      <c r="A1183" t="s">
        <v>42</v>
      </c>
      <c r="B1183">
        <v>154</v>
      </c>
      <c r="C1183" t="s">
        <v>1046</v>
      </c>
      <c r="D1183" t="s">
        <v>3105</v>
      </c>
      <c r="E1183" t="s">
        <v>1045</v>
      </c>
      <c r="F1183" t="s">
        <v>4219</v>
      </c>
      <c r="G1183" t="s">
        <v>24</v>
      </c>
      <c r="H1183" t="s">
        <v>26</v>
      </c>
      <c r="I1183" t="s">
        <v>3167</v>
      </c>
      <c r="J1183" t="s">
        <v>1048</v>
      </c>
      <c r="K1183" t="s">
        <v>3195</v>
      </c>
      <c r="L1183" t="s">
        <v>1048</v>
      </c>
      <c r="M1183" t="s">
        <v>1000</v>
      </c>
      <c r="N1183" t="s">
        <v>1047</v>
      </c>
      <c r="O1183" t="s">
        <v>1047</v>
      </c>
      <c r="P1183" t="s">
        <v>1089</v>
      </c>
      <c r="Q1183" t="s">
        <v>3169</v>
      </c>
      <c r="R1183" t="s">
        <v>446</v>
      </c>
      <c r="S1183" t="s">
        <v>2986</v>
      </c>
      <c r="T1183" t="s">
        <v>1965</v>
      </c>
      <c r="U1183" t="b">
        <v>0</v>
      </c>
      <c r="V1183" t="s">
        <v>2160</v>
      </c>
    </row>
    <row r="1184" spans="1:22" x14ac:dyDescent="0.25">
      <c r="A1184" t="s">
        <v>42</v>
      </c>
      <c r="B1184">
        <v>154</v>
      </c>
      <c r="C1184" t="s">
        <v>1050</v>
      </c>
      <c r="D1184" t="s">
        <v>3114</v>
      </c>
      <c r="E1184" t="s">
        <v>1032</v>
      </c>
      <c r="F1184" t="s">
        <v>4219</v>
      </c>
      <c r="G1184" t="s">
        <v>24</v>
      </c>
      <c r="H1184" t="s">
        <v>26</v>
      </c>
      <c r="I1184" t="s">
        <v>3167</v>
      </c>
      <c r="J1184" t="s">
        <v>1048</v>
      </c>
      <c r="K1184" t="s">
        <v>3195</v>
      </c>
      <c r="L1184" t="s">
        <v>1048</v>
      </c>
      <c r="M1184" t="s">
        <v>1000</v>
      </c>
      <c r="N1184" t="s">
        <v>1047</v>
      </c>
      <c r="O1184" t="s">
        <v>1047</v>
      </c>
      <c r="P1184" t="s">
        <v>1089</v>
      </c>
      <c r="Q1184" t="s">
        <v>3169</v>
      </c>
      <c r="R1184" t="s">
        <v>446</v>
      </c>
      <c r="S1184" t="s">
        <v>2986</v>
      </c>
      <c r="T1184" t="s">
        <v>1965</v>
      </c>
      <c r="U1184" t="b">
        <v>0</v>
      </c>
      <c r="V1184" t="s">
        <v>2160</v>
      </c>
    </row>
    <row r="1185" spans="1:22" x14ac:dyDescent="0.25">
      <c r="A1185" t="s">
        <v>42</v>
      </c>
      <c r="B1185">
        <v>154</v>
      </c>
      <c r="C1185" t="s">
        <v>1052</v>
      </c>
      <c r="D1185" t="s">
        <v>3123</v>
      </c>
      <c r="E1185" t="s">
        <v>1051</v>
      </c>
      <c r="F1185" t="s">
        <v>4220</v>
      </c>
      <c r="G1185" t="s">
        <v>24</v>
      </c>
      <c r="H1185" t="s">
        <v>26</v>
      </c>
      <c r="I1185" t="s">
        <v>3167</v>
      </c>
      <c r="J1185" t="s">
        <v>1055</v>
      </c>
      <c r="K1185" t="s">
        <v>3199</v>
      </c>
      <c r="L1185" t="s">
        <v>1055</v>
      </c>
      <c r="M1185" t="s">
        <v>980</v>
      </c>
      <c r="N1185" t="s">
        <v>1053</v>
      </c>
      <c r="O1185" t="s">
        <v>1053</v>
      </c>
      <c r="P1185" t="s">
        <v>1089</v>
      </c>
      <c r="Q1185" t="s">
        <v>3169</v>
      </c>
      <c r="R1185" t="s">
        <v>446</v>
      </c>
      <c r="S1185" t="s">
        <v>2986</v>
      </c>
      <c r="T1185" t="s">
        <v>1965</v>
      </c>
      <c r="U1185" t="b">
        <v>0</v>
      </c>
      <c r="V1185" t="s">
        <v>2160</v>
      </c>
    </row>
    <row r="1186" spans="1:22" x14ac:dyDescent="0.25">
      <c r="A1186" t="s">
        <v>42</v>
      </c>
      <c r="B1186">
        <v>156</v>
      </c>
      <c r="C1186" t="s">
        <v>979</v>
      </c>
      <c r="D1186" t="s">
        <v>2989</v>
      </c>
      <c r="E1186" t="s">
        <v>978</v>
      </c>
      <c r="F1186" t="s">
        <v>4075</v>
      </c>
      <c r="G1186" t="s">
        <v>24</v>
      </c>
      <c r="H1186" t="s">
        <v>26</v>
      </c>
      <c r="I1186" t="s">
        <v>3167</v>
      </c>
      <c r="J1186" t="s">
        <v>984</v>
      </c>
      <c r="K1186" t="s">
        <v>3168</v>
      </c>
      <c r="L1186" t="s">
        <v>984</v>
      </c>
      <c r="M1186" t="s">
        <v>980</v>
      </c>
      <c r="N1186" t="s">
        <v>981</v>
      </c>
      <c r="O1186" t="s">
        <v>981</v>
      </c>
      <c r="P1186" t="s">
        <v>1089</v>
      </c>
      <c r="Q1186" t="s">
        <v>3169</v>
      </c>
      <c r="R1186" t="s">
        <v>446</v>
      </c>
      <c r="S1186" t="s">
        <v>2990</v>
      </c>
      <c r="T1186" t="s">
        <v>1965</v>
      </c>
      <c r="U1186" t="b">
        <v>0</v>
      </c>
      <c r="V1186" t="s">
        <v>2160</v>
      </c>
    </row>
    <row r="1187" spans="1:22" x14ac:dyDescent="0.25">
      <c r="A1187" t="s">
        <v>42</v>
      </c>
      <c r="B1187">
        <v>156</v>
      </c>
      <c r="C1187" t="s">
        <v>987</v>
      </c>
      <c r="D1187" t="s">
        <v>2999</v>
      </c>
      <c r="E1187" t="s">
        <v>986</v>
      </c>
      <c r="F1187" t="s">
        <v>4076</v>
      </c>
      <c r="G1187" t="s">
        <v>24</v>
      </c>
      <c r="H1187" t="s">
        <v>26</v>
      </c>
      <c r="I1187" t="s">
        <v>3167</v>
      </c>
      <c r="J1187" t="s">
        <v>990</v>
      </c>
      <c r="K1187" t="s">
        <v>3171</v>
      </c>
      <c r="L1187" t="s">
        <v>990</v>
      </c>
      <c r="M1187" t="s">
        <v>980</v>
      </c>
      <c r="N1187" t="s">
        <v>988</v>
      </c>
      <c r="O1187" t="s">
        <v>988</v>
      </c>
      <c r="P1187" t="s">
        <v>1089</v>
      </c>
      <c r="Q1187" t="s">
        <v>3169</v>
      </c>
      <c r="R1187" t="s">
        <v>446</v>
      </c>
      <c r="S1187" t="s">
        <v>2990</v>
      </c>
      <c r="T1187" t="s">
        <v>1965</v>
      </c>
      <c r="U1187" t="b">
        <v>0</v>
      </c>
      <c r="V1187" t="s">
        <v>2160</v>
      </c>
    </row>
    <row r="1188" spans="1:22" x14ac:dyDescent="0.25">
      <c r="A1188" t="s">
        <v>42</v>
      </c>
      <c r="B1188">
        <v>156</v>
      </c>
      <c r="C1188" t="s">
        <v>993</v>
      </c>
      <c r="D1188" t="s">
        <v>3008</v>
      </c>
      <c r="E1188" t="s">
        <v>992</v>
      </c>
      <c r="F1188" t="s">
        <v>4077</v>
      </c>
      <c r="G1188" t="s">
        <v>24</v>
      </c>
      <c r="H1188" t="s">
        <v>26</v>
      </c>
      <c r="I1188" t="s">
        <v>3167</v>
      </c>
      <c r="J1188" t="s">
        <v>996</v>
      </c>
      <c r="K1188" t="s">
        <v>3173</v>
      </c>
      <c r="L1188" t="s">
        <v>996</v>
      </c>
      <c r="M1188" t="s">
        <v>980</v>
      </c>
      <c r="N1188" t="s">
        <v>994</v>
      </c>
      <c r="O1188" t="s">
        <v>994</v>
      </c>
      <c r="P1188" t="s">
        <v>1089</v>
      </c>
      <c r="Q1188" t="s">
        <v>3169</v>
      </c>
      <c r="R1188" t="s">
        <v>446</v>
      </c>
      <c r="S1188" t="s">
        <v>2990</v>
      </c>
      <c r="T1188" t="s">
        <v>1965</v>
      </c>
      <c r="U1188" t="b">
        <v>0</v>
      </c>
      <c r="V1188" t="s">
        <v>2160</v>
      </c>
    </row>
    <row r="1189" spans="1:22" x14ac:dyDescent="0.25">
      <c r="A1189" t="s">
        <v>42</v>
      </c>
      <c r="B1189">
        <v>156</v>
      </c>
      <c r="C1189" t="s">
        <v>999</v>
      </c>
      <c r="D1189" t="s">
        <v>3017</v>
      </c>
      <c r="E1189" t="s">
        <v>998</v>
      </c>
      <c r="F1189" t="s">
        <v>4078</v>
      </c>
      <c r="G1189" t="s">
        <v>24</v>
      </c>
      <c r="H1189" t="s">
        <v>26</v>
      </c>
      <c r="I1189" t="s">
        <v>3167</v>
      </c>
      <c r="J1189" t="s">
        <v>1003</v>
      </c>
      <c r="K1189" t="s">
        <v>3175</v>
      </c>
      <c r="L1189" t="s">
        <v>1003</v>
      </c>
      <c r="M1189" t="s">
        <v>1000</v>
      </c>
      <c r="N1189" t="s">
        <v>1001</v>
      </c>
      <c r="O1189" t="s">
        <v>1001</v>
      </c>
      <c r="P1189" t="s">
        <v>1089</v>
      </c>
      <c r="Q1189" t="s">
        <v>3169</v>
      </c>
      <c r="R1189" t="s">
        <v>446</v>
      </c>
      <c r="S1189" t="s">
        <v>2990</v>
      </c>
      <c r="T1189" t="s">
        <v>1965</v>
      </c>
      <c r="U1189" t="b">
        <v>0</v>
      </c>
      <c r="V1189" t="s">
        <v>2160</v>
      </c>
    </row>
    <row r="1190" spans="1:22" x14ac:dyDescent="0.25">
      <c r="A1190" t="s">
        <v>42</v>
      </c>
      <c r="B1190">
        <v>156</v>
      </c>
      <c r="C1190" t="s">
        <v>1005</v>
      </c>
      <c r="D1190" t="s">
        <v>3026</v>
      </c>
      <c r="E1190" t="s">
        <v>982</v>
      </c>
      <c r="F1190" t="s">
        <v>4078</v>
      </c>
      <c r="G1190" t="s">
        <v>24</v>
      </c>
      <c r="H1190" t="s">
        <v>26</v>
      </c>
      <c r="I1190" t="s">
        <v>3167</v>
      </c>
      <c r="J1190" t="s">
        <v>1003</v>
      </c>
      <c r="K1190" t="s">
        <v>3175</v>
      </c>
      <c r="L1190" t="s">
        <v>1003</v>
      </c>
      <c r="M1190" t="s">
        <v>1000</v>
      </c>
      <c r="N1190" t="s">
        <v>1001</v>
      </c>
      <c r="O1190" t="s">
        <v>1001</v>
      </c>
      <c r="P1190" t="s">
        <v>1089</v>
      </c>
      <c r="Q1190" t="s">
        <v>3169</v>
      </c>
      <c r="R1190" t="s">
        <v>446</v>
      </c>
      <c r="S1190" t="s">
        <v>2990</v>
      </c>
      <c r="T1190" t="s">
        <v>1965</v>
      </c>
      <c r="U1190" t="b">
        <v>0</v>
      </c>
      <c r="V1190" t="s">
        <v>2160</v>
      </c>
    </row>
    <row r="1191" spans="1:22" x14ac:dyDescent="0.25">
      <c r="A1191" t="s">
        <v>42</v>
      </c>
      <c r="B1191">
        <v>156</v>
      </c>
      <c r="C1191" t="s">
        <v>1007</v>
      </c>
      <c r="D1191" t="s">
        <v>3035</v>
      </c>
      <c r="E1191" t="s">
        <v>1006</v>
      </c>
      <c r="F1191" t="s">
        <v>4079</v>
      </c>
      <c r="G1191" t="s">
        <v>24</v>
      </c>
      <c r="H1191" t="s">
        <v>26</v>
      </c>
      <c r="I1191" t="s">
        <v>3167</v>
      </c>
      <c r="J1191" t="s">
        <v>1967</v>
      </c>
      <c r="K1191" t="s">
        <v>3227</v>
      </c>
      <c r="L1191" t="s">
        <v>1967</v>
      </c>
      <c r="M1191" t="s">
        <v>1008</v>
      </c>
      <c r="N1191" t="s">
        <v>1009</v>
      </c>
      <c r="O1191" t="s">
        <v>1009</v>
      </c>
      <c r="P1191" t="s">
        <v>1089</v>
      </c>
      <c r="Q1191" t="s">
        <v>3169</v>
      </c>
      <c r="R1191" t="s">
        <v>446</v>
      </c>
      <c r="S1191" t="s">
        <v>2990</v>
      </c>
      <c r="T1191" t="s">
        <v>1965</v>
      </c>
      <c r="U1191" t="b">
        <v>0</v>
      </c>
      <c r="V1191" t="s">
        <v>2160</v>
      </c>
    </row>
    <row r="1192" spans="1:22" x14ac:dyDescent="0.25">
      <c r="A1192" t="s">
        <v>42</v>
      </c>
      <c r="B1192">
        <v>156</v>
      </c>
      <c r="C1192" t="s">
        <v>1014</v>
      </c>
      <c r="D1192" t="s">
        <v>3044</v>
      </c>
      <c r="E1192" t="s">
        <v>1013</v>
      </c>
      <c r="F1192" t="s">
        <v>4080</v>
      </c>
      <c r="G1192" t="s">
        <v>24</v>
      </c>
      <c r="H1192" t="s">
        <v>26</v>
      </c>
      <c r="I1192" t="s">
        <v>3167</v>
      </c>
      <c r="J1192" t="s">
        <v>1016</v>
      </c>
      <c r="K1192" t="s">
        <v>3181</v>
      </c>
      <c r="L1192" t="s">
        <v>1016</v>
      </c>
      <c r="M1192" t="s">
        <v>980</v>
      </c>
      <c r="N1192" t="s">
        <v>1015</v>
      </c>
      <c r="O1192" t="s">
        <v>1015</v>
      </c>
      <c r="P1192" t="s">
        <v>1089</v>
      </c>
      <c r="Q1192" t="s">
        <v>3169</v>
      </c>
      <c r="R1192" t="s">
        <v>446</v>
      </c>
      <c r="S1192" t="s">
        <v>2990</v>
      </c>
      <c r="T1192" t="s">
        <v>1965</v>
      </c>
      <c r="U1192" t="b">
        <v>0</v>
      </c>
      <c r="V1192" t="s">
        <v>2160</v>
      </c>
    </row>
    <row r="1193" spans="1:22" x14ac:dyDescent="0.25">
      <c r="A1193" t="s">
        <v>42</v>
      </c>
      <c r="B1193">
        <v>156</v>
      </c>
      <c r="C1193" t="s">
        <v>1019</v>
      </c>
      <c r="D1193" t="s">
        <v>3053</v>
      </c>
      <c r="E1193" t="s">
        <v>1018</v>
      </c>
      <c r="F1193" t="s">
        <v>4081</v>
      </c>
      <c r="G1193" t="s">
        <v>24</v>
      </c>
      <c r="H1193" t="s">
        <v>26</v>
      </c>
      <c r="I1193" t="s">
        <v>3167</v>
      </c>
      <c r="J1193" t="s">
        <v>1021</v>
      </c>
      <c r="K1193" t="s">
        <v>3183</v>
      </c>
      <c r="L1193" t="s">
        <v>1021</v>
      </c>
      <c r="M1193" t="s">
        <v>980</v>
      </c>
      <c r="N1193" t="s">
        <v>1020</v>
      </c>
      <c r="O1193" t="s">
        <v>1020</v>
      </c>
      <c r="P1193" t="s">
        <v>1089</v>
      </c>
      <c r="Q1193" t="s">
        <v>3169</v>
      </c>
      <c r="R1193" t="s">
        <v>446</v>
      </c>
      <c r="S1193" t="s">
        <v>2990</v>
      </c>
      <c r="T1193" t="s">
        <v>1965</v>
      </c>
      <c r="U1193" t="b">
        <v>0</v>
      </c>
      <c r="V1193" t="s">
        <v>2160</v>
      </c>
    </row>
    <row r="1194" spans="1:22" x14ac:dyDescent="0.25">
      <c r="A1194" t="s">
        <v>42</v>
      </c>
      <c r="B1194">
        <v>156</v>
      </c>
      <c r="C1194" t="s">
        <v>1024</v>
      </c>
      <c r="D1194" t="s">
        <v>3062</v>
      </c>
      <c r="E1194" t="s">
        <v>1023</v>
      </c>
      <c r="F1194" t="s">
        <v>4082</v>
      </c>
      <c r="G1194" t="s">
        <v>24</v>
      </c>
      <c r="H1194" t="s">
        <v>26</v>
      </c>
      <c r="I1194" t="s">
        <v>3167</v>
      </c>
      <c r="J1194" t="s">
        <v>1026</v>
      </c>
      <c r="K1194" t="s">
        <v>3185</v>
      </c>
      <c r="L1194" t="s">
        <v>1026</v>
      </c>
      <c r="M1194" t="s">
        <v>1000</v>
      </c>
      <c r="N1194" t="s">
        <v>1025</v>
      </c>
      <c r="O1194" t="s">
        <v>1025</v>
      </c>
      <c r="P1194" t="s">
        <v>1089</v>
      </c>
      <c r="Q1194" t="s">
        <v>3169</v>
      </c>
      <c r="R1194" t="s">
        <v>446</v>
      </c>
      <c r="S1194" t="s">
        <v>2990</v>
      </c>
      <c r="T1194" t="s">
        <v>1965</v>
      </c>
      <c r="U1194" t="b">
        <v>0</v>
      </c>
      <c r="V1194" t="s">
        <v>2160</v>
      </c>
    </row>
    <row r="1195" spans="1:22" x14ac:dyDescent="0.25">
      <c r="A1195" t="s">
        <v>42</v>
      </c>
      <c r="B1195">
        <v>156</v>
      </c>
      <c r="C1195" t="s">
        <v>1028</v>
      </c>
      <c r="D1195" t="s">
        <v>3071</v>
      </c>
      <c r="E1195" t="s">
        <v>1010</v>
      </c>
      <c r="F1195" t="s">
        <v>4082</v>
      </c>
      <c r="G1195" t="s">
        <v>24</v>
      </c>
      <c r="H1195" t="s">
        <v>26</v>
      </c>
      <c r="I1195" t="s">
        <v>3167</v>
      </c>
      <c r="J1195" t="s">
        <v>1026</v>
      </c>
      <c r="K1195" t="s">
        <v>3185</v>
      </c>
      <c r="L1195" t="s">
        <v>1026</v>
      </c>
      <c r="M1195" t="s">
        <v>1000</v>
      </c>
      <c r="N1195" t="s">
        <v>1025</v>
      </c>
      <c r="O1195" t="s">
        <v>1025</v>
      </c>
      <c r="P1195" t="s">
        <v>1089</v>
      </c>
      <c r="Q1195" t="s">
        <v>3169</v>
      </c>
      <c r="R1195" t="s">
        <v>446</v>
      </c>
      <c r="S1195" t="s">
        <v>2990</v>
      </c>
      <c r="T1195" t="s">
        <v>1965</v>
      </c>
      <c r="U1195" t="b">
        <v>0</v>
      </c>
      <c r="V1195" t="s">
        <v>2160</v>
      </c>
    </row>
    <row r="1196" spans="1:22" x14ac:dyDescent="0.25">
      <c r="A1196" t="s">
        <v>42</v>
      </c>
      <c r="B1196">
        <v>156</v>
      </c>
      <c r="C1196" t="s">
        <v>1030</v>
      </c>
      <c r="D1196" t="s">
        <v>3080</v>
      </c>
      <c r="E1196" t="s">
        <v>1029</v>
      </c>
      <c r="F1196" t="s">
        <v>4083</v>
      </c>
      <c r="G1196" t="s">
        <v>24</v>
      </c>
      <c r="H1196" t="s">
        <v>26</v>
      </c>
      <c r="I1196" t="s">
        <v>3167</v>
      </c>
      <c r="J1196" t="s">
        <v>1033</v>
      </c>
      <c r="K1196" t="s">
        <v>3189</v>
      </c>
      <c r="L1196" t="s">
        <v>1033</v>
      </c>
      <c r="M1196" t="s">
        <v>980</v>
      </c>
      <c r="N1196" t="s">
        <v>1031</v>
      </c>
      <c r="O1196" t="s">
        <v>1031</v>
      </c>
      <c r="P1196" t="s">
        <v>1089</v>
      </c>
      <c r="Q1196" t="s">
        <v>3169</v>
      </c>
      <c r="R1196" t="s">
        <v>446</v>
      </c>
      <c r="S1196" t="s">
        <v>2990</v>
      </c>
      <c r="T1196" t="s">
        <v>1965</v>
      </c>
      <c r="U1196" t="b">
        <v>0</v>
      </c>
      <c r="V1196" t="s">
        <v>2160</v>
      </c>
    </row>
    <row r="1197" spans="1:22" x14ac:dyDescent="0.25">
      <c r="A1197" t="s">
        <v>42</v>
      </c>
      <c r="B1197">
        <v>156</v>
      </c>
      <c r="C1197" t="s">
        <v>1036</v>
      </c>
      <c r="D1197" t="s">
        <v>3089</v>
      </c>
      <c r="E1197" t="s">
        <v>1035</v>
      </c>
      <c r="F1197" t="s">
        <v>4084</v>
      </c>
      <c r="G1197" t="s">
        <v>24</v>
      </c>
      <c r="H1197" t="s">
        <v>26</v>
      </c>
      <c r="I1197" t="s">
        <v>3167</v>
      </c>
      <c r="J1197" t="s">
        <v>1038</v>
      </c>
      <c r="K1197" t="s">
        <v>3191</v>
      </c>
      <c r="L1197" t="s">
        <v>1038</v>
      </c>
      <c r="M1197" t="s">
        <v>980</v>
      </c>
      <c r="N1197" t="s">
        <v>1037</v>
      </c>
      <c r="O1197" t="s">
        <v>1037</v>
      </c>
      <c r="P1197" t="s">
        <v>1089</v>
      </c>
      <c r="Q1197" t="s">
        <v>3169</v>
      </c>
      <c r="R1197" t="s">
        <v>446</v>
      </c>
      <c r="S1197" t="s">
        <v>2990</v>
      </c>
      <c r="T1197" t="s">
        <v>1965</v>
      </c>
      <c r="U1197" t="b">
        <v>0</v>
      </c>
      <c r="V1197" t="s">
        <v>2160</v>
      </c>
    </row>
    <row r="1198" spans="1:22" x14ac:dyDescent="0.25">
      <c r="A1198" t="s">
        <v>42</v>
      </c>
      <c r="B1198">
        <v>156</v>
      </c>
      <c r="C1198" t="s">
        <v>1041</v>
      </c>
      <c r="D1198" t="s">
        <v>3098</v>
      </c>
      <c r="E1198" t="s">
        <v>1040</v>
      </c>
      <c r="F1198" t="s">
        <v>4085</v>
      </c>
      <c r="G1198" t="s">
        <v>24</v>
      </c>
      <c r="H1198" t="s">
        <v>26</v>
      </c>
      <c r="I1198" t="s">
        <v>3167</v>
      </c>
      <c r="J1198" t="s">
        <v>1043</v>
      </c>
      <c r="K1198" t="s">
        <v>3193</v>
      </c>
      <c r="L1198" t="s">
        <v>1043</v>
      </c>
      <c r="M1198" t="s">
        <v>980</v>
      </c>
      <c r="N1198" t="s">
        <v>1042</v>
      </c>
      <c r="O1198" t="s">
        <v>1042</v>
      </c>
      <c r="P1198" t="s">
        <v>1089</v>
      </c>
      <c r="Q1198" t="s">
        <v>3169</v>
      </c>
      <c r="R1198" t="s">
        <v>446</v>
      </c>
      <c r="S1198" t="s">
        <v>2990</v>
      </c>
      <c r="T1198" t="s">
        <v>1965</v>
      </c>
      <c r="U1198" t="b">
        <v>0</v>
      </c>
      <c r="V1198" t="s">
        <v>2160</v>
      </c>
    </row>
    <row r="1199" spans="1:22" x14ac:dyDescent="0.25">
      <c r="A1199" t="s">
        <v>42</v>
      </c>
      <c r="B1199">
        <v>156</v>
      </c>
      <c r="C1199" t="s">
        <v>1046</v>
      </c>
      <c r="D1199" t="s">
        <v>3107</v>
      </c>
      <c r="E1199" t="s">
        <v>1045</v>
      </c>
      <c r="F1199" t="s">
        <v>4086</v>
      </c>
      <c r="G1199" t="s">
        <v>24</v>
      </c>
      <c r="H1199" t="s">
        <v>26</v>
      </c>
      <c r="I1199" t="s">
        <v>3167</v>
      </c>
      <c r="J1199" t="s">
        <v>1048</v>
      </c>
      <c r="K1199" t="s">
        <v>3195</v>
      </c>
      <c r="L1199" t="s">
        <v>1048</v>
      </c>
      <c r="M1199" t="s">
        <v>1000</v>
      </c>
      <c r="N1199" t="s">
        <v>1047</v>
      </c>
      <c r="O1199" t="s">
        <v>1047</v>
      </c>
      <c r="P1199" t="s">
        <v>1089</v>
      </c>
      <c r="Q1199" t="s">
        <v>3169</v>
      </c>
      <c r="R1199" t="s">
        <v>446</v>
      </c>
      <c r="S1199" t="s">
        <v>2990</v>
      </c>
      <c r="T1199" t="s">
        <v>1965</v>
      </c>
      <c r="U1199" t="b">
        <v>0</v>
      </c>
      <c r="V1199" t="s">
        <v>2160</v>
      </c>
    </row>
    <row r="1200" spans="1:22" x14ac:dyDescent="0.25">
      <c r="A1200" t="s">
        <v>42</v>
      </c>
      <c r="B1200">
        <v>156</v>
      </c>
      <c r="C1200" t="s">
        <v>1050</v>
      </c>
      <c r="D1200" t="s">
        <v>3116</v>
      </c>
      <c r="E1200" t="s">
        <v>1032</v>
      </c>
      <c r="F1200" t="s">
        <v>4086</v>
      </c>
      <c r="G1200" t="s">
        <v>24</v>
      </c>
      <c r="H1200" t="s">
        <v>26</v>
      </c>
      <c r="I1200" t="s">
        <v>3167</v>
      </c>
      <c r="J1200" t="s">
        <v>1048</v>
      </c>
      <c r="K1200" t="s">
        <v>3195</v>
      </c>
      <c r="L1200" t="s">
        <v>1048</v>
      </c>
      <c r="M1200" t="s">
        <v>1000</v>
      </c>
      <c r="N1200" t="s">
        <v>1047</v>
      </c>
      <c r="O1200" t="s">
        <v>1047</v>
      </c>
      <c r="P1200" t="s">
        <v>1089</v>
      </c>
      <c r="Q1200" t="s">
        <v>3169</v>
      </c>
      <c r="R1200" t="s">
        <v>446</v>
      </c>
      <c r="S1200" t="s">
        <v>2990</v>
      </c>
      <c r="T1200" t="s">
        <v>1965</v>
      </c>
      <c r="U1200" t="b">
        <v>0</v>
      </c>
      <c r="V1200" t="s">
        <v>2160</v>
      </c>
    </row>
    <row r="1201" spans="1:22" x14ac:dyDescent="0.25">
      <c r="A1201" t="s">
        <v>42</v>
      </c>
      <c r="B1201">
        <v>156</v>
      </c>
      <c r="C1201" t="s">
        <v>1052</v>
      </c>
      <c r="D1201" t="s">
        <v>3125</v>
      </c>
      <c r="E1201" t="s">
        <v>1051</v>
      </c>
      <c r="F1201" t="s">
        <v>4087</v>
      </c>
      <c r="G1201" t="s">
        <v>24</v>
      </c>
      <c r="H1201" t="s">
        <v>26</v>
      </c>
      <c r="I1201" t="s">
        <v>3167</v>
      </c>
      <c r="J1201" t="s">
        <v>1055</v>
      </c>
      <c r="K1201" t="s">
        <v>3199</v>
      </c>
      <c r="L1201" t="s">
        <v>1055</v>
      </c>
      <c r="M1201" t="s">
        <v>980</v>
      </c>
      <c r="N1201" t="s">
        <v>1053</v>
      </c>
      <c r="O1201" t="s">
        <v>1053</v>
      </c>
      <c r="P1201" t="s">
        <v>1089</v>
      </c>
      <c r="Q1201" t="s">
        <v>3169</v>
      </c>
      <c r="R1201" t="s">
        <v>446</v>
      </c>
      <c r="S1201" t="s">
        <v>2990</v>
      </c>
      <c r="T1201" t="s">
        <v>1965</v>
      </c>
      <c r="U1201" t="b">
        <v>0</v>
      </c>
      <c r="V1201" t="s">
        <v>2160</v>
      </c>
    </row>
    <row r="1202" spans="1:22" x14ac:dyDescent="0.25">
      <c r="A1202" t="s">
        <v>42</v>
      </c>
      <c r="B1202">
        <v>158</v>
      </c>
      <c r="C1202" t="s">
        <v>979</v>
      </c>
      <c r="D1202" t="s">
        <v>4221</v>
      </c>
      <c r="E1202" t="s">
        <v>978</v>
      </c>
      <c r="F1202" t="s">
        <v>3218</v>
      </c>
      <c r="G1202" t="s">
        <v>24</v>
      </c>
      <c r="H1202" t="s">
        <v>26</v>
      </c>
      <c r="I1202" t="s">
        <v>3167</v>
      </c>
      <c r="J1202" t="s">
        <v>984</v>
      </c>
      <c r="K1202" t="s">
        <v>3168</v>
      </c>
      <c r="L1202" t="s">
        <v>984</v>
      </c>
      <c r="M1202" t="s">
        <v>980</v>
      </c>
      <c r="N1202" t="s">
        <v>981</v>
      </c>
      <c r="O1202" t="s">
        <v>981</v>
      </c>
      <c r="P1202" t="s">
        <v>1089</v>
      </c>
      <c r="Q1202" t="s">
        <v>3169</v>
      </c>
      <c r="R1202" t="s">
        <v>446</v>
      </c>
      <c r="S1202" t="s">
        <v>446</v>
      </c>
      <c r="T1202" t="s">
        <v>1965</v>
      </c>
      <c r="U1202" t="b">
        <v>0</v>
      </c>
      <c r="V1202" t="s">
        <v>446</v>
      </c>
    </row>
    <row r="1203" spans="1:22" x14ac:dyDescent="0.25">
      <c r="A1203" t="s">
        <v>42</v>
      </c>
      <c r="B1203">
        <v>158</v>
      </c>
      <c r="C1203" t="s">
        <v>987</v>
      </c>
      <c r="D1203" t="s">
        <v>4222</v>
      </c>
      <c r="E1203" t="s">
        <v>986</v>
      </c>
      <c r="F1203" t="s">
        <v>3218</v>
      </c>
      <c r="G1203" t="s">
        <v>24</v>
      </c>
      <c r="H1203" t="s">
        <v>26</v>
      </c>
      <c r="I1203" t="s">
        <v>3167</v>
      </c>
      <c r="J1203" t="s">
        <v>990</v>
      </c>
      <c r="K1203" t="s">
        <v>3171</v>
      </c>
      <c r="L1203" t="s">
        <v>990</v>
      </c>
      <c r="M1203" t="s">
        <v>980</v>
      </c>
      <c r="N1203" t="s">
        <v>988</v>
      </c>
      <c r="O1203" t="s">
        <v>988</v>
      </c>
      <c r="P1203" t="s">
        <v>1089</v>
      </c>
      <c r="Q1203" t="s">
        <v>3169</v>
      </c>
      <c r="R1203" t="s">
        <v>446</v>
      </c>
      <c r="S1203" t="s">
        <v>446</v>
      </c>
      <c r="T1203" t="s">
        <v>1965</v>
      </c>
      <c r="U1203" t="b">
        <v>0</v>
      </c>
      <c r="V1203" t="s">
        <v>446</v>
      </c>
    </row>
    <row r="1204" spans="1:22" x14ac:dyDescent="0.25">
      <c r="A1204" t="s">
        <v>42</v>
      </c>
      <c r="B1204">
        <v>158</v>
      </c>
      <c r="C1204" t="s">
        <v>993</v>
      </c>
      <c r="D1204" t="s">
        <v>4223</v>
      </c>
      <c r="E1204" t="s">
        <v>992</v>
      </c>
      <c r="F1204" t="s">
        <v>3218</v>
      </c>
      <c r="G1204" t="s">
        <v>24</v>
      </c>
      <c r="H1204" t="s">
        <v>26</v>
      </c>
      <c r="I1204" t="s">
        <v>3167</v>
      </c>
      <c r="J1204" t="s">
        <v>996</v>
      </c>
      <c r="K1204" t="s">
        <v>3173</v>
      </c>
      <c r="L1204" t="s">
        <v>996</v>
      </c>
      <c r="M1204" t="s">
        <v>980</v>
      </c>
      <c r="N1204" t="s">
        <v>994</v>
      </c>
      <c r="O1204" t="s">
        <v>994</v>
      </c>
      <c r="P1204" t="s">
        <v>1089</v>
      </c>
      <c r="Q1204" t="s">
        <v>3169</v>
      </c>
      <c r="R1204" t="s">
        <v>446</v>
      </c>
      <c r="S1204" t="s">
        <v>446</v>
      </c>
      <c r="T1204" t="s">
        <v>1965</v>
      </c>
      <c r="U1204" t="b">
        <v>0</v>
      </c>
      <c r="V1204" t="s">
        <v>446</v>
      </c>
    </row>
    <row r="1205" spans="1:22" x14ac:dyDescent="0.25">
      <c r="A1205" t="s">
        <v>42</v>
      </c>
      <c r="B1205">
        <v>158</v>
      </c>
      <c r="C1205" t="s">
        <v>999</v>
      </c>
      <c r="D1205" t="s">
        <v>4224</v>
      </c>
      <c r="E1205" t="s">
        <v>998</v>
      </c>
      <c r="F1205" t="s">
        <v>3218</v>
      </c>
      <c r="G1205" t="s">
        <v>24</v>
      </c>
      <c r="H1205" t="s">
        <v>26</v>
      </c>
      <c r="I1205" t="s">
        <v>3167</v>
      </c>
      <c r="J1205" t="s">
        <v>1003</v>
      </c>
      <c r="K1205" t="s">
        <v>3175</v>
      </c>
      <c r="L1205" t="s">
        <v>1003</v>
      </c>
      <c r="M1205" t="s">
        <v>1000</v>
      </c>
      <c r="N1205" t="s">
        <v>1001</v>
      </c>
      <c r="O1205" t="s">
        <v>1001</v>
      </c>
      <c r="P1205" t="s">
        <v>1089</v>
      </c>
      <c r="Q1205" t="s">
        <v>3169</v>
      </c>
      <c r="R1205" t="s">
        <v>446</v>
      </c>
      <c r="S1205" t="s">
        <v>446</v>
      </c>
      <c r="T1205" t="s">
        <v>1965</v>
      </c>
      <c r="U1205" t="b">
        <v>0</v>
      </c>
      <c r="V1205" t="s">
        <v>446</v>
      </c>
    </row>
    <row r="1206" spans="1:22" x14ac:dyDescent="0.25">
      <c r="A1206" t="s">
        <v>42</v>
      </c>
      <c r="B1206">
        <v>158</v>
      </c>
      <c r="C1206" t="s">
        <v>1005</v>
      </c>
      <c r="D1206" t="s">
        <v>4225</v>
      </c>
      <c r="E1206" t="s">
        <v>982</v>
      </c>
      <c r="F1206" t="s">
        <v>3218</v>
      </c>
      <c r="G1206" t="s">
        <v>24</v>
      </c>
      <c r="H1206" t="s">
        <v>26</v>
      </c>
      <c r="I1206" t="s">
        <v>3167</v>
      </c>
      <c r="J1206" t="s">
        <v>1003</v>
      </c>
      <c r="K1206" t="s">
        <v>3175</v>
      </c>
      <c r="L1206" t="s">
        <v>1003</v>
      </c>
      <c r="M1206" t="s">
        <v>1000</v>
      </c>
      <c r="N1206" t="s">
        <v>1001</v>
      </c>
      <c r="O1206" t="s">
        <v>1001</v>
      </c>
      <c r="P1206" t="s">
        <v>1089</v>
      </c>
      <c r="Q1206" t="s">
        <v>3169</v>
      </c>
      <c r="R1206" t="s">
        <v>446</v>
      </c>
      <c r="S1206" t="s">
        <v>446</v>
      </c>
      <c r="T1206" t="s">
        <v>1965</v>
      </c>
      <c r="U1206" t="b">
        <v>0</v>
      </c>
      <c r="V1206" t="s">
        <v>446</v>
      </c>
    </row>
    <row r="1207" spans="1:22" x14ac:dyDescent="0.25">
      <c r="A1207" t="s">
        <v>42</v>
      </c>
      <c r="B1207">
        <v>158</v>
      </c>
      <c r="C1207" t="s">
        <v>1007</v>
      </c>
      <c r="D1207" t="s">
        <v>4226</v>
      </c>
      <c r="E1207" t="s">
        <v>1006</v>
      </c>
      <c r="F1207" t="s">
        <v>3218</v>
      </c>
      <c r="G1207" t="s">
        <v>24</v>
      </c>
      <c r="H1207" t="s">
        <v>26</v>
      </c>
      <c r="I1207" t="s">
        <v>3167</v>
      </c>
      <c r="J1207" t="s">
        <v>1011</v>
      </c>
      <c r="K1207" t="s">
        <v>3179</v>
      </c>
      <c r="L1207" t="s">
        <v>1011</v>
      </c>
      <c r="M1207" t="s">
        <v>1008</v>
      </c>
      <c r="N1207" t="s">
        <v>1009</v>
      </c>
      <c r="O1207" t="s">
        <v>1009</v>
      </c>
      <c r="P1207" t="s">
        <v>1089</v>
      </c>
      <c r="Q1207" t="s">
        <v>3169</v>
      </c>
      <c r="R1207" t="s">
        <v>446</v>
      </c>
      <c r="S1207" t="s">
        <v>446</v>
      </c>
      <c r="T1207" t="s">
        <v>1965</v>
      </c>
      <c r="U1207" t="b">
        <v>0</v>
      </c>
      <c r="V1207" t="s">
        <v>446</v>
      </c>
    </row>
    <row r="1208" spans="1:22" x14ac:dyDescent="0.25">
      <c r="A1208" t="s">
        <v>42</v>
      </c>
      <c r="B1208">
        <v>158</v>
      </c>
      <c r="C1208" t="s">
        <v>1014</v>
      </c>
      <c r="D1208" t="s">
        <v>4227</v>
      </c>
      <c r="E1208" t="s">
        <v>1013</v>
      </c>
      <c r="F1208" t="s">
        <v>3218</v>
      </c>
      <c r="G1208" t="s">
        <v>24</v>
      </c>
      <c r="H1208" t="s">
        <v>26</v>
      </c>
      <c r="I1208" t="s">
        <v>3167</v>
      </c>
      <c r="J1208" t="s">
        <v>1016</v>
      </c>
      <c r="K1208" t="s">
        <v>3181</v>
      </c>
      <c r="L1208" t="s">
        <v>1016</v>
      </c>
      <c r="M1208" t="s">
        <v>980</v>
      </c>
      <c r="N1208" t="s">
        <v>1015</v>
      </c>
      <c r="O1208" t="s">
        <v>1015</v>
      </c>
      <c r="P1208" t="s">
        <v>1089</v>
      </c>
      <c r="Q1208" t="s">
        <v>3169</v>
      </c>
      <c r="R1208" t="s">
        <v>446</v>
      </c>
      <c r="S1208" t="s">
        <v>446</v>
      </c>
      <c r="T1208" t="s">
        <v>1965</v>
      </c>
      <c r="U1208" t="b">
        <v>0</v>
      </c>
      <c r="V1208" t="s">
        <v>446</v>
      </c>
    </row>
    <row r="1209" spans="1:22" x14ac:dyDescent="0.25">
      <c r="A1209" t="s">
        <v>42</v>
      </c>
      <c r="B1209">
        <v>158</v>
      </c>
      <c r="C1209" t="s">
        <v>1019</v>
      </c>
      <c r="D1209" t="s">
        <v>4228</v>
      </c>
      <c r="E1209" t="s">
        <v>1018</v>
      </c>
      <c r="F1209" t="s">
        <v>3218</v>
      </c>
      <c r="G1209" t="s">
        <v>24</v>
      </c>
      <c r="H1209" t="s">
        <v>26</v>
      </c>
      <c r="I1209" t="s">
        <v>3167</v>
      </c>
      <c r="J1209" t="s">
        <v>1021</v>
      </c>
      <c r="K1209" t="s">
        <v>3183</v>
      </c>
      <c r="L1209" t="s">
        <v>1021</v>
      </c>
      <c r="M1209" t="s">
        <v>980</v>
      </c>
      <c r="N1209" t="s">
        <v>1020</v>
      </c>
      <c r="O1209" t="s">
        <v>1020</v>
      </c>
      <c r="P1209" t="s">
        <v>1089</v>
      </c>
      <c r="Q1209" t="s">
        <v>3169</v>
      </c>
      <c r="R1209" t="s">
        <v>446</v>
      </c>
      <c r="S1209" t="s">
        <v>446</v>
      </c>
      <c r="T1209" t="s">
        <v>1965</v>
      </c>
      <c r="U1209" t="b">
        <v>0</v>
      </c>
      <c r="V1209" t="s">
        <v>446</v>
      </c>
    </row>
    <row r="1210" spans="1:22" x14ac:dyDescent="0.25">
      <c r="A1210" t="s">
        <v>42</v>
      </c>
      <c r="B1210">
        <v>158</v>
      </c>
      <c r="C1210" t="s">
        <v>1024</v>
      </c>
      <c r="D1210" t="s">
        <v>4229</v>
      </c>
      <c r="E1210" t="s">
        <v>1023</v>
      </c>
      <c r="F1210" t="s">
        <v>3218</v>
      </c>
      <c r="G1210" t="s">
        <v>24</v>
      </c>
      <c r="H1210" t="s">
        <v>26</v>
      </c>
      <c r="I1210" t="s">
        <v>3167</v>
      </c>
      <c r="J1210" t="s">
        <v>1026</v>
      </c>
      <c r="K1210" t="s">
        <v>3185</v>
      </c>
      <c r="L1210" t="s">
        <v>1026</v>
      </c>
      <c r="M1210" t="s">
        <v>1000</v>
      </c>
      <c r="N1210" t="s">
        <v>1025</v>
      </c>
      <c r="O1210" t="s">
        <v>1025</v>
      </c>
      <c r="P1210" t="s">
        <v>1089</v>
      </c>
      <c r="Q1210" t="s">
        <v>3169</v>
      </c>
      <c r="R1210" t="s">
        <v>446</v>
      </c>
      <c r="S1210" t="s">
        <v>446</v>
      </c>
      <c r="T1210" t="s">
        <v>1965</v>
      </c>
      <c r="U1210" t="b">
        <v>0</v>
      </c>
      <c r="V1210" t="s">
        <v>446</v>
      </c>
    </row>
    <row r="1211" spans="1:22" x14ac:dyDescent="0.25">
      <c r="A1211" t="s">
        <v>42</v>
      </c>
      <c r="B1211">
        <v>158</v>
      </c>
      <c r="C1211" t="s">
        <v>1028</v>
      </c>
      <c r="D1211" t="s">
        <v>4230</v>
      </c>
      <c r="E1211" t="s">
        <v>1010</v>
      </c>
      <c r="F1211" t="s">
        <v>3218</v>
      </c>
      <c r="G1211" t="s">
        <v>24</v>
      </c>
      <c r="H1211" t="s">
        <v>26</v>
      </c>
      <c r="I1211" t="s">
        <v>3167</v>
      </c>
      <c r="J1211" t="s">
        <v>1026</v>
      </c>
      <c r="K1211" t="s">
        <v>3185</v>
      </c>
      <c r="L1211" t="s">
        <v>1026</v>
      </c>
      <c r="M1211" t="s">
        <v>1000</v>
      </c>
      <c r="N1211" t="s">
        <v>1025</v>
      </c>
      <c r="O1211" t="s">
        <v>1025</v>
      </c>
      <c r="P1211" t="s">
        <v>1089</v>
      </c>
      <c r="Q1211" t="s">
        <v>3169</v>
      </c>
      <c r="R1211" t="s">
        <v>446</v>
      </c>
      <c r="S1211" t="s">
        <v>446</v>
      </c>
      <c r="T1211" t="s">
        <v>1965</v>
      </c>
      <c r="U1211" t="b">
        <v>0</v>
      </c>
      <c r="V1211" t="s">
        <v>446</v>
      </c>
    </row>
    <row r="1212" spans="1:22" x14ac:dyDescent="0.25">
      <c r="A1212" t="s">
        <v>42</v>
      </c>
      <c r="B1212">
        <v>158</v>
      </c>
      <c r="C1212" t="s">
        <v>1030</v>
      </c>
      <c r="D1212" t="s">
        <v>4231</v>
      </c>
      <c r="E1212" t="s">
        <v>1029</v>
      </c>
      <c r="F1212" t="s">
        <v>3218</v>
      </c>
      <c r="G1212" t="s">
        <v>24</v>
      </c>
      <c r="H1212" t="s">
        <v>26</v>
      </c>
      <c r="I1212" t="s">
        <v>3167</v>
      </c>
      <c r="J1212" t="s">
        <v>1033</v>
      </c>
      <c r="K1212" t="s">
        <v>3189</v>
      </c>
      <c r="L1212" t="s">
        <v>1033</v>
      </c>
      <c r="M1212" t="s">
        <v>980</v>
      </c>
      <c r="N1212" t="s">
        <v>1031</v>
      </c>
      <c r="O1212" t="s">
        <v>1031</v>
      </c>
      <c r="P1212" t="s">
        <v>1089</v>
      </c>
      <c r="Q1212" t="s">
        <v>3169</v>
      </c>
      <c r="R1212" t="s">
        <v>446</v>
      </c>
      <c r="S1212" t="s">
        <v>446</v>
      </c>
      <c r="T1212" t="s">
        <v>1965</v>
      </c>
      <c r="U1212" t="b">
        <v>0</v>
      </c>
      <c r="V1212" t="s">
        <v>446</v>
      </c>
    </row>
    <row r="1213" spans="1:22" x14ac:dyDescent="0.25">
      <c r="A1213" t="s">
        <v>42</v>
      </c>
      <c r="B1213">
        <v>158</v>
      </c>
      <c r="C1213" t="s">
        <v>1036</v>
      </c>
      <c r="D1213" t="s">
        <v>4232</v>
      </c>
      <c r="E1213" t="s">
        <v>1035</v>
      </c>
      <c r="F1213" t="s">
        <v>3218</v>
      </c>
      <c r="G1213" t="s">
        <v>24</v>
      </c>
      <c r="H1213" t="s">
        <v>26</v>
      </c>
      <c r="I1213" t="s">
        <v>3167</v>
      </c>
      <c r="J1213" t="s">
        <v>1038</v>
      </c>
      <c r="K1213" t="s">
        <v>3191</v>
      </c>
      <c r="L1213" t="s">
        <v>1038</v>
      </c>
      <c r="M1213" t="s">
        <v>980</v>
      </c>
      <c r="N1213" t="s">
        <v>1037</v>
      </c>
      <c r="O1213" t="s">
        <v>1037</v>
      </c>
      <c r="P1213" t="s">
        <v>1089</v>
      </c>
      <c r="Q1213" t="s">
        <v>3169</v>
      </c>
      <c r="R1213" t="s">
        <v>446</v>
      </c>
      <c r="S1213" t="s">
        <v>446</v>
      </c>
      <c r="T1213" t="s">
        <v>1965</v>
      </c>
      <c r="U1213" t="b">
        <v>0</v>
      </c>
      <c r="V1213" t="s">
        <v>446</v>
      </c>
    </row>
    <row r="1214" spans="1:22" x14ac:dyDescent="0.25">
      <c r="A1214" t="s">
        <v>42</v>
      </c>
      <c r="B1214">
        <v>158</v>
      </c>
      <c r="C1214" t="s">
        <v>1041</v>
      </c>
      <c r="D1214" t="s">
        <v>4233</v>
      </c>
      <c r="E1214" t="s">
        <v>1040</v>
      </c>
      <c r="F1214" t="s">
        <v>3218</v>
      </c>
      <c r="G1214" t="s">
        <v>24</v>
      </c>
      <c r="H1214" t="s">
        <v>26</v>
      </c>
      <c r="I1214" t="s">
        <v>3167</v>
      </c>
      <c r="J1214" t="s">
        <v>1043</v>
      </c>
      <c r="K1214" t="s">
        <v>3193</v>
      </c>
      <c r="L1214" t="s">
        <v>1043</v>
      </c>
      <c r="M1214" t="s">
        <v>980</v>
      </c>
      <c r="N1214" t="s">
        <v>1042</v>
      </c>
      <c r="O1214" t="s">
        <v>1042</v>
      </c>
      <c r="P1214" t="s">
        <v>1089</v>
      </c>
      <c r="Q1214" t="s">
        <v>3169</v>
      </c>
      <c r="R1214" t="s">
        <v>446</v>
      </c>
      <c r="S1214" t="s">
        <v>446</v>
      </c>
      <c r="T1214" t="s">
        <v>1965</v>
      </c>
      <c r="U1214" t="b">
        <v>0</v>
      </c>
      <c r="V1214" t="s">
        <v>446</v>
      </c>
    </row>
    <row r="1215" spans="1:22" x14ac:dyDescent="0.25">
      <c r="A1215" t="s">
        <v>42</v>
      </c>
      <c r="B1215">
        <v>158</v>
      </c>
      <c r="C1215" t="s">
        <v>1046</v>
      </c>
      <c r="D1215" t="s">
        <v>4234</v>
      </c>
      <c r="E1215" t="s">
        <v>1045</v>
      </c>
      <c r="F1215" t="s">
        <v>3218</v>
      </c>
      <c r="G1215" t="s">
        <v>24</v>
      </c>
      <c r="H1215" t="s">
        <v>26</v>
      </c>
      <c r="I1215" t="s">
        <v>3167</v>
      </c>
      <c r="J1215" t="s">
        <v>1048</v>
      </c>
      <c r="K1215" t="s">
        <v>3195</v>
      </c>
      <c r="L1215" t="s">
        <v>1048</v>
      </c>
      <c r="M1215" t="s">
        <v>1000</v>
      </c>
      <c r="N1215" t="s">
        <v>1047</v>
      </c>
      <c r="O1215" t="s">
        <v>1047</v>
      </c>
      <c r="P1215" t="s">
        <v>1089</v>
      </c>
      <c r="Q1215" t="s">
        <v>3169</v>
      </c>
      <c r="R1215" t="s">
        <v>446</v>
      </c>
      <c r="S1215" t="s">
        <v>446</v>
      </c>
      <c r="T1215" t="s">
        <v>1965</v>
      </c>
      <c r="U1215" t="b">
        <v>0</v>
      </c>
      <c r="V1215" t="s">
        <v>446</v>
      </c>
    </row>
    <row r="1216" spans="1:22" x14ac:dyDescent="0.25">
      <c r="A1216" t="s">
        <v>42</v>
      </c>
      <c r="B1216">
        <v>158</v>
      </c>
      <c r="C1216" t="s">
        <v>1050</v>
      </c>
      <c r="D1216" t="s">
        <v>4235</v>
      </c>
      <c r="E1216" t="s">
        <v>1032</v>
      </c>
      <c r="F1216" t="s">
        <v>3218</v>
      </c>
      <c r="G1216" t="s">
        <v>24</v>
      </c>
      <c r="H1216" t="s">
        <v>26</v>
      </c>
      <c r="I1216" t="s">
        <v>3167</v>
      </c>
      <c r="J1216" t="s">
        <v>1048</v>
      </c>
      <c r="K1216" t="s">
        <v>3195</v>
      </c>
      <c r="L1216" t="s">
        <v>1048</v>
      </c>
      <c r="M1216" t="s">
        <v>1000</v>
      </c>
      <c r="N1216" t="s">
        <v>1047</v>
      </c>
      <c r="O1216" t="s">
        <v>1047</v>
      </c>
      <c r="P1216" t="s">
        <v>1089</v>
      </c>
      <c r="Q1216" t="s">
        <v>3169</v>
      </c>
      <c r="R1216" t="s">
        <v>446</v>
      </c>
      <c r="S1216" t="s">
        <v>446</v>
      </c>
      <c r="T1216" t="s">
        <v>1965</v>
      </c>
      <c r="U1216" t="b">
        <v>0</v>
      </c>
      <c r="V1216" t="s">
        <v>446</v>
      </c>
    </row>
    <row r="1217" spans="1:22" x14ac:dyDescent="0.25">
      <c r="A1217" t="s">
        <v>42</v>
      </c>
      <c r="B1217">
        <v>158</v>
      </c>
      <c r="C1217" t="s">
        <v>1052</v>
      </c>
      <c r="D1217" t="s">
        <v>4236</v>
      </c>
      <c r="E1217" t="s">
        <v>1051</v>
      </c>
      <c r="F1217" t="s">
        <v>3218</v>
      </c>
      <c r="G1217" t="s">
        <v>24</v>
      </c>
      <c r="H1217" t="s">
        <v>26</v>
      </c>
      <c r="I1217" t="s">
        <v>3167</v>
      </c>
      <c r="J1217" t="s">
        <v>1055</v>
      </c>
      <c r="K1217" t="s">
        <v>3199</v>
      </c>
      <c r="L1217" t="s">
        <v>1055</v>
      </c>
      <c r="M1217" t="s">
        <v>980</v>
      </c>
      <c r="N1217" t="s">
        <v>1053</v>
      </c>
      <c r="O1217" t="s">
        <v>1053</v>
      </c>
      <c r="P1217" t="s">
        <v>1089</v>
      </c>
      <c r="Q1217" t="s">
        <v>3169</v>
      </c>
      <c r="R1217" t="s">
        <v>446</v>
      </c>
      <c r="S1217" t="s">
        <v>446</v>
      </c>
      <c r="T1217" t="s">
        <v>1965</v>
      </c>
      <c r="U1217" t="b">
        <v>0</v>
      </c>
      <c r="V1217" t="s">
        <v>446</v>
      </c>
    </row>
    <row r="1218" spans="1:22" x14ac:dyDescent="0.25">
      <c r="A1218" t="s">
        <v>42</v>
      </c>
      <c r="B1218">
        <v>160</v>
      </c>
      <c r="C1218" t="s">
        <v>979</v>
      </c>
      <c r="D1218" t="s">
        <v>4237</v>
      </c>
      <c r="E1218" t="s">
        <v>978</v>
      </c>
      <c r="F1218" t="s">
        <v>3218</v>
      </c>
      <c r="G1218" t="s">
        <v>24</v>
      </c>
      <c r="H1218" t="s">
        <v>26</v>
      </c>
      <c r="I1218" t="s">
        <v>3167</v>
      </c>
      <c r="J1218" t="s">
        <v>984</v>
      </c>
      <c r="K1218" t="s">
        <v>3168</v>
      </c>
      <c r="L1218" t="s">
        <v>984</v>
      </c>
      <c r="M1218" t="s">
        <v>980</v>
      </c>
      <c r="N1218" t="s">
        <v>981</v>
      </c>
      <c r="O1218" t="s">
        <v>981</v>
      </c>
      <c r="P1218" t="s">
        <v>1089</v>
      </c>
      <c r="Q1218" t="s">
        <v>3169</v>
      </c>
      <c r="R1218" t="s">
        <v>446</v>
      </c>
      <c r="S1218" t="s">
        <v>446</v>
      </c>
      <c r="T1218" t="s">
        <v>1965</v>
      </c>
      <c r="U1218" t="b">
        <v>0</v>
      </c>
      <c r="V1218" t="s">
        <v>446</v>
      </c>
    </row>
    <row r="1219" spans="1:22" x14ac:dyDescent="0.25">
      <c r="A1219" t="s">
        <v>42</v>
      </c>
      <c r="B1219">
        <v>160</v>
      </c>
      <c r="C1219" t="s">
        <v>987</v>
      </c>
      <c r="D1219" t="s">
        <v>4238</v>
      </c>
      <c r="E1219" t="s">
        <v>986</v>
      </c>
      <c r="F1219" t="s">
        <v>3218</v>
      </c>
      <c r="G1219" t="s">
        <v>24</v>
      </c>
      <c r="H1219" t="s">
        <v>26</v>
      </c>
      <c r="I1219" t="s">
        <v>3167</v>
      </c>
      <c r="J1219" t="s">
        <v>990</v>
      </c>
      <c r="K1219" t="s">
        <v>3171</v>
      </c>
      <c r="L1219" t="s">
        <v>990</v>
      </c>
      <c r="M1219" t="s">
        <v>980</v>
      </c>
      <c r="N1219" t="s">
        <v>988</v>
      </c>
      <c r="O1219" t="s">
        <v>988</v>
      </c>
      <c r="P1219" t="s">
        <v>1089</v>
      </c>
      <c r="Q1219" t="s">
        <v>3169</v>
      </c>
      <c r="R1219" t="s">
        <v>446</v>
      </c>
      <c r="S1219" t="s">
        <v>446</v>
      </c>
      <c r="T1219" t="s">
        <v>1965</v>
      </c>
      <c r="U1219" t="b">
        <v>0</v>
      </c>
      <c r="V1219" t="s">
        <v>446</v>
      </c>
    </row>
    <row r="1220" spans="1:22" x14ac:dyDescent="0.25">
      <c r="A1220" t="s">
        <v>42</v>
      </c>
      <c r="B1220">
        <v>160</v>
      </c>
      <c r="C1220" t="s">
        <v>993</v>
      </c>
      <c r="D1220" t="s">
        <v>4239</v>
      </c>
      <c r="E1220" t="s">
        <v>992</v>
      </c>
      <c r="F1220" t="s">
        <v>3218</v>
      </c>
      <c r="G1220" t="s">
        <v>24</v>
      </c>
      <c r="H1220" t="s">
        <v>26</v>
      </c>
      <c r="I1220" t="s">
        <v>3167</v>
      </c>
      <c r="J1220" t="s">
        <v>996</v>
      </c>
      <c r="K1220" t="s">
        <v>3173</v>
      </c>
      <c r="L1220" t="s">
        <v>996</v>
      </c>
      <c r="M1220" t="s">
        <v>980</v>
      </c>
      <c r="N1220" t="s">
        <v>994</v>
      </c>
      <c r="O1220" t="s">
        <v>994</v>
      </c>
      <c r="P1220" t="s">
        <v>1089</v>
      </c>
      <c r="Q1220" t="s">
        <v>3169</v>
      </c>
      <c r="R1220" t="s">
        <v>446</v>
      </c>
      <c r="S1220" t="s">
        <v>446</v>
      </c>
      <c r="T1220" t="s">
        <v>1965</v>
      </c>
      <c r="U1220" t="b">
        <v>0</v>
      </c>
      <c r="V1220" t="s">
        <v>446</v>
      </c>
    </row>
    <row r="1221" spans="1:22" x14ac:dyDescent="0.25">
      <c r="A1221" t="s">
        <v>42</v>
      </c>
      <c r="B1221">
        <v>160</v>
      </c>
      <c r="C1221" t="s">
        <v>999</v>
      </c>
      <c r="D1221" t="s">
        <v>4240</v>
      </c>
      <c r="E1221" t="s">
        <v>998</v>
      </c>
      <c r="F1221" t="s">
        <v>3218</v>
      </c>
      <c r="G1221" t="s">
        <v>24</v>
      </c>
      <c r="H1221" t="s">
        <v>26</v>
      </c>
      <c r="I1221" t="s">
        <v>3167</v>
      </c>
      <c r="J1221" t="s">
        <v>1003</v>
      </c>
      <c r="K1221" t="s">
        <v>3175</v>
      </c>
      <c r="L1221" t="s">
        <v>1003</v>
      </c>
      <c r="M1221" t="s">
        <v>1000</v>
      </c>
      <c r="N1221" t="s">
        <v>1001</v>
      </c>
      <c r="O1221" t="s">
        <v>1001</v>
      </c>
      <c r="P1221" t="s">
        <v>1089</v>
      </c>
      <c r="Q1221" t="s">
        <v>3169</v>
      </c>
      <c r="R1221" t="s">
        <v>446</v>
      </c>
      <c r="S1221" t="s">
        <v>446</v>
      </c>
      <c r="T1221" t="s">
        <v>1965</v>
      </c>
      <c r="U1221" t="b">
        <v>0</v>
      </c>
      <c r="V1221" t="s">
        <v>446</v>
      </c>
    </row>
    <row r="1222" spans="1:22" x14ac:dyDescent="0.25">
      <c r="A1222" t="s">
        <v>42</v>
      </c>
      <c r="B1222">
        <v>160</v>
      </c>
      <c r="C1222" t="s">
        <v>1005</v>
      </c>
      <c r="D1222" t="s">
        <v>4241</v>
      </c>
      <c r="E1222" t="s">
        <v>982</v>
      </c>
      <c r="F1222" t="s">
        <v>3166</v>
      </c>
      <c r="G1222" t="s">
        <v>24</v>
      </c>
      <c r="H1222" t="s">
        <v>26</v>
      </c>
      <c r="I1222" t="s">
        <v>3167</v>
      </c>
      <c r="J1222" t="s">
        <v>1003</v>
      </c>
      <c r="K1222" t="s">
        <v>3175</v>
      </c>
      <c r="L1222" t="s">
        <v>1003</v>
      </c>
      <c r="M1222" t="s">
        <v>1000</v>
      </c>
      <c r="N1222" t="s">
        <v>1001</v>
      </c>
      <c r="O1222" t="s">
        <v>1001</v>
      </c>
      <c r="P1222" t="s">
        <v>1089</v>
      </c>
      <c r="Q1222" t="s">
        <v>3169</v>
      </c>
      <c r="R1222" t="s">
        <v>446</v>
      </c>
      <c r="S1222" t="s">
        <v>446</v>
      </c>
      <c r="T1222" t="s">
        <v>1965</v>
      </c>
      <c r="U1222" t="b">
        <v>0</v>
      </c>
      <c r="V1222" t="s">
        <v>446</v>
      </c>
    </row>
    <row r="1223" spans="1:22" x14ac:dyDescent="0.25">
      <c r="A1223" t="s">
        <v>42</v>
      </c>
      <c r="B1223">
        <v>160</v>
      </c>
      <c r="C1223" t="s">
        <v>1007</v>
      </c>
      <c r="D1223" t="s">
        <v>4242</v>
      </c>
      <c r="E1223" t="s">
        <v>1006</v>
      </c>
      <c r="F1223" t="s">
        <v>3218</v>
      </c>
      <c r="G1223" t="s">
        <v>24</v>
      </c>
      <c r="H1223" t="s">
        <v>26</v>
      </c>
      <c r="I1223" t="s">
        <v>3167</v>
      </c>
      <c r="J1223" t="s">
        <v>1011</v>
      </c>
      <c r="K1223" t="s">
        <v>3179</v>
      </c>
      <c r="L1223" t="s">
        <v>1011</v>
      </c>
      <c r="M1223" t="s">
        <v>1008</v>
      </c>
      <c r="N1223" t="s">
        <v>1009</v>
      </c>
      <c r="O1223" t="s">
        <v>1009</v>
      </c>
      <c r="P1223" t="s">
        <v>1089</v>
      </c>
      <c r="Q1223" t="s">
        <v>3169</v>
      </c>
      <c r="R1223" t="s">
        <v>446</v>
      </c>
      <c r="S1223" t="s">
        <v>446</v>
      </c>
      <c r="T1223" t="s">
        <v>1965</v>
      </c>
      <c r="U1223" t="b">
        <v>0</v>
      </c>
      <c r="V1223" t="s">
        <v>446</v>
      </c>
    </row>
    <row r="1224" spans="1:22" x14ac:dyDescent="0.25">
      <c r="A1224" t="s">
        <v>42</v>
      </c>
      <c r="B1224">
        <v>160</v>
      </c>
      <c r="C1224" t="s">
        <v>1014</v>
      </c>
      <c r="D1224" t="s">
        <v>4243</v>
      </c>
      <c r="E1224" t="s">
        <v>1013</v>
      </c>
      <c r="F1224" t="s">
        <v>3218</v>
      </c>
      <c r="G1224" t="s">
        <v>24</v>
      </c>
      <c r="H1224" t="s">
        <v>26</v>
      </c>
      <c r="I1224" t="s">
        <v>3167</v>
      </c>
      <c r="J1224" t="s">
        <v>1016</v>
      </c>
      <c r="K1224" t="s">
        <v>3181</v>
      </c>
      <c r="L1224" t="s">
        <v>1016</v>
      </c>
      <c r="M1224" t="s">
        <v>980</v>
      </c>
      <c r="N1224" t="s">
        <v>1015</v>
      </c>
      <c r="O1224" t="s">
        <v>1015</v>
      </c>
      <c r="P1224" t="s">
        <v>1089</v>
      </c>
      <c r="Q1224" t="s">
        <v>3169</v>
      </c>
      <c r="R1224" t="s">
        <v>446</v>
      </c>
      <c r="S1224" t="s">
        <v>446</v>
      </c>
      <c r="T1224" t="s">
        <v>1965</v>
      </c>
      <c r="U1224" t="b">
        <v>0</v>
      </c>
      <c r="V1224" t="s">
        <v>446</v>
      </c>
    </row>
    <row r="1225" spans="1:22" x14ac:dyDescent="0.25">
      <c r="A1225" t="s">
        <v>42</v>
      </c>
      <c r="B1225">
        <v>160</v>
      </c>
      <c r="C1225" t="s">
        <v>1019</v>
      </c>
      <c r="D1225" t="s">
        <v>4244</v>
      </c>
      <c r="E1225" t="s">
        <v>1018</v>
      </c>
      <c r="F1225" t="s">
        <v>3218</v>
      </c>
      <c r="G1225" t="s">
        <v>24</v>
      </c>
      <c r="H1225" t="s">
        <v>26</v>
      </c>
      <c r="I1225" t="s">
        <v>3167</v>
      </c>
      <c r="J1225" t="s">
        <v>1021</v>
      </c>
      <c r="K1225" t="s">
        <v>3183</v>
      </c>
      <c r="L1225" t="s">
        <v>1021</v>
      </c>
      <c r="M1225" t="s">
        <v>980</v>
      </c>
      <c r="N1225" t="s">
        <v>1020</v>
      </c>
      <c r="O1225" t="s">
        <v>1020</v>
      </c>
      <c r="P1225" t="s">
        <v>1089</v>
      </c>
      <c r="Q1225" t="s">
        <v>3169</v>
      </c>
      <c r="R1225" t="s">
        <v>446</v>
      </c>
      <c r="S1225" t="s">
        <v>446</v>
      </c>
      <c r="T1225" t="s">
        <v>1965</v>
      </c>
      <c r="U1225" t="b">
        <v>0</v>
      </c>
      <c r="V1225" t="s">
        <v>446</v>
      </c>
    </row>
    <row r="1226" spans="1:22" x14ac:dyDescent="0.25">
      <c r="A1226" t="s">
        <v>42</v>
      </c>
      <c r="B1226">
        <v>160</v>
      </c>
      <c r="C1226" t="s">
        <v>1024</v>
      </c>
      <c r="D1226" t="s">
        <v>4245</v>
      </c>
      <c r="E1226" t="s">
        <v>1023</v>
      </c>
      <c r="F1226" t="s">
        <v>3218</v>
      </c>
      <c r="G1226" t="s">
        <v>24</v>
      </c>
      <c r="H1226" t="s">
        <v>26</v>
      </c>
      <c r="I1226" t="s">
        <v>3167</v>
      </c>
      <c r="J1226" t="s">
        <v>1026</v>
      </c>
      <c r="K1226" t="s">
        <v>3185</v>
      </c>
      <c r="L1226" t="s">
        <v>1026</v>
      </c>
      <c r="M1226" t="s">
        <v>1000</v>
      </c>
      <c r="N1226" t="s">
        <v>1025</v>
      </c>
      <c r="O1226" t="s">
        <v>1025</v>
      </c>
      <c r="P1226" t="s">
        <v>1089</v>
      </c>
      <c r="Q1226" t="s">
        <v>3169</v>
      </c>
      <c r="R1226" t="s">
        <v>446</v>
      </c>
      <c r="S1226" t="s">
        <v>446</v>
      </c>
      <c r="T1226" t="s">
        <v>1965</v>
      </c>
      <c r="U1226" t="b">
        <v>0</v>
      </c>
      <c r="V1226" t="s">
        <v>446</v>
      </c>
    </row>
    <row r="1227" spans="1:22" x14ac:dyDescent="0.25">
      <c r="A1227" t="s">
        <v>42</v>
      </c>
      <c r="B1227">
        <v>160</v>
      </c>
      <c r="C1227" t="s">
        <v>1028</v>
      </c>
      <c r="D1227" t="s">
        <v>4246</v>
      </c>
      <c r="E1227" t="s">
        <v>1010</v>
      </c>
      <c r="F1227" t="s">
        <v>3178</v>
      </c>
      <c r="G1227" t="s">
        <v>24</v>
      </c>
      <c r="H1227" t="s">
        <v>26</v>
      </c>
      <c r="I1227" t="s">
        <v>3167</v>
      </c>
      <c r="J1227" t="s">
        <v>1026</v>
      </c>
      <c r="K1227" t="s">
        <v>3185</v>
      </c>
      <c r="L1227" t="s">
        <v>1026</v>
      </c>
      <c r="M1227" t="s">
        <v>1000</v>
      </c>
      <c r="N1227" t="s">
        <v>1025</v>
      </c>
      <c r="O1227" t="s">
        <v>1025</v>
      </c>
      <c r="P1227" t="s">
        <v>1089</v>
      </c>
      <c r="Q1227" t="s">
        <v>3169</v>
      </c>
      <c r="R1227" t="s">
        <v>446</v>
      </c>
      <c r="S1227" t="s">
        <v>446</v>
      </c>
      <c r="T1227" t="s">
        <v>1965</v>
      </c>
      <c r="U1227" t="b">
        <v>0</v>
      </c>
      <c r="V1227" t="s">
        <v>446</v>
      </c>
    </row>
    <row r="1228" spans="1:22" x14ac:dyDescent="0.25">
      <c r="A1228" t="s">
        <v>42</v>
      </c>
      <c r="B1228">
        <v>160</v>
      </c>
      <c r="C1228" t="s">
        <v>1030</v>
      </c>
      <c r="D1228" t="s">
        <v>4247</v>
      </c>
      <c r="E1228" t="s">
        <v>1029</v>
      </c>
      <c r="F1228" t="s">
        <v>3218</v>
      </c>
      <c r="G1228" t="s">
        <v>24</v>
      </c>
      <c r="H1228" t="s">
        <v>26</v>
      </c>
      <c r="I1228" t="s">
        <v>3167</v>
      </c>
      <c r="J1228" t="s">
        <v>1033</v>
      </c>
      <c r="K1228" t="s">
        <v>3189</v>
      </c>
      <c r="L1228" t="s">
        <v>1033</v>
      </c>
      <c r="M1228" t="s">
        <v>980</v>
      </c>
      <c r="N1228" t="s">
        <v>1031</v>
      </c>
      <c r="O1228" t="s">
        <v>1031</v>
      </c>
      <c r="P1228" t="s">
        <v>1089</v>
      </c>
      <c r="Q1228" t="s">
        <v>3169</v>
      </c>
      <c r="R1228" t="s">
        <v>446</v>
      </c>
      <c r="S1228" t="s">
        <v>446</v>
      </c>
      <c r="T1228" t="s">
        <v>1965</v>
      </c>
      <c r="U1228" t="b">
        <v>0</v>
      </c>
      <c r="V1228" t="s">
        <v>446</v>
      </c>
    </row>
    <row r="1229" spans="1:22" x14ac:dyDescent="0.25">
      <c r="A1229" t="s">
        <v>42</v>
      </c>
      <c r="B1229">
        <v>160</v>
      </c>
      <c r="C1229" t="s">
        <v>1036</v>
      </c>
      <c r="D1229" t="s">
        <v>4248</v>
      </c>
      <c r="E1229" t="s">
        <v>1035</v>
      </c>
      <c r="F1229" t="s">
        <v>3218</v>
      </c>
      <c r="G1229" t="s">
        <v>24</v>
      </c>
      <c r="H1229" t="s">
        <v>26</v>
      </c>
      <c r="I1229" t="s">
        <v>3167</v>
      </c>
      <c r="J1229" t="s">
        <v>1038</v>
      </c>
      <c r="K1229" t="s">
        <v>3191</v>
      </c>
      <c r="L1229" t="s">
        <v>1038</v>
      </c>
      <c r="M1229" t="s">
        <v>980</v>
      </c>
      <c r="N1229" t="s">
        <v>1037</v>
      </c>
      <c r="O1229" t="s">
        <v>1037</v>
      </c>
      <c r="P1229" t="s">
        <v>1089</v>
      </c>
      <c r="Q1229" t="s">
        <v>3169</v>
      </c>
      <c r="R1229" t="s">
        <v>446</v>
      </c>
      <c r="S1229" t="s">
        <v>446</v>
      </c>
      <c r="T1229" t="s">
        <v>1965</v>
      </c>
      <c r="U1229" t="b">
        <v>0</v>
      </c>
      <c r="V1229" t="s">
        <v>446</v>
      </c>
    </row>
    <row r="1230" spans="1:22" x14ac:dyDescent="0.25">
      <c r="A1230" t="s">
        <v>42</v>
      </c>
      <c r="B1230">
        <v>160</v>
      </c>
      <c r="C1230" t="s">
        <v>1041</v>
      </c>
      <c r="D1230" t="s">
        <v>4249</v>
      </c>
      <c r="E1230" t="s">
        <v>1040</v>
      </c>
      <c r="F1230" t="s">
        <v>3218</v>
      </c>
      <c r="G1230" t="s">
        <v>24</v>
      </c>
      <c r="H1230" t="s">
        <v>26</v>
      </c>
      <c r="I1230" t="s">
        <v>3167</v>
      </c>
      <c r="J1230" t="s">
        <v>1043</v>
      </c>
      <c r="K1230" t="s">
        <v>3193</v>
      </c>
      <c r="L1230" t="s">
        <v>1043</v>
      </c>
      <c r="M1230" t="s">
        <v>980</v>
      </c>
      <c r="N1230" t="s">
        <v>1042</v>
      </c>
      <c r="O1230" t="s">
        <v>1042</v>
      </c>
      <c r="P1230" t="s">
        <v>1089</v>
      </c>
      <c r="Q1230" t="s">
        <v>3169</v>
      </c>
      <c r="R1230" t="s">
        <v>446</v>
      </c>
      <c r="S1230" t="s">
        <v>446</v>
      </c>
      <c r="T1230" t="s">
        <v>1965</v>
      </c>
      <c r="U1230" t="b">
        <v>0</v>
      </c>
      <c r="V1230" t="s">
        <v>446</v>
      </c>
    </row>
    <row r="1231" spans="1:22" x14ac:dyDescent="0.25">
      <c r="A1231" t="s">
        <v>42</v>
      </c>
      <c r="B1231">
        <v>160</v>
      </c>
      <c r="C1231" t="s">
        <v>1046</v>
      </c>
      <c r="D1231" t="s">
        <v>4250</v>
      </c>
      <c r="E1231" t="s">
        <v>1045</v>
      </c>
      <c r="F1231" t="s">
        <v>3218</v>
      </c>
      <c r="G1231" t="s">
        <v>24</v>
      </c>
      <c r="H1231" t="s">
        <v>26</v>
      </c>
      <c r="I1231" t="s">
        <v>3167</v>
      </c>
      <c r="J1231" t="s">
        <v>1048</v>
      </c>
      <c r="K1231" t="s">
        <v>3195</v>
      </c>
      <c r="L1231" t="s">
        <v>1048</v>
      </c>
      <c r="M1231" t="s">
        <v>1000</v>
      </c>
      <c r="N1231" t="s">
        <v>1047</v>
      </c>
      <c r="O1231" t="s">
        <v>1047</v>
      </c>
      <c r="P1231" t="s">
        <v>1089</v>
      </c>
      <c r="Q1231" t="s">
        <v>3169</v>
      </c>
      <c r="R1231" t="s">
        <v>446</v>
      </c>
      <c r="S1231" t="s">
        <v>446</v>
      </c>
      <c r="T1231" t="s">
        <v>1965</v>
      </c>
      <c r="U1231" t="b">
        <v>0</v>
      </c>
      <c r="V1231" t="s">
        <v>446</v>
      </c>
    </row>
    <row r="1232" spans="1:22" x14ac:dyDescent="0.25">
      <c r="A1232" t="s">
        <v>42</v>
      </c>
      <c r="B1232">
        <v>160</v>
      </c>
      <c r="C1232" t="s">
        <v>1050</v>
      </c>
      <c r="D1232" t="s">
        <v>4251</v>
      </c>
      <c r="E1232" t="s">
        <v>1032</v>
      </c>
      <c r="F1232" t="s">
        <v>3188</v>
      </c>
      <c r="G1232" t="s">
        <v>24</v>
      </c>
      <c r="H1232" t="s">
        <v>26</v>
      </c>
      <c r="I1232" t="s">
        <v>3167</v>
      </c>
      <c r="J1232" t="s">
        <v>1048</v>
      </c>
      <c r="K1232" t="s">
        <v>3195</v>
      </c>
      <c r="L1232" t="s">
        <v>1048</v>
      </c>
      <c r="M1232" t="s">
        <v>1000</v>
      </c>
      <c r="N1232" t="s">
        <v>1047</v>
      </c>
      <c r="O1232" t="s">
        <v>1047</v>
      </c>
      <c r="P1232" t="s">
        <v>1089</v>
      </c>
      <c r="Q1232" t="s">
        <v>3169</v>
      </c>
      <c r="R1232" t="s">
        <v>446</v>
      </c>
      <c r="S1232" t="s">
        <v>446</v>
      </c>
      <c r="T1232" t="s">
        <v>1965</v>
      </c>
      <c r="U1232" t="b">
        <v>0</v>
      </c>
      <c r="V1232" t="s">
        <v>446</v>
      </c>
    </row>
    <row r="1233" spans="1:22" x14ac:dyDescent="0.25">
      <c r="A1233" t="s">
        <v>42</v>
      </c>
      <c r="B1233">
        <v>160</v>
      </c>
      <c r="C1233" t="s">
        <v>1052</v>
      </c>
      <c r="D1233" t="s">
        <v>4252</v>
      </c>
      <c r="E1233" t="s">
        <v>1051</v>
      </c>
      <c r="F1233" t="s">
        <v>3218</v>
      </c>
      <c r="G1233" t="s">
        <v>24</v>
      </c>
      <c r="H1233" t="s">
        <v>26</v>
      </c>
      <c r="I1233" t="s">
        <v>3167</v>
      </c>
      <c r="J1233" t="s">
        <v>1055</v>
      </c>
      <c r="K1233" t="s">
        <v>3199</v>
      </c>
      <c r="L1233" t="s">
        <v>1055</v>
      </c>
      <c r="M1233" t="s">
        <v>980</v>
      </c>
      <c r="N1233" t="s">
        <v>1053</v>
      </c>
      <c r="O1233" t="s">
        <v>1053</v>
      </c>
      <c r="P1233" t="s">
        <v>1089</v>
      </c>
      <c r="Q1233" t="s">
        <v>3169</v>
      </c>
      <c r="R1233" t="s">
        <v>446</v>
      </c>
      <c r="S1233" t="s">
        <v>446</v>
      </c>
      <c r="T1233" t="s">
        <v>1965</v>
      </c>
      <c r="U1233" t="b">
        <v>0</v>
      </c>
      <c r="V1233" t="s">
        <v>446</v>
      </c>
    </row>
    <row r="1234" spans="1:22" x14ac:dyDescent="0.25">
      <c r="A1234" t="s">
        <v>42</v>
      </c>
      <c r="B1234">
        <v>162</v>
      </c>
      <c r="C1234" t="s">
        <v>979</v>
      </c>
      <c r="D1234" t="s">
        <v>4253</v>
      </c>
      <c r="E1234" t="s">
        <v>978</v>
      </c>
      <c r="F1234" t="s">
        <v>4254</v>
      </c>
      <c r="G1234" t="s">
        <v>24</v>
      </c>
      <c r="H1234" t="s">
        <v>26</v>
      </c>
      <c r="I1234" t="s">
        <v>3167</v>
      </c>
      <c r="J1234" t="s">
        <v>984</v>
      </c>
      <c r="K1234" t="s">
        <v>3168</v>
      </c>
      <c r="L1234" t="s">
        <v>984</v>
      </c>
      <c r="M1234" t="s">
        <v>980</v>
      </c>
      <c r="N1234" t="s">
        <v>981</v>
      </c>
      <c r="O1234" t="s">
        <v>981</v>
      </c>
      <c r="P1234" t="s">
        <v>1089</v>
      </c>
      <c r="Q1234" t="s">
        <v>3169</v>
      </c>
      <c r="R1234" t="s">
        <v>446</v>
      </c>
      <c r="S1234" t="s">
        <v>446</v>
      </c>
      <c r="T1234" t="s">
        <v>1965</v>
      </c>
      <c r="U1234" t="b">
        <v>0</v>
      </c>
      <c r="V1234" t="s">
        <v>446</v>
      </c>
    </row>
    <row r="1235" spans="1:22" x14ac:dyDescent="0.25">
      <c r="A1235" t="s">
        <v>42</v>
      </c>
      <c r="B1235">
        <v>162</v>
      </c>
      <c r="C1235" t="s">
        <v>987</v>
      </c>
      <c r="D1235" t="s">
        <v>4255</v>
      </c>
      <c r="E1235" t="s">
        <v>986</v>
      </c>
      <c r="F1235" t="s">
        <v>4256</v>
      </c>
      <c r="G1235" t="s">
        <v>24</v>
      </c>
      <c r="H1235" t="s">
        <v>26</v>
      </c>
      <c r="I1235" t="s">
        <v>3167</v>
      </c>
      <c r="J1235" t="s">
        <v>990</v>
      </c>
      <c r="K1235" t="s">
        <v>3171</v>
      </c>
      <c r="L1235" t="s">
        <v>990</v>
      </c>
      <c r="M1235" t="s">
        <v>980</v>
      </c>
      <c r="N1235" t="s">
        <v>988</v>
      </c>
      <c r="O1235" t="s">
        <v>988</v>
      </c>
      <c r="P1235" t="s">
        <v>1089</v>
      </c>
      <c r="Q1235" t="s">
        <v>3169</v>
      </c>
      <c r="R1235" t="s">
        <v>446</v>
      </c>
      <c r="S1235" t="s">
        <v>446</v>
      </c>
      <c r="T1235" t="s">
        <v>1965</v>
      </c>
      <c r="U1235" t="b">
        <v>0</v>
      </c>
      <c r="V1235" t="s">
        <v>446</v>
      </c>
    </row>
    <row r="1236" spans="1:22" x14ac:dyDescent="0.25">
      <c r="A1236" t="s">
        <v>42</v>
      </c>
      <c r="B1236">
        <v>162</v>
      </c>
      <c r="C1236" t="s">
        <v>993</v>
      </c>
      <c r="D1236" t="s">
        <v>4257</v>
      </c>
      <c r="E1236" t="s">
        <v>992</v>
      </c>
      <c r="F1236" t="s">
        <v>4258</v>
      </c>
      <c r="G1236" t="s">
        <v>24</v>
      </c>
      <c r="H1236" t="s">
        <v>26</v>
      </c>
      <c r="I1236" t="s">
        <v>3167</v>
      </c>
      <c r="J1236" t="s">
        <v>996</v>
      </c>
      <c r="K1236" t="s">
        <v>3173</v>
      </c>
      <c r="L1236" t="s">
        <v>996</v>
      </c>
      <c r="M1236" t="s">
        <v>980</v>
      </c>
      <c r="N1236" t="s">
        <v>994</v>
      </c>
      <c r="O1236" t="s">
        <v>994</v>
      </c>
      <c r="P1236" t="s">
        <v>1089</v>
      </c>
      <c r="Q1236" t="s">
        <v>3169</v>
      </c>
      <c r="R1236" t="s">
        <v>446</v>
      </c>
      <c r="S1236" t="s">
        <v>446</v>
      </c>
      <c r="T1236" t="s">
        <v>1965</v>
      </c>
      <c r="U1236" t="b">
        <v>0</v>
      </c>
      <c r="V1236" t="s">
        <v>446</v>
      </c>
    </row>
    <row r="1237" spans="1:22" x14ac:dyDescent="0.25">
      <c r="A1237" t="s">
        <v>42</v>
      </c>
      <c r="B1237">
        <v>162</v>
      </c>
      <c r="C1237" t="s">
        <v>999</v>
      </c>
      <c r="D1237" t="s">
        <v>4259</v>
      </c>
      <c r="E1237" t="s">
        <v>998</v>
      </c>
      <c r="F1237" t="s">
        <v>4019</v>
      </c>
      <c r="G1237" t="s">
        <v>24</v>
      </c>
      <c r="H1237" t="s">
        <v>26</v>
      </c>
      <c r="I1237" t="s">
        <v>3167</v>
      </c>
      <c r="J1237" t="s">
        <v>1003</v>
      </c>
      <c r="K1237" t="s">
        <v>3175</v>
      </c>
      <c r="L1237" t="s">
        <v>1003</v>
      </c>
      <c r="M1237" t="s">
        <v>1000</v>
      </c>
      <c r="N1237" t="s">
        <v>1001</v>
      </c>
      <c r="O1237" t="s">
        <v>1001</v>
      </c>
      <c r="P1237" t="s">
        <v>1089</v>
      </c>
      <c r="Q1237" t="s">
        <v>3169</v>
      </c>
      <c r="R1237" t="s">
        <v>446</v>
      </c>
      <c r="S1237" t="s">
        <v>446</v>
      </c>
      <c r="T1237" t="s">
        <v>1965</v>
      </c>
      <c r="U1237" t="b">
        <v>0</v>
      </c>
      <c r="V1237" t="s">
        <v>446</v>
      </c>
    </row>
    <row r="1238" spans="1:22" x14ac:dyDescent="0.25">
      <c r="A1238" t="s">
        <v>42</v>
      </c>
      <c r="B1238">
        <v>162</v>
      </c>
      <c r="C1238" t="s">
        <v>1005</v>
      </c>
      <c r="D1238" t="s">
        <v>4260</v>
      </c>
      <c r="E1238" t="s">
        <v>982</v>
      </c>
      <c r="F1238" t="s">
        <v>4019</v>
      </c>
      <c r="G1238" t="s">
        <v>24</v>
      </c>
      <c r="H1238" t="s">
        <v>26</v>
      </c>
      <c r="I1238" t="s">
        <v>3167</v>
      </c>
      <c r="J1238" t="s">
        <v>1003</v>
      </c>
      <c r="K1238" t="s">
        <v>3175</v>
      </c>
      <c r="L1238" t="s">
        <v>1003</v>
      </c>
      <c r="M1238" t="s">
        <v>1000</v>
      </c>
      <c r="N1238" t="s">
        <v>1001</v>
      </c>
      <c r="O1238" t="s">
        <v>1001</v>
      </c>
      <c r="P1238" t="s">
        <v>1089</v>
      </c>
      <c r="Q1238" t="s">
        <v>3169</v>
      </c>
      <c r="R1238" t="s">
        <v>446</v>
      </c>
      <c r="S1238" t="s">
        <v>446</v>
      </c>
      <c r="T1238" t="s">
        <v>1965</v>
      </c>
      <c r="U1238" t="b">
        <v>0</v>
      </c>
      <c r="V1238" t="s">
        <v>446</v>
      </c>
    </row>
    <row r="1239" spans="1:22" x14ac:dyDescent="0.25">
      <c r="A1239" t="s">
        <v>42</v>
      </c>
      <c r="B1239">
        <v>162</v>
      </c>
      <c r="C1239" t="s">
        <v>1007</v>
      </c>
      <c r="D1239" t="s">
        <v>4261</v>
      </c>
      <c r="E1239" t="s">
        <v>1006</v>
      </c>
      <c r="F1239" t="s">
        <v>4262</v>
      </c>
      <c r="G1239" t="s">
        <v>24</v>
      </c>
      <c r="H1239" t="s">
        <v>26</v>
      </c>
      <c r="I1239" t="s">
        <v>3167</v>
      </c>
      <c r="J1239" t="s">
        <v>1011</v>
      </c>
      <c r="K1239" t="s">
        <v>3179</v>
      </c>
      <c r="L1239" t="s">
        <v>1011</v>
      </c>
      <c r="M1239" t="s">
        <v>1008</v>
      </c>
      <c r="N1239" t="s">
        <v>1009</v>
      </c>
      <c r="O1239" t="s">
        <v>1009</v>
      </c>
      <c r="P1239" t="s">
        <v>1089</v>
      </c>
      <c r="Q1239" t="s">
        <v>3169</v>
      </c>
      <c r="R1239" t="s">
        <v>446</v>
      </c>
      <c r="S1239" t="s">
        <v>446</v>
      </c>
      <c r="T1239" t="s">
        <v>1965</v>
      </c>
      <c r="U1239" t="b">
        <v>0</v>
      </c>
      <c r="V1239" t="s">
        <v>446</v>
      </c>
    </row>
    <row r="1240" spans="1:22" x14ac:dyDescent="0.25">
      <c r="A1240" t="s">
        <v>42</v>
      </c>
      <c r="B1240">
        <v>162</v>
      </c>
      <c r="C1240" t="s">
        <v>1014</v>
      </c>
      <c r="D1240" t="s">
        <v>4263</v>
      </c>
      <c r="E1240" t="s">
        <v>1013</v>
      </c>
      <c r="F1240" t="s">
        <v>4264</v>
      </c>
      <c r="G1240" t="s">
        <v>24</v>
      </c>
      <c r="H1240" t="s">
        <v>26</v>
      </c>
      <c r="I1240" t="s">
        <v>3167</v>
      </c>
      <c r="J1240" t="s">
        <v>1016</v>
      </c>
      <c r="K1240" t="s">
        <v>3181</v>
      </c>
      <c r="L1240" t="s">
        <v>1016</v>
      </c>
      <c r="M1240" t="s">
        <v>980</v>
      </c>
      <c r="N1240" t="s">
        <v>1015</v>
      </c>
      <c r="O1240" t="s">
        <v>1015</v>
      </c>
      <c r="P1240" t="s">
        <v>1089</v>
      </c>
      <c r="Q1240" t="s">
        <v>3169</v>
      </c>
      <c r="R1240" t="s">
        <v>446</v>
      </c>
      <c r="S1240" t="s">
        <v>446</v>
      </c>
      <c r="T1240" t="s">
        <v>1965</v>
      </c>
      <c r="U1240" t="b">
        <v>0</v>
      </c>
      <c r="V1240" t="s">
        <v>446</v>
      </c>
    </row>
    <row r="1241" spans="1:22" x14ac:dyDescent="0.25">
      <c r="A1241" t="s">
        <v>42</v>
      </c>
      <c r="B1241">
        <v>162</v>
      </c>
      <c r="C1241" t="s">
        <v>1019</v>
      </c>
      <c r="D1241" t="s">
        <v>4265</v>
      </c>
      <c r="E1241" t="s">
        <v>1018</v>
      </c>
      <c r="F1241" t="s">
        <v>4266</v>
      </c>
      <c r="G1241" t="s">
        <v>24</v>
      </c>
      <c r="H1241" t="s">
        <v>26</v>
      </c>
      <c r="I1241" t="s">
        <v>3167</v>
      </c>
      <c r="J1241" t="s">
        <v>1021</v>
      </c>
      <c r="K1241" t="s">
        <v>3183</v>
      </c>
      <c r="L1241" t="s">
        <v>1021</v>
      </c>
      <c r="M1241" t="s">
        <v>980</v>
      </c>
      <c r="N1241" t="s">
        <v>1020</v>
      </c>
      <c r="O1241" t="s">
        <v>1020</v>
      </c>
      <c r="P1241" t="s">
        <v>1089</v>
      </c>
      <c r="Q1241" t="s">
        <v>3169</v>
      </c>
      <c r="R1241" t="s">
        <v>446</v>
      </c>
      <c r="S1241" t="s">
        <v>446</v>
      </c>
      <c r="T1241" t="s">
        <v>1965</v>
      </c>
      <c r="U1241" t="b">
        <v>0</v>
      </c>
      <c r="V1241" t="s">
        <v>446</v>
      </c>
    </row>
    <row r="1242" spans="1:22" x14ac:dyDescent="0.25">
      <c r="A1242" t="s">
        <v>42</v>
      </c>
      <c r="B1242">
        <v>162</v>
      </c>
      <c r="C1242" t="s">
        <v>1024</v>
      </c>
      <c r="D1242" t="s">
        <v>4267</v>
      </c>
      <c r="E1242" t="s">
        <v>1023</v>
      </c>
      <c r="F1242" t="s">
        <v>4020</v>
      </c>
      <c r="G1242" t="s">
        <v>24</v>
      </c>
      <c r="H1242" t="s">
        <v>26</v>
      </c>
      <c r="I1242" t="s">
        <v>3167</v>
      </c>
      <c r="J1242" t="s">
        <v>1026</v>
      </c>
      <c r="K1242" t="s">
        <v>3185</v>
      </c>
      <c r="L1242" t="s">
        <v>1026</v>
      </c>
      <c r="M1242" t="s">
        <v>1000</v>
      </c>
      <c r="N1242" t="s">
        <v>1025</v>
      </c>
      <c r="O1242" t="s">
        <v>1025</v>
      </c>
      <c r="P1242" t="s">
        <v>1089</v>
      </c>
      <c r="Q1242" t="s">
        <v>3169</v>
      </c>
      <c r="R1242" t="s">
        <v>446</v>
      </c>
      <c r="S1242" t="s">
        <v>446</v>
      </c>
      <c r="T1242" t="s">
        <v>1965</v>
      </c>
      <c r="U1242" t="b">
        <v>0</v>
      </c>
      <c r="V1242" t="s">
        <v>446</v>
      </c>
    </row>
    <row r="1243" spans="1:22" x14ac:dyDescent="0.25">
      <c r="A1243" t="s">
        <v>42</v>
      </c>
      <c r="B1243">
        <v>162</v>
      </c>
      <c r="C1243" t="s">
        <v>1028</v>
      </c>
      <c r="D1243" t="s">
        <v>4268</v>
      </c>
      <c r="E1243" t="s">
        <v>1010</v>
      </c>
      <c r="F1243" t="s">
        <v>4020</v>
      </c>
      <c r="G1243" t="s">
        <v>24</v>
      </c>
      <c r="H1243" t="s">
        <v>26</v>
      </c>
      <c r="I1243" t="s">
        <v>3167</v>
      </c>
      <c r="J1243" t="s">
        <v>1026</v>
      </c>
      <c r="K1243" t="s">
        <v>3185</v>
      </c>
      <c r="L1243" t="s">
        <v>1026</v>
      </c>
      <c r="M1243" t="s">
        <v>1000</v>
      </c>
      <c r="N1243" t="s">
        <v>1025</v>
      </c>
      <c r="O1243" t="s">
        <v>1025</v>
      </c>
      <c r="P1243" t="s">
        <v>1089</v>
      </c>
      <c r="Q1243" t="s">
        <v>3169</v>
      </c>
      <c r="R1243" t="s">
        <v>446</v>
      </c>
      <c r="S1243" t="s">
        <v>446</v>
      </c>
      <c r="T1243" t="s">
        <v>1965</v>
      </c>
      <c r="U1243" t="b">
        <v>0</v>
      </c>
      <c r="V1243" t="s">
        <v>446</v>
      </c>
    </row>
    <row r="1244" spans="1:22" x14ac:dyDescent="0.25">
      <c r="A1244" t="s">
        <v>42</v>
      </c>
      <c r="B1244">
        <v>162</v>
      </c>
      <c r="C1244" t="s">
        <v>1030</v>
      </c>
      <c r="D1244" t="s">
        <v>4269</v>
      </c>
      <c r="E1244" t="s">
        <v>1029</v>
      </c>
      <c r="F1244" t="s">
        <v>4270</v>
      </c>
      <c r="G1244" t="s">
        <v>24</v>
      </c>
      <c r="H1244" t="s">
        <v>26</v>
      </c>
      <c r="I1244" t="s">
        <v>3167</v>
      </c>
      <c r="J1244" t="s">
        <v>1033</v>
      </c>
      <c r="K1244" t="s">
        <v>3189</v>
      </c>
      <c r="L1244" t="s">
        <v>1033</v>
      </c>
      <c r="M1244" t="s">
        <v>980</v>
      </c>
      <c r="N1244" t="s">
        <v>1031</v>
      </c>
      <c r="O1244" t="s">
        <v>1031</v>
      </c>
      <c r="P1244" t="s">
        <v>1089</v>
      </c>
      <c r="Q1244" t="s">
        <v>3169</v>
      </c>
      <c r="R1244" t="s">
        <v>446</v>
      </c>
      <c r="S1244" t="s">
        <v>446</v>
      </c>
      <c r="T1244" t="s">
        <v>1965</v>
      </c>
      <c r="U1244" t="b">
        <v>0</v>
      </c>
      <c r="V1244" t="s">
        <v>446</v>
      </c>
    </row>
    <row r="1245" spans="1:22" x14ac:dyDescent="0.25">
      <c r="A1245" t="s">
        <v>42</v>
      </c>
      <c r="B1245">
        <v>162</v>
      </c>
      <c r="C1245" t="s">
        <v>1036</v>
      </c>
      <c r="D1245" t="s">
        <v>4271</v>
      </c>
      <c r="E1245" t="s">
        <v>1035</v>
      </c>
      <c r="F1245" t="s">
        <v>4272</v>
      </c>
      <c r="G1245" t="s">
        <v>24</v>
      </c>
      <c r="H1245" t="s">
        <v>26</v>
      </c>
      <c r="I1245" t="s">
        <v>3167</v>
      </c>
      <c r="J1245" t="s">
        <v>1038</v>
      </c>
      <c r="K1245" t="s">
        <v>3191</v>
      </c>
      <c r="L1245" t="s">
        <v>1038</v>
      </c>
      <c r="M1245" t="s">
        <v>980</v>
      </c>
      <c r="N1245" t="s">
        <v>1037</v>
      </c>
      <c r="O1245" t="s">
        <v>1037</v>
      </c>
      <c r="P1245" t="s">
        <v>1089</v>
      </c>
      <c r="Q1245" t="s">
        <v>3169</v>
      </c>
      <c r="R1245" t="s">
        <v>446</v>
      </c>
      <c r="S1245" t="s">
        <v>446</v>
      </c>
      <c r="T1245" t="s">
        <v>1965</v>
      </c>
      <c r="U1245" t="b">
        <v>0</v>
      </c>
      <c r="V1245" t="s">
        <v>446</v>
      </c>
    </row>
    <row r="1246" spans="1:22" x14ac:dyDescent="0.25">
      <c r="A1246" t="s">
        <v>42</v>
      </c>
      <c r="B1246">
        <v>162</v>
      </c>
      <c r="C1246" t="s">
        <v>1041</v>
      </c>
      <c r="D1246" t="s">
        <v>4273</v>
      </c>
      <c r="E1246" t="s">
        <v>1040</v>
      </c>
      <c r="F1246" t="s">
        <v>4274</v>
      </c>
      <c r="G1246" t="s">
        <v>24</v>
      </c>
      <c r="H1246" t="s">
        <v>26</v>
      </c>
      <c r="I1246" t="s">
        <v>3167</v>
      </c>
      <c r="J1246" t="s">
        <v>1043</v>
      </c>
      <c r="K1246" t="s">
        <v>3193</v>
      </c>
      <c r="L1246" t="s">
        <v>1043</v>
      </c>
      <c r="M1246" t="s">
        <v>980</v>
      </c>
      <c r="N1246" t="s">
        <v>1042</v>
      </c>
      <c r="O1246" t="s">
        <v>1042</v>
      </c>
      <c r="P1246" t="s">
        <v>1089</v>
      </c>
      <c r="Q1246" t="s">
        <v>3169</v>
      </c>
      <c r="R1246" t="s">
        <v>446</v>
      </c>
      <c r="S1246" t="s">
        <v>446</v>
      </c>
      <c r="T1246" t="s">
        <v>1965</v>
      </c>
      <c r="U1246" t="b">
        <v>0</v>
      </c>
      <c r="V1246" t="s">
        <v>446</v>
      </c>
    </row>
    <row r="1247" spans="1:22" x14ac:dyDescent="0.25">
      <c r="A1247" t="s">
        <v>42</v>
      </c>
      <c r="B1247">
        <v>162</v>
      </c>
      <c r="C1247" t="s">
        <v>1046</v>
      </c>
      <c r="D1247" t="s">
        <v>4275</v>
      </c>
      <c r="E1247" t="s">
        <v>1045</v>
      </c>
      <c r="F1247" t="s">
        <v>4021</v>
      </c>
      <c r="G1247" t="s">
        <v>24</v>
      </c>
      <c r="H1247" t="s">
        <v>26</v>
      </c>
      <c r="I1247" t="s">
        <v>3167</v>
      </c>
      <c r="J1247" t="s">
        <v>1048</v>
      </c>
      <c r="K1247" t="s">
        <v>3195</v>
      </c>
      <c r="L1247" t="s">
        <v>1048</v>
      </c>
      <c r="M1247" t="s">
        <v>1000</v>
      </c>
      <c r="N1247" t="s">
        <v>1047</v>
      </c>
      <c r="O1247" t="s">
        <v>1047</v>
      </c>
      <c r="P1247" t="s">
        <v>1089</v>
      </c>
      <c r="Q1247" t="s">
        <v>3169</v>
      </c>
      <c r="R1247" t="s">
        <v>446</v>
      </c>
      <c r="S1247" t="s">
        <v>446</v>
      </c>
      <c r="T1247" t="s">
        <v>1965</v>
      </c>
      <c r="U1247" t="b">
        <v>0</v>
      </c>
      <c r="V1247" t="s">
        <v>446</v>
      </c>
    </row>
    <row r="1248" spans="1:22" x14ac:dyDescent="0.25">
      <c r="A1248" t="s">
        <v>42</v>
      </c>
      <c r="B1248">
        <v>162</v>
      </c>
      <c r="C1248" t="s">
        <v>1050</v>
      </c>
      <c r="D1248" t="s">
        <v>4276</v>
      </c>
      <c r="E1248" t="s">
        <v>1032</v>
      </c>
      <c r="F1248" t="s">
        <v>4021</v>
      </c>
      <c r="G1248" t="s">
        <v>24</v>
      </c>
      <c r="H1248" t="s">
        <v>26</v>
      </c>
      <c r="I1248" t="s">
        <v>3167</v>
      </c>
      <c r="J1248" t="s">
        <v>1048</v>
      </c>
      <c r="K1248" t="s">
        <v>3195</v>
      </c>
      <c r="L1248" t="s">
        <v>1048</v>
      </c>
      <c r="M1248" t="s">
        <v>1000</v>
      </c>
      <c r="N1248" t="s">
        <v>1047</v>
      </c>
      <c r="O1248" t="s">
        <v>1047</v>
      </c>
      <c r="P1248" t="s">
        <v>1089</v>
      </c>
      <c r="Q1248" t="s">
        <v>3169</v>
      </c>
      <c r="R1248" t="s">
        <v>446</v>
      </c>
      <c r="S1248" t="s">
        <v>446</v>
      </c>
      <c r="T1248" t="s">
        <v>1965</v>
      </c>
      <c r="U1248" t="b">
        <v>0</v>
      </c>
      <c r="V1248" t="s">
        <v>446</v>
      </c>
    </row>
    <row r="1249" spans="1:22" x14ac:dyDescent="0.25">
      <c r="A1249" t="s">
        <v>42</v>
      </c>
      <c r="B1249">
        <v>162</v>
      </c>
      <c r="C1249" t="s">
        <v>1052</v>
      </c>
      <c r="D1249" t="s">
        <v>4277</v>
      </c>
      <c r="E1249" t="s">
        <v>1051</v>
      </c>
      <c r="F1249" t="s">
        <v>4278</v>
      </c>
      <c r="G1249" t="s">
        <v>24</v>
      </c>
      <c r="H1249" t="s">
        <v>26</v>
      </c>
      <c r="I1249" t="s">
        <v>3167</v>
      </c>
      <c r="J1249" t="s">
        <v>1055</v>
      </c>
      <c r="K1249" t="s">
        <v>3199</v>
      </c>
      <c r="L1249" t="s">
        <v>1055</v>
      </c>
      <c r="M1249" t="s">
        <v>980</v>
      </c>
      <c r="N1249" t="s">
        <v>1053</v>
      </c>
      <c r="O1249" t="s">
        <v>1053</v>
      </c>
      <c r="P1249" t="s">
        <v>1089</v>
      </c>
      <c r="Q1249" t="s">
        <v>3169</v>
      </c>
      <c r="R1249" t="s">
        <v>446</v>
      </c>
      <c r="S1249" t="s">
        <v>446</v>
      </c>
      <c r="T1249" t="s">
        <v>1965</v>
      </c>
      <c r="U1249" t="b">
        <v>0</v>
      </c>
      <c r="V1249" t="s">
        <v>446</v>
      </c>
    </row>
    <row r="1250" spans="1:22" x14ac:dyDescent="0.25">
      <c r="A1250" t="s">
        <v>42</v>
      </c>
      <c r="B1250">
        <v>163</v>
      </c>
      <c r="C1250" t="s">
        <v>979</v>
      </c>
      <c r="D1250" t="s">
        <v>4279</v>
      </c>
      <c r="E1250" t="s">
        <v>978</v>
      </c>
      <c r="F1250" t="s">
        <v>4280</v>
      </c>
      <c r="G1250" t="s">
        <v>24</v>
      </c>
      <c r="H1250" t="s">
        <v>26</v>
      </c>
      <c r="I1250" t="s">
        <v>3167</v>
      </c>
      <c r="J1250" t="s">
        <v>984</v>
      </c>
      <c r="K1250" t="s">
        <v>3168</v>
      </c>
      <c r="L1250" t="s">
        <v>984</v>
      </c>
      <c r="M1250" t="s">
        <v>980</v>
      </c>
      <c r="N1250" t="s">
        <v>981</v>
      </c>
      <c r="O1250" t="s">
        <v>981</v>
      </c>
      <c r="P1250" t="s">
        <v>1089</v>
      </c>
      <c r="Q1250" t="s">
        <v>3169</v>
      </c>
      <c r="R1250" t="s">
        <v>446</v>
      </c>
      <c r="S1250" t="s">
        <v>446</v>
      </c>
      <c r="T1250" t="s">
        <v>1965</v>
      </c>
      <c r="U1250" t="b">
        <v>0</v>
      </c>
      <c r="V1250" t="s">
        <v>446</v>
      </c>
    </row>
    <row r="1251" spans="1:22" x14ac:dyDescent="0.25">
      <c r="A1251" t="s">
        <v>42</v>
      </c>
      <c r="B1251">
        <v>163</v>
      </c>
      <c r="C1251" t="s">
        <v>987</v>
      </c>
      <c r="D1251" t="s">
        <v>4281</v>
      </c>
      <c r="E1251" t="s">
        <v>986</v>
      </c>
      <c r="F1251" t="s">
        <v>4282</v>
      </c>
      <c r="G1251" t="s">
        <v>24</v>
      </c>
      <c r="H1251" t="s">
        <v>26</v>
      </c>
      <c r="I1251" t="s">
        <v>3167</v>
      </c>
      <c r="J1251" t="s">
        <v>990</v>
      </c>
      <c r="K1251" t="s">
        <v>3171</v>
      </c>
      <c r="L1251" t="s">
        <v>990</v>
      </c>
      <c r="M1251" t="s">
        <v>980</v>
      </c>
      <c r="N1251" t="s">
        <v>988</v>
      </c>
      <c r="O1251" t="s">
        <v>988</v>
      </c>
      <c r="P1251" t="s">
        <v>1089</v>
      </c>
      <c r="Q1251" t="s">
        <v>3169</v>
      </c>
      <c r="R1251" t="s">
        <v>446</v>
      </c>
      <c r="S1251" t="s">
        <v>446</v>
      </c>
      <c r="T1251" t="s">
        <v>1965</v>
      </c>
      <c r="U1251" t="b">
        <v>0</v>
      </c>
      <c r="V1251" t="s">
        <v>446</v>
      </c>
    </row>
    <row r="1252" spans="1:22" x14ac:dyDescent="0.25">
      <c r="A1252" t="s">
        <v>42</v>
      </c>
      <c r="B1252">
        <v>163</v>
      </c>
      <c r="C1252" t="s">
        <v>993</v>
      </c>
      <c r="D1252" t="s">
        <v>4283</v>
      </c>
      <c r="E1252" t="s">
        <v>992</v>
      </c>
      <c r="F1252" t="s">
        <v>4284</v>
      </c>
      <c r="G1252" t="s">
        <v>24</v>
      </c>
      <c r="H1252" t="s">
        <v>26</v>
      </c>
      <c r="I1252" t="s">
        <v>3167</v>
      </c>
      <c r="J1252" t="s">
        <v>996</v>
      </c>
      <c r="K1252" t="s">
        <v>3173</v>
      </c>
      <c r="L1252" t="s">
        <v>996</v>
      </c>
      <c r="M1252" t="s">
        <v>980</v>
      </c>
      <c r="N1252" t="s">
        <v>994</v>
      </c>
      <c r="O1252" t="s">
        <v>994</v>
      </c>
      <c r="P1252" t="s">
        <v>1089</v>
      </c>
      <c r="Q1252" t="s">
        <v>3169</v>
      </c>
      <c r="R1252" t="s">
        <v>446</v>
      </c>
      <c r="S1252" t="s">
        <v>446</v>
      </c>
      <c r="T1252" t="s">
        <v>1965</v>
      </c>
      <c r="U1252" t="b">
        <v>0</v>
      </c>
      <c r="V1252" t="s">
        <v>446</v>
      </c>
    </row>
    <row r="1253" spans="1:22" x14ac:dyDescent="0.25">
      <c r="A1253" t="s">
        <v>42</v>
      </c>
      <c r="B1253">
        <v>163</v>
      </c>
      <c r="C1253" t="s">
        <v>999</v>
      </c>
      <c r="D1253" t="s">
        <v>4285</v>
      </c>
      <c r="E1253" t="s">
        <v>998</v>
      </c>
      <c r="F1253" t="s">
        <v>4023</v>
      </c>
      <c r="G1253" t="s">
        <v>24</v>
      </c>
      <c r="H1253" t="s">
        <v>26</v>
      </c>
      <c r="I1253" t="s">
        <v>3167</v>
      </c>
      <c r="J1253" t="s">
        <v>1003</v>
      </c>
      <c r="K1253" t="s">
        <v>3175</v>
      </c>
      <c r="L1253" t="s">
        <v>1003</v>
      </c>
      <c r="M1253" t="s">
        <v>1000</v>
      </c>
      <c r="N1253" t="s">
        <v>1001</v>
      </c>
      <c r="O1253" t="s">
        <v>1001</v>
      </c>
      <c r="P1253" t="s">
        <v>1089</v>
      </c>
      <c r="Q1253" t="s">
        <v>3169</v>
      </c>
      <c r="R1253" t="s">
        <v>446</v>
      </c>
      <c r="S1253" t="s">
        <v>446</v>
      </c>
      <c r="T1253" t="s">
        <v>1965</v>
      </c>
      <c r="U1253" t="b">
        <v>0</v>
      </c>
      <c r="V1253" t="s">
        <v>446</v>
      </c>
    </row>
    <row r="1254" spans="1:22" x14ac:dyDescent="0.25">
      <c r="A1254" t="s">
        <v>42</v>
      </c>
      <c r="B1254">
        <v>163</v>
      </c>
      <c r="C1254" t="s">
        <v>1005</v>
      </c>
      <c r="D1254" t="s">
        <v>4286</v>
      </c>
      <c r="E1254" t="s">
        <v>982</v>
      </c>
      <c r="F1254" t="s">
        <v>4023</v>
      </c>
      <c r="G1254" t="s">
        <v>24</v>
      </c>
      <c r="H1254" t="s">
        <v>26</v>
      </c>
      <c r="I1254" t="s">
        <v>3167</v>
      </c>
      <c r="J1254" t="s">
        <v>1003</v>
      </c>
      <c r="K1254" t="s">
        <v>3175</v>
      </c>
      <c r="L1254" t="s">
        <v>1003</v>
      </c>
      <c r="M1254" t="s">
        <v>1000</v>
      </c>
      <c r="N1254" t="s">
        <v>1001</v>
      </c>
      <c r="O1254" t="s">
        <v>1001</v>
      </c>
      <c r="P1254" t="s">
        <v>1089</v>
      </c>
      <c r="Q1254" t="s">
        <v>3169</v>
      </c>
      <c r="R1254" t="s">
        <v>446</v>
      </c>
      <c r="S1254" t="s">
        <v>446</v>
      </c>
      <c r="T1254" t="s">
        <v>1965</v>
      </c>
      <c r="U1254" t="b">
        <v>0</v>
      </c>
      <c r="V1254" t="s">
        <v>446</v>
      </c>
    </row>
    <row r="1255" spans="1:22" x14ac:dyDescent="0.25">
      <c r="A1255" t="s">
        <v>42</v>
      </c>
      <c r="B1255">
        <v>163</v>
      </c>
      <c r="C1255" t="s">
        <v>1007</v>
      </c>
      <c r="D1255" t="s">
        <v>4287</v>
      </c>
      <c r="E1255" t="s">
        <v>1006</v>
      </c>
      <c r="F1255" t="s">
        <v>4288</v>
      </c>
      <c r="G1255" t="s">
        <v>24</v>
      </c>
      <c r="H1255" t="s">
        <v>26</v>
      </c>
      <c r="I1255" t="s">
        <v>3167</v>
      </c>
      <c r="J1255" t="s">
        <v>1011</v>
      </c>
      <c r="K1255" t="s">
        <v>3179</v>
      </c>
      <c r="L1255" t="s">
        <v>1011</v>
      </c>
      <c r="M1255" t="s">
        <v>1008</v>
      </c>
      <c r="N1255" t="s">
        <v>1009</v>
      </c>
      <c r="O1255" t="s">
        <v>1009</v>
      </c>
      <c r="P1255" t="s">
        <v>1089</v>
      </c>
      <c r="Q1255" t="s">
        <v>3169</v>
      </c>
      <c r="R1255" t="s">
        <v>446</v>
      </c>
      <c r="S1255" t="s">
        <v>446</v>
      </c>
      <c r="T1255" t="s">
        <v>1965</v>
      </c>
      <c r="U1255" t="b">
        <v>0</v>
      </c>
      <c r="V1255" t="s">
        <v>446</v>
      </c>
    </row>
    <row r="1256" spans="1:22" x14ac:dyDescent="0.25">
      <c r="A1256" t="s">
        <v>42</v>
      </c>
      <c r="B1256">
        <v>163</v>
      </c>
      <c r="C1256" t="s">
        <v>1014</v>
      </c>
      <c r="D1256" t="s">
        <v>4289</v>
      </c>
      <c r="E1256" t="s">
        <v>1013</v>
      </c>
      <c r="F1256" t="s">
        <v>4290</v>
      </c>
      <c r="G1256" t="s">
        <v>24</v>
      </c>
      <c r="H1256" t="s">
        <v>26</v>
      </c>
      <c r="I1256" t="s">
        <v>3167</v>
      </c>
      <c r="J1256" t="s">
        <v>1016</v>
      </c>
      <c r="K1256" t="s">
        <v>3181</v>
      </c>
      <c r="L1256" t="s">
        <v>1016</v>
      </c>
      <c r="M1256" t="s">
        <v>980</v>
      </c>
      <c r="N1256" t="s">
        <v>1015</v>
      </c>
      <c r="O1256" t="s">
        <v>1015</v>
      </c>
      <c r="P1256" t="s">
        <v>1089</v>
      </c>
      <c r="Q1256" t="s">
        <v>3169</v>
      </c>
      <c r="R1256" t="s">
        <v>446</v>
      </c>
      <c r="S1256" t="s">
        <v>446</v>
      </c>
      <c r="T1256" t="s">
        <v>1965</v>
      </c>
      <c r="U1256" t="b">
        <v>0</v>
      </c>
      <c r="V1256" t="s">
        <v>446</v>
      </c>
    </row>
    <row r="1257" spans="1:22" x14ac:dyDescent="0.25">
      <c r="A1257" t="s">
        <v>42</v>
      </c>
      <c r="B1257">
        <v>163</v>
      </c>
      <c r="C1257" t="s">
        <v>1019</v>
      </c>
      <c r="D1257" t="s">
        <v>4291</v>
      </c>
      <c r="E1257" t="s">
        <v>1018</v>
      </c>
      <c r="F1257" t="s">
        <v>4292</v>
      </c>
      <c r="G1257" t="s">
        <v>24</v>
      </c>
      <c r="H1257" t="s">
        <v>26</v>
      </c>
      <c r="I1257" t="s">
        <v>3167</v>
      </c>
      <c r="J1257" t="s">
        <v>1021</v>
      </c>
      <c r="K1257" t="s">
        <v>3183</v>
      </c>
      <c r="L1257" t="s">
        <v>1021</v>
      </c>
      <c r="M1257" t="s">
        <v>980</v>
      </c>
      <c r="N1257" t="s">
        <v>1020</v>
      </c>
      <c r="O1257" t="s">
        <v>1020</v>
      </c>
      <c r="P1257" t="s">
        <v>1089</v>
      </c>
      <c r="Q1257" t="s">
        <v>3169</v>
      </c>
      <c r="R1257" t="s">
        <v>446</v>
      </c>
      <c r="S1257" t="s">
        <v>446</v>
      </c>
      <c r="T1257" t="s">
        <v>1965</v>
      </c>
      <c r="U1257" t="b">
        <v>0</v>
      </c>
      <c r="V1257" t="s">
        <v>446</v>
      </c>
    </row>
    <row r="1258" spans="1:22" x14ac:dyDescent="0.25">
      <c r="A1258" t="s">
        <v>42</v>
      </c>
      <c r="B1258">
        <v>163</v>
      </c>
      <c r="C1258" t="s">
        <v>1024</v>
      </c>
      <c r="D1258" t="s">
        <v>4293</v>
      </c>
      <c r="E1258" t="s">
        <v>1023</v>
      </c>
      <c r="F1258" t="s">
        <v>4024</v>
      </c>
      <c r="G1258" t="s">
        <v>24</v>
      </c>
      <c r="H1258" t="s">
        <v>26</v>
      </c>
      <c r="I1258" t="s">
        <v>3167</v>
      </c>
      <c r="J1258" t="s">
        <v>1026</v>
      </c>
      <c r="K1258" t="s">
        <v>3185</v>
      </c>
      <c r="L1258" t="s">
        <v>1026</v>
      </c>
      <c r="M1258" t="s">
        <v>1000</v>
      </c>
      <c r="N1258" t="s">
        <v>1025</v>
      </c>
      <c r="O1258" t="s">
        <v>1025</v>
      </c>
      <c r="P1258" t="s">
        <v>1089</v>
      </c>
      <c r="Q1258" t="s">
        <v>3169</v>
      </c>
      <c r="R1258" t="s">
        <v>446</v>
      </c>
      <c r="S1258" t="s">
        <v>446</v>
      </c>
      <c r="T1258" t="s">
        <v>1965</v>
      </c>
      <c r="U1258" t="b">
        <v>0</v>
      </c>
      <c r="V1258" t="s">
        <v>446</v>
      </c>
    </row>
    <row r="1259" spans="1:22" x14ac:dyDescent="0.25">
      <c r="A1259" t="s">
        <v>42</v>
      </c>
      <c r="B1259">
        <v>163</v>
      </c>
      <c r="C1259" t="s">
        <v>1028</v>
      </c>
      <c r="D1259" t="s">
        <v>4294</v>
      </c>
      <c r="E1259" t="s">
        <v>1010</v>
      </c>
      <c r="F1259" t="s">
        <v>4024</v>
      </c>
      <c r="G1259" t="s">
        <v>24</v>
      </c>
      <c r="H1259" t="s">
        <v>26</v>
      </c>
      <c r="I1259" t="s">
        <v>3167</v>
      </c>
      <c r="J1259" t="s">
        <v>1026</v>
      </c>
      <c r="K1259" t="s">
        <v>3185</v>
      </c>
      <c r="L1259" t="s">
        <v>1026</v>
      </c>
      <c r="M1259" t="s">
        <v>1000</v>
      </c>
      <c r="N1259" t="s">
        <v>1025</v>
      </c>
      <c r="O1259" t="s">
        <v>1025</v>
      </c>
      <c r="P1259" t="s">
        <v>1089</v>
      </c>
      <c r="Q1259" t="s">
        <v>3169</v>
      </c>
      <c r="R1259" t="s">
        <v>446</v>
      </c>
      <c r="S1259" t="s">
        <v>446</v>
      </c>
      <c r="T1259" t="s">
        <v>1965</v>
      </c>
      <c r="U1259" t="b">
        <v>0</v>
      </c>
      <c r="V1259" t="s">
        <v>446</v>
      </c>
    </row>
    <row r="1260" spans="1:22" x14ac:dyDescent="0.25">
      <c r="A1260" t="s">
        <v>42</v>
      </c>
      <c r="B1260">
        <v>163</v>
      </c>
      <c r="C1260" t="s">
        <v>1030</v>
      </c>
      <c r="D1260" t="s">
        <v>4295</v>
      </c>
      <c r="E1260" t="s">
        <v>1029</v>
      </c>
      <c r="F1260" t="s">
        <v>4296</v>
      </c>
      <c r="G1260" t="s">
        <v>24</v>
      </c>
      <c r="H1260" t="s">
        <v>26</v>
      </c>
      <c r="I1260" t="s">
        <v>3167</v>
      </c>
      <c r="J1260" t="s">
        <v>1033</v>
      </c>
      <c r="K1260" t="s">
        <v>3189</v>
      </c>
      <c r="L1260" t="s">
        <v>1033</v>
      </c>
      <c r="M1260" t="s">
        <v>980</v>
      </c>
      <c r="N1260" t="s">
        <v>1031</v>
      </c>
      <c r="O1260" t="s">
        <v>1031</v>
      </c>
      <c r="P1260" t="s">
        <v>1089</v>
      </c>
      <c r="Q1260" t="s">
        <v>3169</v>
      </c>
      <c r="R1260" t="s">
        <v>446</v>
      </c>
      <c r="S1260" t="s">
        <v>446</v>
      </c>
      <c r="T1260" t="s">
        <v>1965</v>
      </c>
      <c r="U1260" t="b">
        <v>0</v>
      </c>
      <c r="V1260" t="s">
        <v>446</v>
      </c>
    </row>
    <row r="1261" spans="1:22" x14ac:dyDescent="0.25">
      <c r="A1261" t="s">
        <v>42</v>
      </c>
      <c r="B1261">
        <v>163</v>
      </c>
      <c r="C1261" t="s">
        <v>1036</v>
      </c>
      <c r="D1261" t="s">
        <v>4297</v>
      </c>
      <c r="E1261" t="s">
        <v>1035</v>
      </c>
      <c r="F1261" t="s">
        <v>4298</v>
      </c>
      <c r="G1261" t="s">
        <v>24</v>
      </c>
      <c r="H1261" t="s">
        <v>26</v>
      </c>
      <c r="I1261" t="s">
        <v>3167</v>
      </c>
      <c r="J1261" t="s">
        <v>1038</v>
      </c>
      <c r="K1261" t="s">
        <v>3191</v>
      </c>
      <c r="L1261" t="s">
        <v>1038</v>
      </c>
      <c r="M1261" t="s">
        <v>980</v>
      </c>
      <c r="N1261" t="s">
        <v>1037</v>
      </c>
      <c r="O1261" t="s">
        <v>1037</v>
      </c>
      <c r="P1261" t="s">
        <v>1089</v>
      </c>
      <c r="Q1261" t="s">
        <v>3169</v>
      </c>
      <c r="R1261" t="s">
        <v>446</v>
      </c>
      <c r="S1261" t="s">
        <v>446</v>
      </c>
      <c r="T1261" t="s">
        <v>1965</v>
      </c>
      <c r="U1261" t="b">
        <v>0</v>
      </c>
      <c r="V1261" t="s">
        <v>446</v>
      </c>
    </row>
    <row r="1262" spans="1:22" x14ac:dyDescent="0.25">
      <c r="A1262" t="s">
        <v>42</v>
      </c>
      <c r="B1262">
        <v>163</v>
      </c>
      <c r="C1262" t="s">
        <v>1041</v>
      </c>
      <c r="D1262" t="s">
        <v>4299</v>
      </c>
      <c r="E1262" t="s">
        <v>1040</v>
      </c>
      <c r="F1262" t="s">
        <v>4300</v>
      </c>
      <c r="G1262" t="s">
        <v>24</v>
      </c>
      <c r="H1262" t="s">
        <v>26</v>
      </c>
      <c r="I1262" t="s">
        <v>3167</v>
      </c>
      <c r="J1262" t="s">
        <v>1043</v>
      </c>
      <c r="K1262" t="s">
        <v>3193</v>
      </c>
      <c r="L1262" t="s">
        <v>1043</v>
      </c>
      <c r="M1262" t="s">
        <v>980</v>
      </c>
      <c r="N1262" t="s">
        <v>1042</v>
      </c>
      <c r="O1262" t="s">
        <v>1042</v>
      </c>
      <c r="P1262" t="s">
        <v>1089</v>
      </c>
      <c r="Q1262" t="s">
        <v>3169</v>
      </c>
      <c r="R1262" t="s">
        <v>446</v>
      </c>
      <c r="S1262" t="s">
        <v>446</v>
      </c>
      <c r="T1262" t="s">
        <v>1965</v>
      </c>
      <c r="U1262" t="b">
        <v>0</v>
      </c>
      <c r="V1262" t="s">
        <v>446</v>
      </c>
    </row>
    <row r="1263" spans="1:22" x14ac:dyDescent="0.25">
      <c r="A1263" t="s">
        <v>42</v>
      </c>
      <c r="B1263">
        <v>163</v>
      </c>
      <c r="C1263" t="s">
        <v>1046</v>
      </c>
      <c r="D1263" t="s">
        <v>4301</v>
      </c>
      <c r="E1263" t="s">
        <v>1045</v>
      </c>
      <c r="F1263" t="s">
        <v>4025</v>
      </c>
      <c r="G1263" t="s">
        <v>24</v>
      </c>
      <c r="H1263" t="s">
        <v>26</v>
      </c>
      <c r="I1263" t="s">
        <v>3167</v>
      </c>
      <c r="J1263" t="s">
        <v>1048</v>
      </c>
      <c r="K1263" t="s">
        <v>3195</v>
      </c>
      <c r="L1263" t="s">
        <v>1048</v>
      </c>
      <c r="M1263" t="s">
        <v>1000</v>
      </c>
      <c r="N1263" t="s">
        <v>1047</v>
      </c>
      <c r="O1263" t="s">
        <v>1047</v>
      </c>
      <c r="P1263" t="s">
        <v>1089</v>
      </c>
      <c r="Q1263" t="s">
        <v>3169</v>
      </c>
      <c r="R1263" t="s">
        <v>446</v>
      </c>
      <c r="S1263" t="s">
        <v>446</v>
      </c>
      <c r="T1263" t="s">
        <v>1965</v>
      </c>
      <c r="U1263" t="b">
        <v>0</v>
      </c>
      <c r="V1263" t="s">
        <v>446</v>
      </c>
    </row>
    <row r="1264" spans="1:22" x14ac:dyDescent="0.25">
      <c r="A1264" t="s">
        <v>42</v>
      </c>
      <c r="B1264">
        <v>163</v>
      </c>
      <c r="C1264" t="s">
        <v>1050</v>
      </c>
      <c r="D1264" t="s">
        <v>4302</v>
      </c>
      <c r="E1264" t="s">
        <v>1032</v>
      </c>
      <c r="F1264" t="s">
        <v>4025</v>
      </c>
      <c r="G1264" t="s">
        <v>24</v>
      </c>
      <c r="H1264" t="s">
        <v>26</v>
      </c>
      <c r="I1264" t="s">
        <v>3167</v>
      </c>
      <c r="J1264" t="s">
        <v>1048</v>
      </c>
      <c r="K1264" t="s">
        <v>3195</v>
      </c>
      <c r="L1264" t="s">
        <v>1048</v>
      </c>
      <c r="M1264" t="s">
        <v>1000</v>
      </c>
      <c r="N1264" t="s">
        <v>1047</v>
      </c>
      <c r="O1264" t="s">
        <v>1047</v>
      </c>
      <c r="P1264" t="s">
        <v>1089</v>
      </c>
      <c r="Q1264" t="s">
        <v>3169</v>
      </c>
      <c r="R1264" t="s">
        <v>446</v>
      </c>
      <c r="S1264" t="s">
        <v>446</v>
      </c>
      <c r="T1264" t="s">
        <v>1965</v>
      </c>
      <c r="U1264" t="b">
        <v>0</v>
      </c>
      <c r="V1264" t="s">
        <v>446</v>
      </c>
    </row>
    <row r="1265" spans="1:22" x14ac:dyDescent="0.25">
      <c r="A1265" t="s">
        <v>42</v>
      </c>
      <c r="B1265">
        <v>163</v>
      </c>
      <c r="C1265" t="s">
        <v>1052</v>
      </c>
      <c r="D1265" t="s">
        <v>4303</v>
      </c>
      <c r="E1265" t="s">
        <v>1051</v>
      </c>
      <c r="F1265" t="s">
        <v>4304</v>
      </c>
      <c r="G1265" t="s">
        <v>24</v>
      </c>
      <c r="H1265" t="s">
        <v>26</v>
      </c>
      <c r="I1265" t="s">
        <v>3167</v>
      </c>
      <c r="J1265" t="s">
        <v>1055</v>
      </c>
      <c r="K1265" t="s">
        <v>3199</v>
      </c>
      <c r="L1265" t="s">
        <v>1055</v>
      </c>
      <c r="M1265" t="s">
        <v>980</v>
      </c>
      <c r="N1265" t="s">
        <v>1053</v>
      </c>
      <c r="O1265" t="s">
        <v>1053</v>
      </c>
      <c r="P1265" t="s">
        <v>1089</v>
      </c>
      <c r="Q1265" t="s">
        <v>3169</v>
      </c>
      <c r="R1265" t="s">
        <v>446</v>
      </c>
      <c r="S1265" t="s">
        <v>446</v>
      </c>
      <c r="T1265" t="s">
        <v>1965</v>
      </c>
      <c r="U1265" t="b">
        <v>0</v>
      </c>
      <c r="V1265" t="s">
        <v>446</v>
      </c>
    </row>
    <row r="1266" spans="1:22" x14ac:dyDescent="0.25">
      <c r="A1266" t="s">
        <v>42</v>
      </c>
      <c r="B1266">
        <v>164</v>
      </c>
      <c r="C1266" t="s">
        <v>979</v>
      </c>
      <c r="D1266" t="s">
        <v>4305</v>
      </c>
      <c r="E1266" t="s">
        <v>978</v>
      </c>
      <c r="F1266" t="s">
        <v>4306</v>
      </c>
      <c r="G1266" t="s">
        <v>24</v>
      </c>
      <c r="H1266" t="s">
        <v>26</v>
      </c>
      <c r="I1266" t="s">
        <v>3167</v>
      </c>
      <c r="J1266" t="s">
        <v>984</v>
      </c>
      <c r="K1266" t="s">
        <v>3168</v>
      </c>
      <c r="L1266" t="s">
        <v>984</v>
      </c>
      <c r="M1266" t="s">
        <v>980</v>
      </c>
      <c r="N1266" t="s">
        <v>981</v>
      </c>
      <c r="O1266" t="s">
        <v>981</v>
      </c>
      <c r="P1266" t="s">
        <v>1089</v>
      </c>
      <c r="Q1266" t="s">
        <v>3169</v>
      </c>
      <c r="R1266" t="s">
        <v>446</v>
      </c>
      <c r="S1266" t="s">
        <v>446</v>
      </c>
      <c r="T1266" t="s">
        <v>1965</v>
      </c>
      <c r="U1266" t="b">
        <v>0</v>
      </c>
      <c r="V1266" t="s">
        <v>446</v>
      </c>
    </row>
    <row r="1267" spans="1:22" x14ac:dyDescent="0.25">
      <c r="A1267" t="s">
        <v>42</v>
      </c>
      <c r="B1267">
        <v>164</v>
      </c>
      <c r="C1267" t="s">
        <v>987</v>
      </c>
      <c r="D1267" t="s">
        <v>4307</v>
      </c>
      <c r="E1267" t="s">
        <v>986</v>
      </c>
      <c r="F1267" t="s">
        <v>4308</v>
      </c>
      <c r="G1267" t="s">
        <v>24</v>
      </c>
      <c r="H1267" t="s">
        <v>26</v>
      </c>
      <c r="I1267" t="s">
        <v>3167</v>
      </c>
      <c r="J1267" t="s">
        <v>990</v>
      </c>
      <c r="K1267" t="s">
        <v>3171</v>
      </c>
      <c r="L1267" t="s">
        <v>990</v>
      </c>
      <c r="M1267" t="s">
        <v>980</v>
      </c>
      <c r="N1267" t="s">
        <v>988</v>
      </c>
      <c r="O1267" t="s">
        <v>988</v>
      </c>
      <c r="P1267" t="s">
        <v>1089</v>
      </c>
      <c r="Q1267" t="s">
        <v>3169</v>
      </c>
      <c r="R1267" t="s">
        <v>446</v>
      </c>
      <c r="S1267" t="s">
        <v>446</v>
      </c>
      <c r="T1267" t="s">
        <v>1965</v>
      </c>
      <c r="U1267" t="b">
        <v>0</v>
      </c>
      <c r="V1267" t="s">
        <v>446</v>
      </c>
    </row>
    <row r="1268" spans="1:22" x14ac:dyDescent="0.25">
      <c r="A1268" t="s">
        <v>42</v>
      </c>
      <c r="B1268">
        <v>164</v>
      </c>
      <c r="C1268" t="s">
        <v>993</v>
      </c>
      <c r="D1268" t="s">
        <v>4309</v>
      </c>
      <c r="E1268" t="s">
        <v>992</v>
      </c>
      <c r="F1268" t="s">
        <v>4310</v>
      </c>
      <c r="G1268" t="s">
        <v>24</v>
      </c>
      <c r="H1268" t="s">
        <v>26</v>
      </c>
      <c r="I1268" t="s">
        <v>3167</v>
      </c>
      <c r="J1268" t="s">
        <v>996</v>
      </c>
      <c r="K1268" t="s">
        <v>3173</v>
      </c>
      <c r="L1268" t="s">
        <v>996</v>
      </c>
      <c r="M1268" t="s">
        <v>980</v>
      </c>
      <c r="N1268" t="s">
        <v>994</v>
      </c>
      <c r="O1268" t="s">
        <v>994</v>
      </c>
      <c r="P1268" t="s">
        <v>1089</v>
      </c>
      <c r="Q1268" t="s">
        <v>3169</v>
      </c>
      <c r="R1268" t="s">
        <v>446</v>
      </c>
      <c r="S1268" t="s">
        <v>446</v>
      </c>
      <c r="T1268" t="s">
        <v>1965</v>
      </c>
      <c r="U1268" t="b">
        <v>0</v>
      </c>
      <c r="V1268" t="s">
        <v>446</v>
      </c>
    </row>
    <row r="1269" spans="1:22" x14ac:dyDescent="0.25">
      <c r="A1269" t="s">
        <v>42</v>
      </c>
      <c r="B1269">
        <v>164</v>
      </c>
      <c r="C1269" t="s">
        <v>999</v>
      </c>
      <c r="D1269" t="s">
        <v>4311</v>
      </c>
      <c r="E1269" t="s">
        <v>998</v>
      </c>
      <c r="F1269" t="s">
        <v>4027</v>
      </c>
      <c r="G1269" t="s">
        <v>24</v>
      </c>
      <c r="H1269" t="s">
        <v>26</v>
      </c>
      <c r="I1269" t="s">
        <v>3167</v>
      </c>
      <c r="J1269" t="s">
        <v>1003</v>
      </c>
      <c r="K1269" t="s">
        <v>3175</v>
      </c>
      <c r="L1269" t="s">
        <v>1003</v>
      </c>
      <c r="M1269" t="s">
        <v>1000</v>
      </c>
      <c r="N1269" t="s">
        <v>1001</v>
      </c>
      <c r="O1269" t="s">
        <v>1001</v>
      </c>
      <c r="P1269" t="s">
        <v>1089</v>
      </c>
      <c r="Q1269" t="s">
        <v>3169</v>
      </c>
      <c r="R1269" t="s">
        <v>446</v>
      </c>
      <c r="S1269" t="s">
        <v>446</v>
      </c>
      <c r="T1269" t="s">
        <v>1965</v>
      </c>
      <c r="U1269" t="b">
        <v>0</v>
      </c>
      <c r="V1269" t="s">
        <v>446</v>
      </c>
    </row>
    <row r="1270" spans="1:22" x14ac:dyDescent="0.25">
      <c r="A1270" t="s">
        <v>42</v>
      </c>
      <c r="B1270">
        <v>164</v>
      </c>
      <c r="C1270" t="s">
        <v>1005</v>
      </c>
      <c r="D1270" t="s">
        <v>4312</v>
      </c>
      <c r="E1270" t="s">
        <v>982</v>
      </c>
      <c r="F1270" t="s">
        <v>4027</v>
      </c>
      <c r="G1270" t="s">
        <v>24</v>
      </c>
      <c r="H1270" t="s">
        <v>26</v>
      </c>
      <c r="I1270" t="s">
        <v>3167</v>
      </c>
      <c r="J1270" t="s">
        <v>1003</v>
      </c>
      <c r="K1270" t="s">
        <v>3175</v>
      </c>
      <c r="L1270" t="s">
        <v>1003</v>
      </c>
      <c r="M1270" t="s">
        <v>1000</v>
      </c>
      <c r="N1270" t="s">
        <v>1001</v>
      </c>
      <c r="O1270" t="s">
        <v>1001</v>
      </c>
      <c r="P1270" t="s">
        <v>1089</v>
      </c>
      <c r="Q1270" t="s">
        <v>3169</v>
      </c>
      <c r="R1270" t="s">
        <v>446</v>
      </c>
      <c r="S1270" t="s">
        <v>446</v>
      </c>
      <c r="T1270" t="s">
        <v>1965</v>
      </c>
      <c r="U1270" t="b">
        <v>0</v>
      </c>
      <c r="V1270" t="s">
        <v>446</v>
      </c>
    </row>
    <row r="1271" spans="1:22" x14ac:dyDescent="0.25">
      <c r="A1271" t="s">
        <v>42</v>
      </c>
      <c r="B1271">
        <v>164</v>
      </c>
      <c r="C1271" t="s">
        <v>1007</v>
      </c>
      <c r="D1271" t="s">
        <v>4313</v>
      </c>
      <c r="E1271" t="s">
        <v>1006</v>
      </c>
      <c r="F1271" t="s">
        <v>4314</v>
      </c>
      <c r="G1271" t="s">
        <v>24</v>
      </c>
      <c r="H1271" t="s">
        <v>26</v>
      </c>
      <c r="I1271" t="s">
        <v>3167</v>
      </c>
      <c r="J1271" t="s">
        <v>1011</v>
      </c>
      <c r="K1271" t="s">
        <v>3179</v>
      </c>
      <c r="L1271" t="s">
        <v>1011</v>
      </c>
      <c r="M1271" t="s">
        <v>1008</v>
      </c>
      <c r="N1271" t="s">
        <v>1009</v>
      </c>
      <c r="O1271" t="s">
        <v>1009</v>
      </c>
      <c r="P1271" t="s">
        <v>1089</v>
      </c>
      <c r="Q1271" t="s">
        <v>3169</v>
      </c>
      <c r="R1271" t="s">
        <v>446</v>
      </c>
      <c r="S1271" t="s">
        <v>446</v>
      </c>
      <c r="T1271" t="s">
        <v>1965</v>
      </c>
      <c r="U1271" t="b">
        <v>0</v>
      </c>
      <c r="V1271" t="s">
        <v>446</v>
      </c>
    </row>
    <row r="1272" spans="1:22" x14ac:dyDescent="0.25">
      <c r="A1272" t="s">
        <v>42</v>
      </c>
      <c r="B1272">
        <v>164</v>
      </c>
      <c r="C1272" t="s">
        <v>1014</v>
      </c>
      <c r="D1272" t="s">
        <v>4315</v>
      </c>
      <c r="E1272" t="s">
        <v>1013</v>
      </c>
      <c r="F1272" t="s">
        <v>4316</v>
      </c>
      <c r="G1272" t="s">
        <v>24</v>
      </c>
      <c r="H1272" t="s">
        <v>26</v>
      </c>
      <c r="I1272" t="s">
        <v>3167</v>
      </c>
      <c r="J1272" t="s">
        <v>1016</v>
      </c>
      <c r="K1272" t="s">
        <v>3181</v>
      </c>
      <c r="L1272" t="s">
        <v>1016</v>
      </c>
      <c r="M1272" t="s">
        <v>980</v>
      </c>
      <c r="N1272" t="s">
        <v>1015</v>
      </c>
      <c r="O1272" t="s">
        <v>1015</v>
      </c>
      <c r="P1272" t="s">
        <v>1089</v>
      </c>
      <c r="Q1272" t="s">
        <v>3169</v>
      </c>
      <c r="R1272" t="s">
        <v>446</v>
      </c>
      <c r="S1272" t="s">
        <v>446</v>
      </c>
      <c r="T1272" t="s">
        <v>1965</v>
      </c>
      <c r="U1272" t="b">
        <v>0</v>
      </c>
      <c r="V1272" t="s">
        <v>446</v>
      </c>
    </row>
    <row r="1273" spans="1:22" x14ac:dyDescent="0.25">
      <c r="A1273" t="s">
        <v>42</v>
      </c>
      <c r="B1273">
        <v>164</v>
      </c>
      <c r="C1273" t="s">
        <v>1019</v>
      </c>
      <c r="D1273" t="s">
        <v>4317</v>
      </c>
      <c r="E1273" t="s">
        <v>1018</v>
      </c>
      <c r="F1273" t="s">
        <v>4318</v>
      </c>
      <c r="G1273" t="s">
        <v>24</v>
      </c>
      <c r="H1273" t="s">
        <v>26</v>
      </c>
      <c r="I1273" t="s">
        <v>3167</v>
      </c>
      <c r="J1273" t="s">
        <v>1021</v>
      </c>
      <c r="K1273" t="s">
        <v>3183</v>
      </c>
      <c r="L1273" t="s">
        <v>1021</v>
      </c>
      <c r="M1273" t="s">
        <v>980</v>
      </c>
      <c r="N1273" t="s">
        <v>1020</v>
      </c>
      <c r="O1273" t="s">
        <v>1020</v>
      </c>
      <c r="P1273" t="s">
        <v>1089</v>
      </c>
      <c r="Q1273" t="s">
        <v>3169</v>
      </c>
      <c r="R1273" t="s">
        <v>446</v>
      </c>
      <c r="S1273" t="s">
        <v>446</v>
      </c>
      <c r="T1273" t="s">
        <v>1965</v>
      </c>
      <c r="U1273" t="b">
        <v>0</v>
      </c>
      <c r="V1273" t="s">
        <v>446</v>
      </c>
    </row>
    <row r="1274" spans="1:22" x14ac:dyDescent="0.25">
      <c r="A1274" t="s">
        <v>42</v>
      </c>
      <c r="B1274">
        <v>164</v>
      </c>
      <c r="C1274" t="s">
        <v>1024</v>
      </c>
      <c r="D1274" t="s">
        <v>4319</v>
      </c>
      <c r="E1274" t="s">
        <v>1023</v>
      </c>
      <c r="F1274" t="s">
        <v>4028</v>
      </c>
      <c r="G1274" t="s">
        <v>24</v>
      </c>
      <c r="H1274" t="s">
        <v>26</v>
      </c>
      <c r="I1274" t="s">
        <v>3167</v>
      </c>
      <c r="J1274" t="s">
        <v>1026</v>
      </c>
      <c r="K1274" t="s">
        <v>3185</v>
      </c>
      <c r="L1274" t="s">
        <v>1026</v>
      </c>
      <c r="M1274" t="s">
        <v>1000</v>
      </c>
      <c r="N1274" t="s">
        <v>1025</v>
      </c>
      <c r="O1274" t="s">
        <v>1025</v>
      </c>
      <c r="P1274" t="s">
        <v>1089</v>
      </c>
      <c r="Q1274" t="s">
        <v>3169</v>
      </c>
      <c r="R1274" t="s">
        <v>446</v>
      </c>
      <c r="S1274" t="s">
        <v>446</v>
      </c>
      <c r="T1274" t="s">
        <v>1965</v>
      </c>
      <c r="U1274" t="b">
        <v>0</v>
      </c>
      <c r="V1274" t="s">
        <v>446</v>
      </c>
    </row>
    <row r="1275" spans="1:22" x14ac:dyDescent="0.25">
      <c r="A1275" t="s">
        <v>42</v>
      </c>
      <c r="B1275">
        <v>164</v>
      </c>
      <c r="C1275" t="s">
        <v>1028</v>
      </c>
      <c r="D1275" t="s">
        <v>4320</v>
      </c>
      <c r="E1275" t="s">
        <v>1010</v>
      </c>
      <c r="F1275" t="s">
        <v>4028</v>
      </c>
      <c r="G1275" t="s">
        <v>24</v>
      </c>
      <c r="H1275" t="s">
        <v>26</v>
      </c>
      <c r="I1275" t="s">
        <v>3167</v>
      </c>
      <c r="J1275" t="s">
        <v>1026</v>
      </c>
      <c r="K1275" t="s">
        <v>3185</v>
      </c>
      <c r="L1275" t="s">
        <v>1026</v>
      </c>
      <c r="M1275" t="s">
        <v>1000</v>
      </c>
      <c r="N1275" t="s">
        <v>1025</v>
      </c>
      <c r="O1275" t="s">
        <v>1025</v>
      </c>
      <c r="P1275" t="s">
        <v>1089</v>
      </c>
      <c r="Q1275" t="s">
        <v>3169</v>
      </c>
      <c r="R1275" t="s">
        <v>446</v>
      </c>
      <c r="S1275" t="s">
        <v>446</v>
      </c>
      <c r="T1275" t="s">
        <v>1965</v>
      </c>
      <c r="U1275" t="b">
        <v>0</v>
      </c>
      <c r="V1275" t="s">
        <v>446</v>
      </c>
    </row>
    <row r="1276" spans="1:22" x14ac:dyDescent="0.25">
      <c r="A1276" t="s">
        <v>42</v>
      </c>
      <c r="B1276">
        <v>164</v>
      </c>
      <c r="C1276" t="s">
        <v>1030</v>
      </c>
      <c r="D1276" t="s">
        <v>4321</v>
      </c>
      <c r="E1276" t="s">
        <v>1029</v>
      </c>
      <c r="F1276" t="s">
        <v>4322</v>
      </c>
      <c r="G1276" t="s">
        <v>24</v>
      </c>
      <c r="H1276" t="s">
        <v>26</v>
      </c>
      <c r="I1276" t="s">
        <v>3167</v>
      </c>
      <c r="J1276" t="s">
        <v>1033</v>
      </c>
      <c r="K1276" t="s">
        <v>3189</v>
      </c>
      <c r="L1276" t="s">
        <v>1033</v>
      </c>
      <c r="M1276" t="s">
        <v>980</v>
      </c>
      <c r="N1276" t="s">
        <v>1031</v>
      </c>
      <c r="O1276" t="s">
        <v>1031</v>
      </c>
      <c r="P1276" t="s">
        <v>1089</v>
      </c>
      <c r="Q1276" t="s">
        <v>3169</v>
      </c>
      <c r="R1276" t="s">
        <v>446</v>
      </c>
      <c r="S1276" t="s">
        <v>446</v>
      </c>
      <c r="T1276" t="s">
        <v>1965</v>
      </c>
      <c r="U1276" t="b">
        <v>0</v>
      </c>
      <c r="V1276" t="s">
        <v>446</v>
      </c>
    </row>
    <row r="1277" spans="1:22" x14ac:dyDescent="0.25">
      <c r="A1277" t="s">
        <v>42</v>
      </c>
      <c r="B1277">
        <v>164</v>
      </c>
      <c r="C1277" t="s">
        <v>1036</v>
      </c>
      <c r="D1277" t="s">
        <v>4323</v>
      </c>
      <c r="E1277" t="s">
        <v>1035</v>
      </c>
      <c r="F1277" t="s">
        <v>4324</v>
      </c>
      <c r="G1277" t="s">
        <v>24</v>
      </c>
      <c r="H1277" t="s">
        <v>26</v>
      </c>
      <c r="I1277" t="s">
        <v>3167</v>
      </c>
      <c r="J1277" t="s">
        <v>1038</v>
      </c>
      <c r="K1277" t="s">
        <v>3191</v>
      </c>
      <c r="L1277" t="s">
        <v>1038</v>
      </c>
      <c r="M1277" t="s">
        <v>980</v>
      </c>
      <c r="N1277" t="s">
        <v>1037</v>
      </c>
      <c r="O1277" t="s">
        <v>1037</v>
      </c>
      <c r="P1277" t="s">
        <v>1089</v>
      </c>
      <c r="Q1277" t="s">
        <v>3169</v>
      </c>
      <c r="R1277" t="s">
        <v>446</v>
      </c>
      <c r="S1277" t="s">
        <v>446</v>
      </c>
      <c r="T1277" t="s">
        <v>1965</v>
      </c>
      <c r="U1277" t="b">
        <v>0</v>
      </c>
      <c r="V1277" t="s">
        <v>446</v>
      </c>
    </row>
    <row r="1278" spans="1:22" x14ac:dyDescent="0.25">
      <c r="A1278" t="s">
        <v>42</v>
      </c>
      <c r="B1278">
        <v>164</v>
      </c>
      <c r="C1278" t="s">
        <v>1041</v>
      </c>
      <c r="D1278" t="s">
        <v>4325</v>
      </c>
      <c r="E1278" t="s">
        <v>1040</v>
      </c>
      <c r="F1278" t="s">
        <v>4326</v>
      </c>
      <c r="G1278" t="s">
        <v>24</v>
      </c>
      <c r="H1278" t="s">
        <v>26</v>
      </c>
      <c r="I1278" t="s">
        <v>3167</v>
      </c>
      <c r="J1278" t="s">
        <v>1043</v>
      </c>
      <c r="K1278" t="s">
        <v>3193</v>
      </c>
      <c r="L1278" t="s">
        <v>1043</v>
      </c>
      <c r="M1278" t="s">
        <v>980</v>
      </c>
      <c r="N1278" t="s">
        <v>1042</v>
      </c>
      <c r="O1278" t="s">
        <v>1042</v>
      </c>
      <c r="P1278" t="s">
        <v>1089</v>
      </c>
      <c r="Q1278" t="s">
        <v>3169</v>
      </c>
      <c r="R1278" t="s">
        <v>446</v>
      </c>
      <c r="S1278" t="s">
        <v>446</v>
      </c>
      <c r="T1278" t="s">
        <v>1965</v>
      </c>
      <c r="U1278" t="b">
        <v>0</v>
      </c>
      <c r="V1278" t="s">
        <v>446</v>
      </c>
    </row>
    <row r="1279" spans="1:22" x14ac:dyDescent="0.25">
      <c r="A1279" t="s">
        <v>42</v>
      </c>
      <c r="B1279">
        <v>164</v>
      </c>
      <c r="C1279" t="s">
        <v>1046</v>
      </c>
      <c r="D1279" t="s">
        <v>4327</v>
      </c>
      <c r="E1279" t="s">
        <v>1045</v>
      </c>
      <c r="F1279" t="s">
        <v>4029</v>
      </c>
      <c r="G1279" t="s">
        <v>24</v>
      </c>
      <c r="H1279" t="s">
        <v>26</v>
      </c>
      <c r="I1279" t="s">
        <v>3167</v>
      </c>
      <c r="J1279" t="s">
        <v>1048</v>
      </c>
      <c r="K1279" t="s">
        <v>3195</v>
      </c>
      <c r="L1279" t="s">
        <v>1048</v>
      </c>
      <c r="M1279" t="s">
        <v>1000</v>
      </c>
      <c r="N1279" t="s">
        <v>1047</v>
      </c>
      <c r="O1279" t="s">
        <v>1047</v>
      </c>
      <c r="P1279" t="s">
        <v>1089</v>
      </c>
      <c r="Q1279" t="s">
        <v>3169</v>
      </c>
      <c r="R1279" t="s">
        <v>446</v>
      </c>
      <c r="S1279" t="s">
        <v>446</v>
      </c>
      <c r="T1279" t="s">
        <v>1965</v>
      </c>
      <c r="U1279" t="b">
        <v>0</v>
      </c>
      <c r="V1279" t="s">
        <v>446</v>
      </c>
    </row>
    <row r="1280" spans="1:22" x14ac:dyDescent="0.25">
      <c r="A1280" t="s">
        <v>42</v>
      </c>
      <c r="B1280">
        <v>164</v>
      </c>
      <c r="C1280" t="s">
        <v>1050</v>
      </c>
      <c r="D1280" t="s">
        <v>4328</v>
      </c>
      <c r="E1280" t="s">
        <v>1032</v>
      </c>
      <c r="F1280" t="s">
        <v>4029</v>
      </c>
      <c r="G1280" t="s">
        <v>24</v>
      </c>
      <c r="H1280" t="s">
        <v>26</v>
      </c>
      <c r="I1280" t="s">
        <v>3167</v>
      </c>
      <c r="J1280" t="s">
        <v>1048</v>
      </c>
      <c r="K1280" t="s">
        <v>3195</v>
      </c>
      <c r="L1280" t="s">
        <v>1048</v>
      </c>
      <c r="M1280" t="s">
        <v>1000</v>
      </c>
      <c r="N1280" t="s">
        <v>1047</v>
      </c>
      <c r="O1280" t="s">
        <v>1047</v>
      </c>
      <c r="P1280" t="s">
        <v>1089</v>
      </c>
      <c r="Q1280" t="s">
        <v>3169</v>
      </c>
      <c r="R1280" t="s">
        <v>446</v>
      </c>
      <c r="S1280" t="s">
        <v>446</v>
      </c>
      <c r="T1280" t="s">
        <v>1965</v>
      </c>
      <c r="U1280" t="b">
        <v>0</v>
      </c>
      <c r="V1280" t="s">
        <v>446</v>
      </c>
    </row>
    <row r="1281" spans="1:22" x14ac:dyDescent="0.25">
      <c r="A1281" t="s">
        <v>42</v>
      </c>
      <c r="B1281">
        <v>164</v>
      </c>
      <c r="C1281" t="s">
        <v>1052</v>
      </c>
      <c r="D1281" t="s">
        <v>4329</v>
      </c>
      <c r="E1281" t="s">
        <v>1051</v>
      </c>
      <c r="F1281" t="s">
        <v>4330</v>
      </c>
      <c r="G1281" t="s">
        <v>24</v>
      </c>
      <c r="H1281" t="s">
        <v>26</v>
      </c>
      <c r="I1281" t="s">
        <v>3167</v>
      </c>
      <c r="J1281" t="s">
        <v>1055</v>
      </c>
      <c r="K1281" t="s">
        <v>3199</v>
      </c>
      <c r="L1281" t="s">
        <v>1055</v>
      </c>
      <c r="M1281" t="s">
        <v>980</v>
      </c>
      <c r="N1281" t="s">
        <v>1053</v>
      </c>
      <c r="O1281" t="s">
        <v>1053</v>
      </c>
      <c r="P1281" t="s">
        <v>1089</v>
      </c>
      <c r="Q1281" t="s">
        <v>3169</v>
      </c>
      <c r="R1281" t="s">
        <v>446</v>
      </c>
      <c r="S1281" t="s">
        <v>446</v>
      </c>
      <c r="T1281" t="s">
        <v>1965</v>
      </c>
      <c r="U1281" t="b">
        <v>0</v>
      </c>
      <c r="V1281" t="s">
        <v>446</v>
      </c>
    </row>
    <row r="1282" spans="1:22" x14ac:dyDescent="0.25">
      <c r="A1282" t="s">
        <v>42</v>
      </c>
      <c r="B1282">
        <v>165</v>
      </c>
      <c r="C1282" t="s">
        <v>979</v>
      </c>
      <c r="D1282" t="s">
        <v>4331</v>
      </c>
      <c r="E1282" t="s">
        <v>978</v>
      </c>
      <c r="F1282" t="s">
        <v>4332</v>
      </c>
      <c r="G1282" t="s">
        <v>24</v>
      </c>
      <c r="H1282" t="s">
        <v>26</v>
      </c>
      <c r="I1282" t="s">
        <v>3167</v>
      </c>
      <c r="J1282" t="s">
        <v>984</v>
      </c>
      <c r="K1282" t="s">
        <v>3168</v>
      </c>
      <c r="L1282" t="s">
        <v>984</v>
      </c>
      <c r="M1282" t="s">
        <v>980</v>
      </c>
      <c r="N1282" t="s">
        <v>981</v>
      </c>
      <c r="O1282" t="s">
        <v>981</v>
      </c>
      <c r="P1282" t="s">
        <v>1089</v>
      </c>
      <c r="Q1282" t="s">
        <v>3169</v>
      </c>
      <c r="R1282" t="s">
        <v>446</v>
      </c>
      <c r="S1282" t="s">
        <v>446</v>
      </c>
      <c r="T1282" t="s">
        <v>1965</v>
      </c>
      <c r="U1282" t="b">
        <v>0</v>
      </c>
      <c r="V1282" t="s">
        <v>446</v>
      </c>
    </row>
    <row r="1283" spans="1:22" x14ac:dyDescent="0.25">
      <c r="A1283" t="s">
        <v>42</v>
      </c>
      <c r="B1283">
        <v>165</v>
      </c>
      <c r="C1283" t="s">
        <v>987</v>
      </c>
      <c r="D1283" t="s">
        <v>4333</v>
      </c>
      <c r="E1283" t="s">
        <v>986</v>
      </c>
      <c r="F1283" t="s">
        <v>4334</v>
      </c>
      <c r="G1283" t="s">
        <v>24</v>
      </c>
      <c r="H1283" t="s">
        <v>26</v>
      </c>
      <c r="I1283" t="s">
        <v>3167</v>
      </c>
      <c r="J1283" t="s">
        <v>990</v>
      </c>
      <c r="K1283" t="s">
        <v>3171</v>
      </c>
      <c r="L1283" t="s">
        <v>990</v>
      </c>
      <c r="M1283" t="s">
        <v>980</v>
      </c>
      <c r="N1283" t="s">
        <v>988</v>
      </c>
      <c r="O1283" t="s">
        <v>988</v>
      </c>
      <c r="P1283" t="s">
        <v>1089</v>
      </c>
      <c r="Q1283" t="s">
        <v>3169</v>
      </c>
      <c r="R1283" t="s">
        <v>446</v>
      </c>
      <c r="S1283" t="s">
        <v>446</v>
      </c>
      <c r="T1283" t="s">
        <v>1965</v>
      </c>
      <c r="U1283" t="b">
        <v>0</v>
      </c>
      <c r="V1283" t="s">
        <v>446</v>
      </c>
    </row>
    <row r="1284" spans="1:22" x14ac:dyDescent="0.25">
      <c r="A1284" t="s">
        <v>42</v>
      </c>
      <c r="B1284">
        <v>165</v>
      </c>
      <c r="C1284" t="s">
        <v>993</v>
      </c>
      <c r="D1284" t="s">
        <v>4335</v>
      </c>
      <c r="E1284" t="s">
        <v>992</v>
      </c>
      <c r="F1284" t="s">
        <v>4336</v>
      </c>
      <c r="G1284" t="s">
        <v>24</v>
      </c>
      <c r="H1284" t="s">
        <v>26</v>
      </c>
      <c r="I1284" t="s">
        <v>3167</v>
      </c>
      <c r="J1284" t="s">
        <v>996</v>
      </c>
      <c r="K1284" t="s">
        <v>3173</v>
      </c>
      <c r="L1284" t="s">
        <v>996</v>
      </c>
      <c r="M1284" t="s">
        <v>980</v>
      </c>
      <c r="N1284" t="s">
        <v>994</v>
      </c>
      <c r="O1284" t="s">
        <v>994</v>
      </c>
      <c r="P1284" t="s">
        <v>1089</v>
      </c>
      <c r="Q1284" t="s">
        <v>3169</v>
      </c>
      <c r="R1284" t="s">
        <v>446</v>
      </c>
      <c r="S1284" t="s">
        <v>446</v>
      </c>
      <c r="T1284" t="s">
        <v>1965</v>
      </c>
      <c r="U1284" t="b">
        <v>0</v>
      </c>
      <c r="V1284" t="s">
        <v>446</v>
      </c>
    </row>
    <row r="1285" spans="1:22" x14ac:dyDescent="0.25">
      <c r="A1285" t="s">
        <v>42</v>
      </c>
      <c r="B1285">
        <v>165</v>
      </c>
      <c r="C1285" t="s">
        <v>999</v>
      </c>
      <c r="D1285" t="s">
        <v>4337</v>
      </c>
      <c r="E1285" t="s">
        <v>998</v>
      </c>
      <c r="F1285" t="s">
        <v>4338</v>
      </c>
      <c r="G1285" t="s">
        <v>24</v>
      </c>
      <c r="H1285" t="s">
        <v>26</v>
      </c>
      <c r="I1285" t="s">
        <v>3167</v>
      </c>
      <c r="J1285" t="s">
        <v>1003</v>
      </c>
      <c r="K1285" t="s">
        <v>3175</v>
      </c>
      <c r="L1285" t="s">
        <v>1003</v>
      </c>
      <c r="M1285" t="s">
        <v>1000</v>
      </c>
      <c r="N1285" t="s">
        <v>1001</v>
      </c>
      <c r="O1285" t="s">
        <v>1001</v>
      </c>
      <c r="P1285" t="s">
        <v>1089</v>
      </c>
      <c r="Q1285" t="s">
        <v>3169</v>
      </c>
      <c r="R1285" t="s">
        <v>446</v>
      </c>
      <c r="S1285" t="s">
        <v>446</v>
      </c>
      <c r="T1285" t="s">
        <v>1965</v>
      </c>
      <c r="U1285" t="b">
        <v>0</v>
      </c>
      <c r="V1285" t="s">
        <v>446</v>
      </c>
    </row>
    <row r="1286" spans="1:22" x14ac:dyDescent="0.25">
      <c r="A1286" t="s">
        <v>42</v>
      </c>
      <c r="B1286">
        <v>165</v>
      </c>
      <c r="C1286" t="s">
        <v>1005</v>
      </c>
      <c r="D1286" t="s">
        <v>4339</v>
      </c>
      <c r="E1286" t="s">
        <v>982</v>
      </c>
      <c r="F1286" t="s">
        <v>4338</v>
      </c>
      <c r="G1286" t="s">
        <v>24</v>
      </c>
      <c r="H1286" t="s">
        <v>26</v>
      </c>
      <c r="I1286" t="s">
        <v>3167</v>
      </c>
      <c r="J1286" t="s">
        <v>1003</v>
      </c>
      <c r="K1286" t="s">
        <v>3175</v>
      </c>
      <c r="L1286" t="s">
        <v>1003</v>
      </c>
      <c r="M1286" t="s">
        <v>1000</v>
      </c>
      <c r="N1286" t="s">
        <v>1001</v>
      </c>
      <c r="O1286" t="s">
        <v>1001</v>
      </c>
      <c r="P1286" t="s">
        <v>1089</v>
      </c>
      <c r="Q1286" t="s">
        <v>3169</v>
      </c>
      <c r="R1286" t="s">
        <v>446</v>
      </c>
      <c r="S1286" t="s">
        <v>446</v>
      </c>
      <c r="T1286" t="s">
        <v>1965</v>
      </c>
      <c r="U1286" t="b">
        <v>0</v>
      </c>
      <c r="V1286" t="s">
        <v>446</v>
      </c>
    </row>
    <row r="1287" spans="1:22" x14ac:dyDescent="0.25">
      <c r="A1287" t="s">
        <v>42</v>
      </c>
      <c r="B1287">
        <v>165</v>
      </c>
      <c r="C1287" t="s">
        <v>1007</v>
      </c>
      <c r="D1287" t="s">
        <v>4340</v>
      </c>
      <c r="E1287" t="s">
        <v>1006</v>
      </c>
      <c r="F1287" t="s">
        <v>4341</v>
      </c>
      <c r="G1287" t="s">
        <v>24</v>
      </c>
      <c r="H1287" t="s">
        <v>26</v>
      </c>
      <c r="I1287" t="s">
        <v>3167</v>
      </c>
      <c r="J1287" t="s">
        <v>1011</v>
      </c>
      <c r="K1287" t="s">
        <v>3179</v>
      </c>
      <c r="L1287" t="s">
        <v>1011</v>
      </c>
      <c r="M1287" t="s">
        <v>1008</v>
      </c>
      <c r="N1287" t="s">
        <v>1009</v>
      </c>
      <c r="O1287" t="s">
        <v>1009</v>
      </c>
      <c r="P1287" t="s">
        <v>1089</v>
      </c>
      <c r="Q1287" t="s">
        <v>3169</v>
      </c>
      <c r="R1287" t="s">
        <v>446</v>
      </c>
      <c r="S1287" t="s">
        <v>446</v>
      </c>
      <c r="T1287" t="s">
        <v>1965</v>
      </c>
      <c r="U1287" t="b">
        <v>0</v>
      </c>
      <c r="V1287" t="s">
        <v>446</v>
      </c>
    </row>
    <row r="1288" spans="1:22" x14ac:dyDescent="0.25">
      <c r="A1288" t="s">
        <v>42</v>
      </c>
      <c r="B1288">
        <v>165</v>
      </c>
      <c r="C1288" t="s">
        <v>1014</v>
      </c>
      <c r="D1288" t="s">
        <v>4342</v>
      </c>
      <c r="E1288" t="s">
        <v>1013</v>
      </c>
      <c r="F1288" t="s">
        <v>4343</v>
      </c>
      <c r="G1288" t="s">
        <v>24</v>
      </c>
      <c r="H1288" t="s">
        <v>26</v>
      </c>
      <c r="I1288" t="s">
        <v>3167</v>
      </c>
      <c r="J1288" t="s">
        <v>1016</v>
      </c>
      <c r="K1288" t="s">
        <v>3181</v>
      </c>
      <c r="L1288" t="s">
        <v>1016</v>
      </c>
      <c r="M1288" t="s">
        <v>980</v>
      </c>
      <c r="N1288" t="s">
        <v>1015</v>
      </c>
      <c r="O1288" t="s">
        <v>1015</v>
      </c>
      <c r="P1288" t="s">
        <v>1089</v>
      </c>
      <c r="Q1288" t="s">
        <v>3169</v>
      </c>
      <c r="R1288" t="s">
        <v>446</v>
      </c>
      <c r="S1288" t="s">
        <v>446</v>
      </c>
      <c r="T1288" t="s">
        <v>1965</v>
      </c>
      <c r="U1288" t="b">
        <v>0</v>
      </c>
      <c r="V1288" t="s">
        <v>446</v>
      </c>
    </row>
    <row r="1289" spans="1:22" x14ac:dyDescent="0.25">
      <c r="A1289" t="s">
        <v>42</v>
      </c>
      <c r="B1289">
        <v>165</v>
      </c>
      <c r="C1289" t="s">
        <v>1019</v>
      </c>
      <c r="D1289" t="s">
        <v>4344</v>
      </c>
      <c r="E1289" t="s">
        <v>1018</v>
      </c>
      <c r="F1289" t="s">
        <v>4345</v>
      </c>
      <c r="G1289" t="s">
        <v>24</v>
      </c>
      <c r="H1289" t="s">
        <v>26</v>
      </c>
      <c r="I1289" t="s">
        <v>3167</v>
      </c>
      <c r="J1289" t="s">
        <v>1021</v>
      </c>
      <c r="K1289" t="s">
        <v>3183</v>
      </c>
      <c r="L1289" t="s">
        <v>1021</v>
      </c>
      <c r="M1289" t="s">
        <v>980</v>
      </c>
      <c r="N1289" t="s">
        <v>1020</v>
      </c>
      <c r="O1289" t="s">
        <v>1020</v>
      </c>
      <c r="P1289" t="s">
        <v>1089</v>
      </c>
      <c r="Q1289" t="s">
        <v>3169</v>
      </c>
      <c r="R1289" t="s">
        <v>446</v>
      </c>
      <c r="S1289" t="s">
        <v>446</v>
      </c>
      <c r="T1289" t="s">
        <v>1965</v>
      </c>
      <c r="U1289" t="b">
        <v>0</v>
      </c>
      <c r="V1289" t="s">
        <v>446</v>
      </c>
    </row>
    <row r="1290" spans="1:22" x14ac:dyDescent="0.25">
      <c r="A1290" t="s">
        <v>42</v>
      </c>
      <c r="B1290">
        <v>165</v>
      </c>
      <c r="C1290" t="s">
        <v>1024</v>
      </c>
      <c r="D1290" t="s">
        <v>4346</v>
      </c>
      <c r="E1290" t="s">
        <v>1023</v>
      </c>
      <c r="F1290" t="s">
        <v>4347</v>
      </c>
      <c r="G1290" t="s">
        <v>24</v>
      </c>
      <c r="H1290" t="s">
        <v>26</v>
      </c>
      <c r="I1290" t="s">
        <v>3167</v>
      </c>
      <c r="J1290" t="s">
        <v>1026</v>
      </c>
      <c r="K1290" t="s">
        <v>3185</v>
      </c>
      <c r="L1290" t="s">
        <v>1026</v>
      </c>
      <c r="M1290" t="s">
        <v>1000</v>
      </c>
      <c r="N1290" t="s">
        <v>1025</v>
      </c>
      <c r="O1290" t="s">
        <v>1025</v>
      </c>
      <c r="P1290" t="s">
        <v>1089</v>
      </c>
      <c r="Q1290" t="s">
        <v>3169</v>
      </c>
      <c r="R1290" t="s">
        <v>446</v>
      </c>
      <c r="S1290" t="s">
        <v>446</v>
      </c>
      <c r="T1290" t="s">
        <v>1965</v>
      </c>
      <c r="U1290" t="b">
        <v>0</v>
      </c>
      <c r="V1290" t="s">
        <v>446</v>
      </c>
    </row>
    <row r="1291" spans="1:22" x14ac:dyDescent="0.25">
      <c r="A1291" t="s">
        <v>42</v>
      </c>
      <c r="B1291">
        <v>165</v>
      </c>
      <c r="C1291" t="s">
        <v>1028</v>
      </c>
      <c r="D1291" t="s">
        <v>4348</v>
      </c>
      <c r="E1291" t="s">
        <v>1010</v>
      </c>
      <c r="F1291" t="s">
        <v>4347</v>
      </c>
      <c r="G1291" t="s">
        <v>24</v>
      </c>
      <c r="H1291" t="s">
        <v>26</v>
      </c>
      <c r="I1291" t="s">
        <v>3167</v>
      </c>
      <c r="J1291" t="s">
        <v>1026</v>
      </c>
      <c r="K1291" t="s">
        <v>3185</v>
      </c>
      <c r="L1291" t="s">
        <v>1026</v>
      </c>
      <c r="M1291" t="s">
        <v>1000</v>
      </c>
      <c r="N1291" t="s">
        <v>1025</v>
      </c>
      <c r="O1291" t="s">
        <v>1025</v>
      </c>
      <c r="P1291" t="s">
        <v>1089</v>
      </c>
      <c r="Q1291" t="s">
        <v>3169</v>
      </c>
      <c r="R1291" t="s">
        <v>446</v>
      </c>
      <c r="S1291" t="s">
        <v>446</v>
      </c>
      <c r="T1291" t="s">
        <v>1965</v>
      </c>
      <c r="U1291" t="b">
        <v>0</v>
      </c>
      <c r="V1291" t="s">
        <v>446</v>
      </c>
    </row>
    <row r="1292" spans="1:22" x14ac:dyDescent="0.25">
      <c r="A1292" t="s">
        <v>42</v>
      </c>
      <c r="B1292">
        <v>165</v>
      </c>
      <c r="C1292" t="s">
        <v>1030</v>
      </c>
      <c r="D1292" t="s">
        <v>4349</v>
      </c>
      <c r="E1292" t="s">
        <v>1029</v>
      </c>
      <c r="F1292" t="s">
        <v>4350</v>
      </c>
      <c r="G1292" t="s">
        <v>24</v>
      </c>
      <c r="H1292" t="s">
        <v>26</v>
      </c>
      <c r="I1292" t="s">
        <v>3167</v>
      </c>
      <c r="J1292" t="s">
        <v>1033</v>
      </c>
      <c r="K1292" t="s">
        <v>3189</v>
      </c>
      <c r="L1292" t="s">
        <v>1033</v>
      </c>
      <c r="M1292" t="s">
        <v>980</v>
      </c>
      <c r="N1292" t="s">
        <v>1031</v>
      </c>
      <c r="O1292" t="s">
        <v>1031</v>
      </c>
      <c r="P1292" t="s">
        <v>1089</v>
      </c>
      <c r="Q1292" t="s">
        <v>3169</v>
      </c>
      <c r="R1292" t="s">
        <v>446</v>
      </c>
      <c r="S1292" t="s">
        <v>446</v>
      </c>
      <c r="T1292" t="s">
        <v>1965</v>
      </c>
      <c r="U1292" t="b">
        <v>0</v>
      </c>
      <c r="V1292" t="s">
        <v>446</v>
      </c>
    </row>
    <row r="1293" spans="1:22" x14ac:dyDescent="0.25">
      <c r="A1293" t="s">
        <v>42</v>
      </c>
      <c r="B1293">
        <v>165</v>
      </c>
      <c r="C1293" t="s">
        <v>1036</v>
      </c>
      <c r="D1293" t="s">
        <v>4351</v>
      </c>
      <c r="E1293" t="s">
        <v>1035</v>
      </c>
      <c r="F1293" t="s">
        <v>4352</v>
      </c>
      <c r="G1293" t="s">
        <v>24</v>
      </c>
      <c r="H1293" t="s">
        <v>26</v>
      </c>
      <c r="I1293" t="s">
        <v>3167</v>
      </c>
      <c r="J1293" t="s">
        <v>1038</v>
      </c>
      <c r="K1293" t="s">
        <v>3191</v>
      </c>
      <c r="L1293" t="s">
        <v>1038</v>
      </c>
      <c r="M1293" t="s">
        <v>980</v>
      </c>
      <c r="N1293" t="s">
        <v>1037</v>
      </c>
      <c r="O1293" t="s">
        <v>1037</v>
      </c>
      <c r="P1293" t="s">
        <v>1089</v>
      </c>
      <c r="Q1293" t="s">
        <v>3169</v>
      </c>
      <c r="R1293" t="s">
        <v>446</v>
      </c>
      <c r="S1293" t="s">
        <v>446</v>
      </c>
      <c r="T1293" t="s">
        <v>1965</v>
      </c>
      <c r="U1293" t="b">
        <v>0</v>
      </c>
      <c r="V1293" t="s">
        <v>446</v>
      </c>
    </row>
    <row r="1294" spans="1:22" x14ac:dyDescent="0.25">
      <c r="A1294" t="s">
        <v>42</v>
      </c>
      <c r="B1294">
        <v>165</v>
      </c>
      <c r="C1294" t="s">
        <v>1041</v>
      </c>
      <c r="D1294" t="s">
        <v>4353</v>
      </c>
      <c r="E1294" t="s">
        <v>1040</v>
      </c>
      <c r="F1294" t="s">
        <v>4354</v>
      </c>
      <c r="G1294" t="s">
        <v>24</v>
      </c>
      <c r="H1294" t="s">
        <v>26</v>
      </c>
      <c r="I1294" t="s">
        <v>3167</v>
      </c>
      <c r="J1294" t="s">
        <v>1043</v>
      </c>
      <c r="K1294" t="s">
        <v>3193</v>
      </c>
      <c r="L1294" t="s">
        <v>1043</v>
      </c>
      <c r="M1294" t="s">
        <v>980</v>
      </c>
      <c r="N1294" t="s">
        <v>1042</v>
      </c>
      <c r="O1294" t="s">
        <v>1042</v>
      </c>
      <c r="P1294" t="s">
        <v>1089</v>
      </c>
      <c r="Q1294" t="s">
        <v>3169</v>
      </c>
      <c r="R1294" t="s">
        <v>446</v>
      </c>
      <c r="S1294" t="s">
        <v>446</v>
      </c>
      <c r="T1294" t="s">
        <v>1965</v>
      </c>
      <c r="U1294" t="b">
        <v>0</v>
      </c>
      <c r="V1294" t="s">
        <v>446</v>
      </c>
    </row>
    <row r="1295" spans="1:22" x14ac:dyDescent="0.25">
      <c r="A1295" t="s">
        <v>42</v>
      </c>
      <c r="B1295">
        <v>165</v>
      </c>
      <c r="C1295" t="s">
        <v>1046</v>
      </c>
      <c r="D1295" t="s">
        <v>4355</v>
      </c>
      <c r="E1295" t="s">
        <v>1045</v>
      </c>
      <c r="F1295" t="s">
        <v>4356</v>
      </c>
      <c r="G1295" t="s">
        <v>24</v>
      </c>
      <c r="H1295" t="s">
        <v>26</v>
      </c>
      <c r="I1295" t="s">
        <v>3167</v>
      </c>
      <c r="J1295" t="s">
        <v>1048</v>
      </c>
      <c r="K1295" t="s">
        <v>3195</v>
      </c>
      <c r="L1295" t="s">
        <v>1048</v>
      </c>
      <c r="M1295" t="s">
        <v>1000</v>
      </c>
      <c r="N1295" t="s">
        <v>1047</v>
      </c>
      <c r="O1295" t="s">
        <v>1047</v>
      </c>
      <c r="P1295" t="s">
        <v>1089</v>
      </c>
      <c r="Q1295" t="s">
        <v>3169</v>
      </c>
      <c r="R1295" t="s">
        <v>446</v>
      </c>
      <c r="S1295" t="s">
        <v>446</v>
      </c>
      <c r="T1295" t="s">
        <v>1965</v>
      </c>
      <c r="U1295" t="b">
        <v>0</v>
      </c>
      <c r="V1295" t="s">
        <v>446</v>
      </c>
    </row>
    <row r="1296" spans="1:22" x14ac:dyDescent="0.25">
      <c r="A1296" t="s">
        <v>42</v>
      </c>
      <c r="B1296">
        <v>165</v>
      </c>
      <c r="C1296" t="s">
        <v>1050</v>
      </c>
      <c r="D1296" t="s">
        <v>4357</v>
      </c>
      <c r="E1296" t="s">
        <v>1032</v>
      </c>
      <c r="F1296" t="s">
        <v>4356</v>
      </c>
      <c r="G1296" t="s">
        <v>24</v>
      </c>
      <c r="H1296" t="s">
        <v>26</v>
      </c>
      <c r="I1296" t="s">
        <v>3167</v>
      </c>
      <c r="J1296" t="s">
        <v>1048</v>
      </c>
      <c r="K1296" t="s">
        <v>3195</v>
      </c>
      <c r="L1296" t="s">
        <v>1048</v>
      </c>
      <c r="M1296" t="s">
        <v>1000</v>
      </c>
      <c r="N1296" t="s">
        <v>1047</v>
      </c>
      <c r="O1296" t="s">
        <v>1047</v>
      </c>
      <c r="P1296" t="s">
        <v>1089</v>
      </c>
      <c r="Q1296" t="s">
        <v>3169</v>
      </c>
      <c r="R1296" t="s">
        <v>446</v>
      </c>
      <c r="S1296" t="s">
        <v>446</v>
      </c>
      <c r="T1296" t="s">
        <v>1965</v>
      </c>
      <c r="U1296" t="b">
        <v>0</v>
      </c>
      <c r="V1296" t="s">
        <v>446</v>
      </c>
    </row>
    <row r="1297" spans="1:22" x14ac:dyDescent="0.25">
      <c r="A1297" t="s">
        <v>42</v>
      </c>
      <c r="B1297">
        <v>165</v>
      </c>
      <c r="C1297" t="s">
        <v>1052</v>
      </c>
      <c r="D1297" t="s">
        <v>4358</v>
      </c>
      <c r="E1297" t="s">
        <v>1051</v>
      </c>
      <c r="F1297" t="s">
        <v>4359</v>
      </c>
      <c r="G1297" t="s">
        <v>24</v>
      </c>
      <c r="H1297" t="s">
        <v>26</v>
      </c>
      <c r="I1297" t="s">
        <v>3167</v>
      </c>
      <c r="J1297" t="s">
        <v>1055</v>
      </c>
      <c r="K1297" t="s">
        <v>3199</v>
      </c>
      <c r="L1297" t="s">
        <v>1055</v>
      </c>
      <c r="M1297" t="s">
        <v>980</v>
      </c>
      <c r="N1297" t="s">
        <v>1053</v>
      </c>
      <c r="O1297" t="s">
        <v>1053</v>
      </c>
      <c r="P1297" t="s">
        <v>1089</v>
      </c>
      <c r="Q1297" t="s">
        <v>3169</v>
      </c>
      <c r="R1297" t="s">
        <v>446</v>
      </c>
      <c r="S1297" t="s">
        <v>446</v>
      </c>
      <c r="T1297" t="s">
        <v>1965</v>
      </c>
      <c r="U1297" t="b">
        <v>0</v>
      </c>
      <c r="V1297" t="s">
        <v>446</v>
      </c>
    </row>
    <row r="1298" spans="1:22" x14ac:dyDescent="0.25">
      <c r="A1298" t="s">
        <v>42</v>
      </c>
      <c r="B1298">
        <v>167</v>
      </c>
      <c r="C1298" t="s">
        <v>979</v>
      </c>
      <c r="D1298" t="s">
        <v>4360</v>
      </c>
      <c r="E1298" t="s">
        <v>978</v>
      </c>
      <c r="F1298" t="s">
        <v>4361</v>
      </c>
      <c r="G1298" t="s">
        <v>24</v>
      </c>
      <c r="H1298" t="s">
        <v>26</v>
      </c>
      <c r="I1298" t="s">
        <v>3167</v>
      </c>
      <c r="J1298" t="s">
        <v>984</v>
      </c>
      <c r="K1298" t="s">
        <v>3168</v>
      </c>
      <c r="L1298" t="s">
        <v>984</v>
      </c>
      <c r="M1298" t="s">
        <v>980</v>
      </c>
      <c r="N1298" t="s">
        <v>981</v>
      </c>
      <c r="O1298" t="s">
        <v>981</v>
      </c>
      <c r="P1298" t="s">
        <v>1089</v>
      </c>
      <c r="Q1298" t="s">
        <v>3169</v>
      </c>
      <c r="R1298" t="s">
        <v>446</v>
      </c>
      <c r="S1298" t="s">
        <v>446</v>
      </c>
      <c r="T1298" t="s">
        <v>1965</v>
      </c>
      <c r="U1298" t="b">
        <v>0</v>
      </c>
      <c r="V1298" t="s">
        <v>446</v>
      </c>
    </row>
    <row r="1299" spans="1:22" x14ac:dyDescent="0.25">
      <c r="A1299" t="s">
        <v>42</v>
      </c>
      <c r="B1299">
        <v>167</v>
      </c>
      <c r="C1299" t="s">
        <v>987</v>
      </c>
      <c r="D1299" t="s">
        <v>4362</v>
      </c>
      <c r="E1299" t="s">
        <v>986</v>
      </c>
      <c r="F1299" t="s">
        <v>4363</v>
      </c>
      <c r="G1299" t="s">
        <v>24</v>
      </c>
      <c r="H1299" t="s">
        <v>26</v>
      </c>
      <c r="I1299" t="s">
        <v>3167</v>
      </c>
      <c r="J1299" t="s">
        <v>990</v>
      </c>
      <c r="K1299" t="s">
        <v>3171</v>
      </c>
      <c r="L1299" t="s">
        <v>990</v>
      </c>
      <c r="M1299" t="s">
        <v>980</v>
      </c>
      <c r="N1299" t="s">
        <v>988</v>
      </c>
      <c r="O1299" t="s">
        <v>988</v>
      </c>
      <c r="P1299" t="s">
        <v>1089</v>
      </c>
      <c r="Q1299" t="s">
        <v>3169</v>
      </c>
      <c r="R1299" t="s">
        <v>446</v>
      </c>
      <c r="S1299" t="s">
        <v>446</v>
      </c>
      <c r="T1299" t="s">
        <v>1965</v>
      </c>
      <c r="U1299" t="b">
        <v>0</v>
      </c>
      <c r="V1299" t="s">
        <v>446</v>
      </c>
    </row>
    <row r="1300" spans="1:22" x14ac:dyDescent="0.25">
      <c r="A1300" t="s">
        <v>42</v>
      </c>
      <c r="B1300">
        <v>167</v>
      </c>
      <c r="C1300" t="s">
        <v>993</v>
      </c>
      <c r="D1300" t="s">
        <v>4364</v>
      </c>
      <c r="E1300" t="s">
        <v>992</v>
      </c>
      <c r="F1300" t="s">
        <v>4365</v>
      </c>
      <c r="G1300" t="s">
        <v>24</v>
      </c>
      <c r="H1300" t="s">
        <v>26</v>
      </c>
      <c r="I1300" t="s">
        <v>3167</v>
      </c>
      <c r="J1300" t="s">
        <v>996</v>
      </c>
      <c r="K1300" t="s">
        <v>3173</v>
      </c>
      <c r="L1300" t="s">
        <v>996</v>
      </c>
      <c r="M1300" t="s">
        <v>980</v>
      </c>
      <c r="N1300" t="s">
        <v>994</v>
      </c>
      <c r="O1300" t="s">
        <v>994</v>
      </c>
      <c r="P1300" t="s">
        <v>1089</v>
      </c>
      <c r="Q1300" t="s">
        <v>3169</v>
      </c>
      <c r="R1300" t="s">
        <v>446</v>
      </c>
      <c r="S1300" t="s">
        <v>446</v>
      </c>
      <c r="T1300" t="s">
        <v>1965</v>
      </c>
      <c r="U1300" t="b">
        <v>0</v>
      </c>
      <c r="V1300" t="s">
        <v>446</v>
      </c>
    </row>
    <row r="1301" spans="1:22" x14ac:dyDescent="0.25">
      <c r="A1301" t="s">
        <v>42</v>
      </c>
      <c r="B1301">
        <v>167</v>
      </c>
      <c r="C1301" t="s">
        <v>999</v>
      </c>
      <c r="D1301" t="s">
        <v>4366</v>
      </c>
      <c r="E1301" t="s">
        <v>998</v>
      </c>
      <c r="F1301" t="s">
        <v>4090</v>
      </c>
      <c r="G1301" t="s">
        <v>24</v>
      </c>
      <c r="H1301" t="s">
        <v>26</v>
      </c>
      <c r="I1301" t="s">
        <v>3167</v>
      </c>
      <c r="J1301" t="s">
        <v>1003</v>
      </c>
      <c r="K1301" t="s">
        <v>3175</v>
      </c>
      <c r="L1301" t="s">
        <v>1003</v>
      </c>
      <c r="M1301" t="s">
        <v>1000</v>
      </c>
      <c r="N1301" t="s">
        <v>1001</v>
      </c>
      <c r="O1301" t="s">
        <v>1001</v>
      </c>
      <c r="P1301" t="s">
        <v>1089</v>
      </c>
      <c r="Q1301" t="s">
        <v>3169</v>
      </c>
      <c r="R1301" t="s">
        <v>446</v>
      </c>
      <c r="S1301" t="s">
        <v>446</v>
      </c>
      <c r="T1301" t="s">
        <v>1965</v>
      </c>
      <c r="U1301" t="b">
        <v>0</v>
      </c>
      <c r="V1301" t="s">
        <v>446</v>
      </c>
    </row>
    <row r="1302" spans="1:22" x14ac:dyDescent="0.25">
      <c r="A1302" t="s">
        <v>42</v>
      </c>
      <c r="B1302">
        <v>167</v>
      </c>
      <c r="C1302" t="s">
        <v>1005</v>
      </c>
      <c r="D1302" t="s">
        <v>4367</v>
      </c>
      <c r="E1302" t="s">
        <v>982</v>
      </c>
      <c r="F1302" t="s">
        <v>4090</v>
      </c>
      <c r="G1302" t="s">
        <v>24</v>
      </c>
      <c r="H1302" t="s">
        <v>26</v>
      </c>
      <c r="I1302" t="s">
        <v>3167</v>
      </c>
      <c r="J1302" t="s">
        <v>1003</v>
      </c>
      <c r="K1302" t="s">
        <v>3175</v>
      </c>
      <c r="L1302" t="s">
        <v>1003</v>
      </c>
      <c r="M1302" t="s">
        <v>1000</v>
      </c>
      <c r="N1302" t="s">
        <v>1001</v>
      </c>
      <c r="O1302" t="s">
        <v>1001</v>
      </c>
      <c r="P1302" t="s">
        <v>1089</v>
      </c>
      <c r="Q1302" t="s">
        <v>3169</v>
      </c>
      <c r="R1302" t="s">
        <v>446</v>
      </c>
      <c r="S1302" t="s">
        <v>446</v>
      </c>
      <c r="T1302" t="s">
        <v>1965</v>
      </c>
      <c r="U1302" t="b">
        <v>0</v>
      </c>
      <c r="V1302" t="s">
        <v>446</v>
      </c>
    </row>
    <row r="1303" spans="1:22" x14ac:dyDescent="0.25">
      <c r="A1303" t="s">
        <v>42</v>
      </c>
      <c r="B1303">
        <v>167</v>
      </c>
      <c r="C1303" t="s">
        <v>1007</v>
      </c>
      <c r="D1303" t="s">
        <v>4368</v>
      </c>
      <c r="E1303" t="s">
        <v>1006</v>
      </c>
      <c r="F1303" t="s">
        <v>4369</v>
      </c>
      <c r="G1303" t="s">
        <v>24</v>
      </c>
      <c r="H1303" t="s">
        <v>26</v>
      </c>
      <c r="I1303" t="s">
        <v>3167</v>
      </c>
      <c r="J1303" t="s">
        <v>1011</v>
      </c>
      <c r="K1303" t="s">
        <v>3179</v>
      </c>
      <c r="L1303" t="s">
        <v>1011</v>
      </c>
      <c r="M1303" t="s">
        <v>1008</v>
      </c>
      <c r="N1303" t="s">
        <v>1009</v>
      </c>
      <c r="O1303" t="s">
        <v>1009</v>
      </c>
      <c r="P1303" t="s">
        <v>1089</v>
      </c>
      <c r="Q1303" t="s">
        <v>3169</v>
      </c>
      <c r="R1303" t="s">
        <v>446</v>
      </c>
      <c r="S1303" t="s">
        <v>446</v>
      </c>
      <c r="T1303" t="s">
        <v>1965</v>
      </c>
      <c r="U1303" t="b">
        <v>0</v>
      </c>
      <c r="V1303" t="s">
        <v>446</v>
      </c>
    </row>
    <row r="1304" spans="1:22" x14ac:dyDescent="0.25">
      <c r="A1304" t="s">
        <v>42</v>
      </c>
      <c r="B1304">
        <v>167</v>
      </c>
      <c r="C1304" t="s">
        <v>1014</v>
      </c>
      <c r="D1304" t="s">
        <v>4370</v>
      </c>
      <c r="E1304" t="s">
        <v>1013</v>
      </c>
      <c r="F1304" t="s">
        <v>4371</v>
      </c>
      <c r="G1304" t="s">
        <v>24</v>
      </c>
      <c r="H1304" t="s">
        <v>26</v>
      </c>
      <c r="I1304" t="s">
        <v>3167</v>
      </c>
      <c r="J1304" t="s">
        <v>1016</v>
      </c>
      <c r="K1304" t="s">
        <v>3181</v>
      </c>
      <c r="L1304" t="s">
        <v>1016</v>
      </c>
      <c r="M1304" t="s">
        <v>980</v>
      </c>
      <c r="N1304" t="s">
        <v>1015</v>
      </c>
      <c r="O1304" t="s">
        <v>1015</v>
      </c>
      <c r="P1304" t="s">
        <v>1089</v>
      </c>
      <c r="Q1304" t="s">
        <v>3169</v>
      </c>
      <c r="R1304" t="s">
        <v>446</v>
      </c>
      <c r="S1304" t="s">
        <v>446</v>
      </c>
      <c r="T1304" t="s">
        <v>1965</v>
      </c>
      <c r="U1304" t="b">
        <v>0</v>
      </c>
      <c r="V1304" t="s">
        <v>446</v>
      </c>
    </row>
    <row r="1305" spans="1:22" x14ac:dyDescent="0.25">
      <c r="A1305" t="s">
        <v>42</v>
      </c>
      <c r="B1305">
        <v>167</v>
      </c>
      <c r="C1305" t="s">
        <v>1019</v>
      </c>
      <c r="D1305" t="s">
        <v>4372</v>
      </c>
      <c r="E1305" t="s">
        <v>1018</v>
      </c>
      <c r="F1305" t="s">
        <v>4373</v>
      </c>
      <c r="G1305" t="s">
        <v>24</v>
      </c>
      <c r="H1305" t="s">
        <v>26</v>
      </c>
      <c r="I1305" t="s">
        <v>3167</v>
      </c>
      <c r="J1305" t="s">
        <v>1021</v>
      </c>
      <c r="K1305" t="s">
        <v>3183</v>
      </c>
      <c r="L1305" t="s">
        <v>1021</v>
      </c>
      <c r="M1305" t="s">
        <v>980</v>
      </c>
      <c r="N1305" t="s">
        <v>1020</v>
      </c>
      <c r="O1305" t="s">
        <v>1020</v>
      </c>
      <c r="P1305" t="s">
        <v>1089</v>
      </c>
      <c r="Q1305" t="s">
        <v>3169</v>
      </c>
      <c r="R1305" t="s">
        <v>446</v>
      </c>
      <c r="S1305" t="s">
        <v>446</v>
      </c>
      <c r="T1305" t="s">
        <v>1965</v>
      </c>
      <c r="U1305" t="b">
        <v>0</v>
      </c>
      <c r="V1305" t="s">
        <v>446</v>
      </c>
    </row>
    <row r="1306" spans="1:22" x14ac:dyDescent="0.25">
      <c r="A1306" t="s">
        <v>42</v>
      </c>
      <c r="B1306">
        <v>167</v>
      </c>
      <c r="C1306" t="s">
        <v>1024</v>
      </c>
      <c r="D1306" t="s">
        <v>4374</v>
      </c>
      <c r="E1306" t="s">
        <v>1023</v>
      </c>
      <c r="F1306" t="s">
        <v>4091</v>
      </c>
      <c r="G1306" t="s">
        <v>24</v>
      </c>
      <c r="H1306" t="s">
        <v>26</v>
      </c>
      <c r="I1306" t="s">
        <v>3167</v>
      </c>
      <c r="J1306" t="s">
        <v>1026</v>
      </c>
      <c r="K1306" t="s">
        <v>3185</v>
      </c>
      <c r="L1306" t="s">
        <v>1026</v>
      </c>
      <c r="M1306" t="s">
        <v>1000</v>
      </c>
      <c r="N1306" t="s">
        <v>1025</v>
      </c>
      <c r="O1306" t="s">
        <v>1025</v>
      </c>
      <c r="P1306" t="s">
        <v>1089</v>
      </c>
      <c r="Q1306" t="s">
        <v>3169</v>
      </c>
      <c r="R1306" t="s">
        <v>446</v>
      </c>
      <c r="S1306" t="s">
        <v>446</v>
      </c>
      <c r="T1306" t="s">
        <v>1965</v>
      </c>
      <c r="U1306" t="b">
        <v>0</v>
      </c>
      <c r="V1306" t="s">
        <v>446</v>
      </c>
    </row>
    <row r="1307" spans="1:22" x14ac:dyDescent="0.25">
      <c r="A1307" t="s">
        <v>42</v>
      </c>
      <c r="B1307">
        <v>167</v>
      </c>
      <c r="C1307" t="s">
        <v>1028</v>
      </c>
      <c r="D1307" t="s">
        <v>4375</v>
      </c>
      <c r="E1307" t="s">
        <v>1010</v>
      </c>
      <c r="F1307" t="s">
        <v>4091</v>
      </c>
      <c r="G1307" t="s">
        <v>24</v>
      </c>
      <c r="H1307" t="s">
        <v>26</v>
      </c>
      <c r="I1307" t="s">
        <v>3167</v>
      </c>
      <c r="J1307" t="s">
        <v>1026</v>
      </c>
      <c r="K1307" t="s">
        <v>3185</v>
      </c>
      <c r="L1307" t="s">
        <v>1026</v>
      </c>
      <c r="M1307" t="s">
        <v>1000</v>
      </c>
      <c r="N1307" t="s">
        <v>1025</v>
      </c>
      <c r="O1307" t="s">
        <v>1025</v>
      </c>
      <c r="P1307" t="s">
        <v>1089</v>
      </c>
      <c r="Q1307" t="s">
        <v>3169</v>
      </c>
      <c r="R1307" t="s">
        <v>446</v>
      </c>
      <c r="S1307" t="s">
        <v>446</v>
      </c>
      <c r="T1307" t="s">
        <v>1965</v>
      </c>
      <c r="U1307" t="b">
        <v>0</v>
      </c>
      <c r="V1307" t="s">
        <v>446</v>
      </c>
    </row>
    <row r="1308" spans="1:22" x14ac:dyDescent="0.25">
      <c r="A1308" t="s">
        <v>42</v>
      </c>
      <c r="B1308">
        <v>167</v>
      </c>
      <c r="C1308" t="s">
        <v>1030</v>
      </c>
      <c r="D1308" t="s">
        <v>4376</v>
      </c>
      <c r="E1308" t="s">
        <v>1029</v>
      </c>
      <c r="F1308" t="s">
        <v>4377</v>
      </c>
      <c r="G1308" t="s">
        <v>24</v>
      </c>
      <c r="H1308" t="s">
        <v>26</v>
      </c>
      <c r="I1308" t="s">
        <v>3167</v>
      </c>
      <c r="J1308" t="s">
        <v>1033</v>
      </c>
      <c r="K1308" t="s">
        <v>3189</v>
      </c>
      <c r="L1308" t="s">
        <v>1033</v>
      </c>
      <c r="M1308" t="s">
        <v>980</v>
      </c>
      <c r="N1308" t="s">
        <v>1031</v>
      </c>
      <c r="O1308" t="s">
        <v>1031</v>
      </c>
      <c r="P1308" t="s">
        <v>1089</v>
      </c>
      <c r="Q1308" t="s">
        <v>3169</v>
      </c>
      <c r="R1308" t="s">
        <v>446</v>
      </c>
      <c r="S1308" t="s">
        <v>446</v>
      </c>
      <c r="T1308" t="s">
        <v>1965</v>
      </c>
      <c r="U1308" t="b">
        <v>0</v>
      </c>
      <c r="V1308" t="s">
        <v>446</v>
      </c>
    </row>
    <row r="1309" spans="1:22" x14ac:dyDescent="0.25">
      <c r="A1309" t="s">
        <v>42</v>
      </c>
      <c r="B1309">
        <v>167</v>
      </c>
      <c r="C1309" t="s">
        <v>1036</v>
      </c>
      <c r="D1309" t="s">
        <v>4378</v>
      </c>
      <c r="E1309" t="s">
        <v>1035</v>
      </c>
      <c r="F1309" t="s">
        <v>4379</v>
      </c>
      <c r="G1309" t="s">
        <v>24</v>
      </c>
      <c r="H1309" t="s">
        <v>26</v>
      </c>
      <c r="I1309" t="s">
        <v>3167</v>
      </c>
      <c r="J1309" t="s">
        <v>1038</v>
      </c>
      <c r="K1309" t="s">
        <v>3191</v>
      </c>
      <c r="L1309" t="s">
        <v>1038</v>
      </c>
      <c r="M1309" t="s">
        <v>980</v>
      </c>
      <c r="N1309" t="s">
        <v>1037</v>
      </c>
      <c r="O1309" t="s">
        <v>1037</v>
      </c>
      <c r="P1309" t="s">
        <v>1089</v>
      </c>
      <c r="Q1309" t="s">
        <v>3169</v>
      </c>
      <c r="R1309" t="s">
        <v>446</v>
      </c>
      <c r="S1309" t="s">
        <v>446</v>
      </c>
      <c r="T1309" t="s">
        <v>1965</v>
      </c>
      <c r="U1309" t="b">
        <v>0</v>
      </c>
      <c r="V1309" t="s">
        <v>446</v>
      </c>
    </row>
    <row r="1310" spans="1:22" x14ac:dyDescent="0.25">
      <c r="A1310" t="s">
        <v>42</v>
      </c>
      <c r="B1310">
        <v>167</v>
      </c>
      <c r="C1310" t="s">
        <v>1041</v>
      </c>
      <c r="D1310" t="s">
        <v>4380</v>
      </c>
      <c r="E1310" t="s">
        <v>1040</v>
      </c>
      <c r="F1310" t="s">
        <v>4381</v>
      </c>
      <c r="G1310" t="s">
        <v>24</v>
      </c>
      <c r="H1310" t="s">
        <v>26</v>
      </c>
      <c r="I1310" t="s">
        <v>3167</v>
      </c>
      <c r="J1310" t="s">
        <v>1043</v>
      </c>
      <c r="K1310" t="s">
        <v>3193</v>
      </c>
      <c r="L1310" t="s">
        <v>1043</v>
      </c>
      <c r="M1310" t="s">
        <v>980</v>
      </c>
      <c r="N1310" t="s">
        <v>1042</v>
      </c>
      <c r="O1310" t="s">
        <v>1042</v>
      </c>
      <c r="P1310" t="s">
        <v>1089</v>
      </c>
      <c r="Q1310" t="s">
        <v>3169</v>
      </c>
      <c r="R1310" t="s">
        <v>446</v>
      </c>
      <c r="S1310" t="s">
        <v>446</v>
      </c>
      <c r="T1310" t="s">
        <v>1965</v>
      </c>
      <c r="U1310" t="b">
        <v>0</v>
      </c>
      <c r="V1310" t="s">
        <v>446</v>
      </c>
    </row>
    <row r="1311" spans="1:22" x14ac:dyDescent="0.25">
      <c r="A1311" t="s">
        <v>42</v>
      </c>
      <c r="B1311">
        <v>167</v>
      </c>
      <c r="C1311" t="s">
        <v>1046</v>
      </c>
      <c r="D1311" t="s">
        <v>4382</v>
      </c>
      <c r="E1311" t="s">
        <v>1045</v>
      </c>
      <c r="F1311" t="s">
        <v>4092</v>
      </c>
      <c r="G1311" t="s">
        <v>24</v>
      </c>
      <c r="H1311" t="s">
        <v>26</v>
      </c>
      <c r="I1311" t="s">
        <v>3167</v>
      </c>
      <c r="J1311" t="s">
        <v>1048</v>
      </c>
      <c r="K1311" t="s">
        <v>3195</v>
      </c>
      <c r="L1311" t="s">
        <v>1048</v>
      </c>
      <c r="M1311" t="s">
        <v>1000</v>
      </c>
      <c r="N1311" t="s">
        <v>1047</v>
      </c>
      <c r="O1311" t="s">
        <v>1047</v>
      </c>
      <c r="P1311" t="s">
        <v>1089</v>
      </c>
      <c r="Q1311" t="s">
        <v>3169</v>
      </c>
      <c r="R1311" t="s">
        <v>446</v>
      </c>
      <c r="S1311" t="s">
        <v>446</v>
      </c>
      <c r="T1311" t="s">
        <v>1965</v>
      </c>
      <c r="U1311" t="b">
        <v>0</v>
      </c>
      <c r="V1311" t="s">
        <v>446</v>
      </c>
    </row>
    <row r="1312" spans="1:22" x14ac:dyDescent="0.25">
      <c r="A1312" t="s">
        <v>42</v>
      </c>
      <c r="B1312">
        <v>167</v>
      </c>
      <c r="C1312" t="s">
        <v>1050</v>
      </c>
      <c r="D1312" t="s">
        <v>4383</v>
      </c>
      <c r="E1312" t="s">
        <v>1032</v>
      </c>
      <c r="F1312" t="s">
        <v>4092</v>
      </c>
      <c r="G1312" t="s">
        <v>24</v>
      </c>
      <c r="H1312" t="s">
        <v>26</v>
      </c>
      <c r="I1312" t="s">
        <v>3167</v>
      </c>
      <c r="J1312" t="s">
        <v>1048</v>
      </c>
      <c r="K1312" t="s">
        <v>3195</v>
      </c>
      <c r="L1312" t="s">
        <v>1048</v>
      </c>
      <c r="M1312" t="s">
        <v>1000</v>
      </c>
      <c r="N1312" t="s">
        <v>1047</v>
      </c>
      <c r="O1312" t="s">
        <v>1047</v>
      </c>
      <c r="P1312" t="s">
        <v>1089</v>
      </c>
      <c r="Q1312" t="s">
        <v>3169</v>
      </c>
      <c r="R1312" t="s">
        <v>446</v>
      </c>
      <c r="S1312" t="s">
        <v>446</v>
      </c>
      <c r="T1312" t="s">
        <v>1965</v>
      </c>
      <c r="U1312" t="b">
        <v>0</v>
      </c>
      <c r="V1312" t="s">
        <v>446</v>
      </c>
    </row>
    <row r="1313" spans="1:22" x14ac:dyDescent="0.25">
      <c r="A1313" t="s">
        <v>42</v>
      </c>
      <c r="B1313">
        <v>167</v>
      </c>
      <c r="C1313" t="s">
        <v>1052</v>
      </c>
      <c r="D1313" t="s">
        <v>4384</v>
      </c>
      <c r="E1313" t="s">
        <v>1051</v>
      </c>
      <c r="F1313" t="s">
        <v>4385</v>
      </c>
      <c r="G1313" t="s">
        <v>24</v>
      </c>
      <c r="H1313" t="s">
        <v>26</v>
      </c>
      <c r="I1313" t="s">
        <v>3167</v>
      </c>
      <c r="J1313" t="s">
        <v>1055</v>
      </c>
      <c r="K1313" t="s">
        <v>3199</v>
      </c>
      <c r="L1313" t="s">
        <v>1055</v>
      </c>
      <c r="M1313" t="s">
        <v>980</v>
      </c>
      <c r="N1313" t="s">
        <v>1053</v>
      </c>
      <c r="O1313" t="s">
        <v>1053</v>
      </c>
      <c r="P1313" t="s">
        <v>1089</v>
      </c>
      <c r="Q1313" t="s">
        <v>3169</v>
      </c>
      <c r="R1313" t="s">
        <v>446</v>
      </c>
      <c r="S1313" t="s">
        <v>446</v>
      </c>
      <c r="T1313" t="s">
        <v>1965</v>
      </c>
      <c r="U1313" t="b">
        <v>0</v>
      </c>
      <c r="V1313" t="s">
        <v>446</v>
      </c>
    </row>
    <row r="1314" spans="1:22" x14ac:dyDescent="0.25">
      <c r="A1314" t="s">
        <v>42</v>
      </c>
      <c r="B1314">
        <v>168</v>
      </c>
      <c r="C1314" t="s">
        <v>979</v>
      </c>
      <c r="D1314" t="s">
        <v>4386</v>
      </c>
      <c r="E1314" t="s">
        <v>978</v>
      </c>
      <c r="F1314" t="s">
        <v>4387</v>
      </c>
      <c r="G1314" t="s">
        <v>24</v>
      </c>
      <c r="H1314" t="s">
        <v>26</v>
      </c>
      <c r="I1314" t="s">
        <v>3167</v>
      </c>
      <c r="J1314" t="s">
        <v>984</v>
      </c>
      <c r="K1314" t="s">
        <v>3168</v>
      </c>
      <c r="L1314" t="s">
        <v>984</v>
      </c>
      <c r="M1314" t="s">
        <v>980</v>
      </c>
      <c r="N1314" t="s">
        <v>981</v>
      </c>
      <c r="O1314" t="s">
        <v>981</v>
      </c>
      <c r="P1314" t="s">
        <v>1089</v>
      </c>
      <c r="Q1314" t="s">
        <v>3169</v>
      </c>
      <c r="R1314" t="s">
        <v>446</v>
      </c>
      <c r="S1314" t="s">
        <v>446</v>
      </c>
      <c r="T1314" t="s">
        <v>1965</v>
      </c>
      <c r="U1314" t="b">
        <v>0</v>
      </c>
      <c r="V1314" t="s">
        <v>446</v>
      </c>
    </row>
    <row r="1315" spans="1:22" x14ac:dyDescent="0.25">
      <c r="A1315" t="s">
        <v>42</v>
      </c>
      <c r="B1315">
        <v>168</v>
      </c>
      <c r="C1315" t="s">
        <v>987</v>
      </c>
      <c r="D1315" t="s">
        <v>4388</v>
      </c>
      <c r="E1315" t="s">
        <v>986</v>
      </c>
      <c r="F1315" t="s">
        <v>4389</v>
      </c>
      <c r="G1315" t="s">
        <v>24</v>
      </c>
      <c r="H1315" t="s">
        <v>26</v>
      </c>
      <c r="I1315" t="s">
        <v>3167</v>
      </c>
      <c r="J1315" t="s">
        <v>990</v>
      </c>
      <c r="K1315" t="s">
        <v>3171</v>
      </c>
      <c r="L1315" t="s">
        <v>990</v>
      </c>
      <c r="M1315" t="s">
        <v>980</v>
      </c>
      <c r="N1315" t="s">
        <v>988</v>
      </c>
      <c r="O1315" t="s">
        <v>988</v>
      </c>
      <c r="P1315" t="s">
        <v>1089</v>
      </c>
      <c r="Q1315" t="s">
        <v>3169</v>
      </c>
      <c r="R1315" t="s">
        <v>446</v>
      </c>
      <c r="S1315" t="s">
        <v>446</v>
      </c>
      <c r="T1315" t="s">
        <v>1965</v>
      </c>
      <c r="U1315" t="b">
        <v>0</v>
      </c>
      <c r="V1315" t="s">
        <v>446</v>
      </c>
    </row>
    <row r="1316" spans="1:22" x14ac:dyDescent="0.25">
      <c r="A1316" t="s">
        <v>42</v>
      </c>
      <c r="B1316">
        <v>168</v>
      </c>
      <c r="C1316" t="s">
        <v>993</v>
      </c>
      <c r="D1316" t="s">
        <v>4390</v>
      </c>
      <c r="E1316" t="s">
        <v>992</v>
      </c>
      <c r="F1316" t="s">
        <v>4391</v>
      </c>
      <c r="G1316" t="s">
        <v>24</v>
      </c>
      <c r="H1316" t="s">
        <v>26</v>
      </c>
      <c r="I1316" t="s">
        <v>3167</v>
      </c>
      <c r="J1316" t="s">
        <v>996</v>
      </c>
      <c r="K1316" t="s">
        <v>3173</v>
      </c>
      <c r="L1316" t="s">
        <v>996</v>
      </c>
      <c r="M1316" t="s">
        <v>980</v>
      </c>
      <c r="N1316" t="s">
        <v>994</v>
      </c>
      <c r="O1316" t="s">
        <v>994</v>
      </c>
      <c r="P1316" t="s">
        <v>1089</v>
      </c>
      <c r="Q1316" t="s">
        <v>3169</v>
      </c>
      <c r="R1316" t="s">
        <v>446</v>
      </c>
      <c r="S1316" t="s">
        <v>446</v>
      </c>
      <c r="T1316" t="s">
        <v>1965</v>
      </c>
      <c r="U1316" t="b">
        <v>0</v>
      </c>
      <c r="V1316" t="s">
        <v>446</v>
      </c>
    </row>
    <row r="1317" spans="1:22" x14ac:dyDescent="0.25">
      <c r="A1317" t="s">
        <v>42</v>
      </c>
      <c r="B1317">
        <v>168</v>
      </c>
      <c r="C1317" t="s">
        <v>999</v>
      </c>
      <c r="D1317" t="s">
        <v>4392</v>
      </c>
      <c r="E1317" t="s">
        <v>998</v>
      </c>
      <c r="F1317" t="s">
        <v>4095</v>
      </c>
      <c r="G1317" t="s">
        <v>24</v>
      </c>
      <c r="H1317" t="s">
        <v>26</v>
      </c>
      <c r="I1317" t="s">
        <v>3167</v>
      </c>
      <c r="J1317" t="s">
        <v>1003</v>
      </c>
      <c r="K1317" t="s">
        <v>3175</v>
      </c>
      <c r="L1317" t="s">
        <v>1003</v>
      </c>
      <c r="M1317" t="s">
        <v>1000</v>
      </c>
      <c r="N1317" t="s">
        <v>1001</v>
      </c>
      <c r="O1317" t="s">
        <v>1001</v>
      </c>
      <c r="P1317" t="s">
        <v>1089</v>
      </c>
      <c r="Q1317" t="s">
        <v>3169</v>
      </c>
      <c r="R1317" t="s">
        <v>446</v>
      </c>
      <c r="S1317" t="s">
        <v>446</v>
      </c>
      <c r="T1317" t="s">
        <v>1965</v>
      </c>
      <c r="U1317" t="b">
        <v>0</v>
      </c>
      <c r="V1317" t="s">
        <v>446</v>
      </c>
    </row>
    <row r="1318" spans="1:22" x14ac:dyDescent="0.25">
      <c r="A1318" t="s">
        <v>42</v>
      </c>
      <c r="B1318">
        <v>168</v>
      </c>
      <c r="C1318" t="s">
        <v>1005</v>
      </c>
      <c r="D1318" t="s">
        <v>4393</v>
      </c>
      <c r="E1318" t="s">
        <v>982</v>
      </c>
      <c r="F1318" t="s">
        <v>4095</v>
      </c>
      <c r="G1318" t="s">
        <v>24</v>
      </c>
      <c r="H1318" t="s">
        <v>26</v>
      </c>
      <c r="I1318" t="s">
        <v>3167</v>
      </c>
      <c r="J1318" t="s">
        <v>1003</v>
      </c>
      <c r="K1318" t="s">
        <v>3175</v>
      </c>
      <c r="L1318" t="s">
        <v>1003</v>
      </c>
      <c r="M1318" t="s">
        <v>1000</v>
      </c>
      <c r="N1318" t="s">
        <v>1001</v>
      </c>
      <c r="O1318" t="s">
        <v>1001</v>
      </c>
      <c r="P1318" t="s">
        <v>1089</v>
      </c>
      <c r="Q1318" t="s">
        <v>3169</v>
      </c>
      <c r="R1318" t="s">
        <v>446</v>
      </c>
      <c r="S1318" t="s">
        <v>446</v>
      </c>
      <c r="T1318" t="s">
        <v>1965</v>
      </c>
      <c r="U1318" t="b">
        <v>0</v>
      </c>
      <c r="V1318" t="s">
        <v>446</v>
      </c>
    </row>
    <row r="1319" spans="1:22" x14ac:dyDescent="0.25">
      <c r="A1319" t="s">
        <v>42</v>
      </c>
      <c r="B1319">
        <v>168</v>
      </c>
      <c r="C1319" t="s">
        <v>1007</v>
      </c>
      <c r="D1319" t="s">
        <v>4394</v>
      </c>
      <c r="E1319" t="s">
        <v>1006</v>
      </c>
      <c r="F1319" t="s">
        <v>4395</v>
      </c>
      <c r="G1319" t="s">
        <v>24</v>
      </c>
      <c r="H1319" t="s">
        <v>26</v>
      </c>
      <c r="I1319" t="s">
        <v>3167</v>
      </c>
      <c r="J1319" t="s">
        <v>1011</v>
      </c>
      <c r="K1319" t="s">
        <v>3179</v>
      </c>
      <c r="L1319" t="s">
        <v>1011</v>
      </c>
      <c r="M1319" t="s">
        <v>1008</v>
      </c>
      <c r="N1319" t="s">
        <v>1009</v>
      </c>
      <c r="O1319" t="s">
        <v>1009</v>
      </c>
      <c r="P1319" t="s">
        <v>1089</v>
      </c>
      <c r="Q1319" t="s">
        <v>3169</v>
      </c>
      <c r="R1319" t="s">
        <v>446</v>
      </c>
      <c r="S1319" t="s">
        <v>446</v>
      </c>
      <c r="T1319" t="s">
        <v>1965</v>
      </c>
      <c r="U1319" t="b">
        <v>0</v>
      </c>
      <c r="V1319" t="s">
        <v>446</v>
      </c>
    </row>
    <row r="1320" spans="1:22" x14ac:dyDescent="0.25">
      <c r="A1320" t="s">
        <v>42</v>
      </c>
      <c r="B1320">
        <v>168</v>
      </c>
      <c r="C1320" t="s">
        <v>1014</v>
      </c>
      <c r="D1320" t="s">
        <v>4396</v>
      </c>
      <c r="E1320" t="s">
        <v>1013</v>
      </c>
      <c r="F1320" t="s">
        <v>4397</v>
      </c>
      <c r="G1320" t="s">
        <v>24</v>
      </c>
      <c r="H1320" t="s">
        <v>26</v>
      </c>
      <c r="I1320" t="s">
        <v>3167</v>
      </c>
      <c r="J1320" t="s">
        <v>1016</v>
      </c>
      <c r="K1320" t="s">
        <v>3181</v>
      </c>
      <c r="L1320" t="s">
        <v>1016</v>
      </c>
      <c r="M1320" t="s">
        <v>980</v>
      </c>
      <c r="N1320" t="s">
        <v>1015</v>
      </c>
      <c r="O1320" t="s">
        <v>1015</v>
      </c>
      <c r="P1320" t="s">
        <v>1089</v>
      </c>
      <c r="Q1320" t="s">
        <v>3169</v>
      </c>
      <c r="R1320" t="s">
        <v>446</v>
      </c>
      <c r="S1320" t="s">
        <v>446</v>
      </c>
      <c r="T1320" t="s">
        <v>1965</v>
      </c>
      <c r="U1320" t="b">
        <v>0</v>
      </c>
      <c r="V1320" t="s">
        <v>446</v>
      </c>
    </row>
    <row r="1321" spans="1:22" x14ac:dyDescent="0.25">
      <c r="A1321" t="s">
        <v>42</v>
      </c>
      <c r="B1321">
        <v>168</v>
      </c>
      <c r="C1321" t="s">
        <v>1019</v>
      </c>
      <c r="D1321" t="s">
        <v>4398</v>
      </c>
      <c r="E1321" t="s">
        <v>1018</v>
      </c>
      <c r="F1321" t="s">
        <v>4399</v>
      </c>
      <c r="G1321" t="s">
        <v>24</v>
      </c>
      <c r="H1321" t="s">
        <v>26</v>
      </c>
      <c r="I1321" t="s">
        <v>3167</v>
      </c>
      <c r="J1321" t="s">
        <v>1021</v>
      </c>
      <c r="K1321" t="s">
        <v>3183</v>
      </c>
      <c r="L1321" t="s">
        <v>1021</v>
      </c>
      <c r="M1321" t="s">
        <v>980</v>
      </c>
      <c r="N1321" t="s">
        <v>1020</v>
      </c>
      <c r="O1321" t="s">
        <v>1020</v>
      </c>
      <c r="P1321" t="s">
        <v>1089</v>
      </c>
      <c r="Q1321" t="s">
        <v>3169</v>
      </c>
      <c r="R1321" t="s">
        <v>446</v>
      </c>
      <c r="S1321" t="s">
        <v>446</v>
      </c>
      <c r="T1321" t="s">
        <v>1965</v>
      </c>
      <c r="U1321" t="b">
        <v>0</v>
      </c>
      <c r="V1321" t="s">
        <v>446</v>
      </c>
    </row>
    <row r="1322" spans="1:22" x14ac:dyDescent="0.25">
      <c r="A1322" t="s">
        <v>42</v>
      </c>
      <c r="B1322">
        <v>168</v>
      </c>
      <c r="C1322" t="s">
        <v>1024</v>
      </c>
      <c r="D1322" t="s">
        <v>4400</v>
      </c>
      <c r="E1322" t="s">
        <v>1023</v>
      </c>
      <c r="F1322" t="s">
        <v>4096</v>
      </c>
      <c r="G1322" t="s">
        <v>24</v>
      </c>
      <c r="H1322" t="s">
        <v>26</v>
      </c>
      <c r="I1322" t="s">
        <v>3167</v>
      </c>
      <c r="J1322" t="s">
        <v>1026</v>
      </c>
      <c r="K1322" t="s">
        <v>3185</v>
      </c>
      <c r="L1322" t="s">
        <v>1026</v>
      </c>
      <c r="M1322" t="s">
        <v>1000</v>
      </c>
      <c r="N1322" t="s">
        <v>1025</v>
      </c>
      <c r="O1322" t="s">
        <v>1025</v>
      </c>
      <c r="P1322" t="s">
        <v>1089</v>
      </c>
      <c r="Q1322" t="s">
        <v>3169</v>
      </c>
      <c r="R1322" t="s">
        <v>446</v>
      </c>
      <c r="S1322" t="s">
        <v>446</v>
      </c>
      <c r="T1322" t="s">
        <v>1965</v>
      </c>
      <c r="U1322" t="b">
        <v>0</v>
      </c>
      <c r="V1322" t="s">
        <v>446</v>
      </c>
    </row>
    <row r="1323" spans="1:22" x14ac:dyDescent="0.25">
      <c r="A1323" t="s">
        <v>42</v>
      </c>
      <c r="B1323">
        <v>168</v>
      </c>
      <c r="C1323" t="s">
        <v>1028</v>
      </c>
      <c r="D1323" t="s">
        <v>4401</v>
      </c>
      <c r="E1323" t="s">
        <v>1010</v>
      </c>
      <c r="F1323" t="s">
        <v>4096</v>
      </c>
      <c r="G1323" t="s">
        <v>24</v>
      </c>
      <c r="H1323" t="s">
        <v>26</v>
      </c>
      <c r="I1323" t="s">
        <v>3167</v>
      </c>
      <c r="J1323" t="s">
        <v>1026</v>
      </c>
      <c r="K1323" t="s">
        <v>3185</v>
      </c>
      <c r="L1323" t="s">
        <v>1026</v>
      </c>
      <c r="M1323" t="s">
        <v>1000</v>
      </c>
      <c r="N1323" t="s">
        <v>1025</v>
      </c>
      <c r="O1323" t="s">
        <v>1025</v>
      </c>
      <c r="P1323" t="s">
        <v>1089</v>
      </c>
      <c r="Q1323" t="s">
        <v>3169</v>
      </c>
      <c r="R1323" t="s">
        <v>446</v>
      </c>
      <c r="S1323" t="s">
        <v>446</v>
      </c>
      <c r="T1323" t="s">
        <v>1965</v>
      </c>
      <c r="U1323" t="b">
        <v>0</v>
      </c>
      <c r="V1323" t="s">
        <v>446</v>
      </c>
    </row>
    <row r="1324" spans="1:22" x14ac:dyDescent="0.25">
      <c r="A1324" t="s">
        <v>42</v>
      </c>
      <c r="B1324">
        <v>168</v>
      </c>
      <c r="C1324" t="s">
        <v>1030</v>
      </c>
      <c r="D1324" t="s">
        <v>4402</v>
      </c>
      <c r="E1324" t="s">
        <v>1029</v>
      </c>
      <c r="F1324" t="s">
        <v>4403</v>
      </c>
      <c r="G1324" t="s">
        <v>24</v>
      </c>
      <c r="H1324" t="s">
        <v>26</v>
      </c>
      <c r="I1324" t="s">
        <v>3167</v>
      </c>
      <c r="J1324" t="s">
        <v>1033</v>
      </c>
      <c r="K1324" t="s">
        <v>3189</v>
      </c>
      <c r="L1324" t="s">
        <v>1033</v>
      </c>
      <c r="M1324" t="s">
        <v>980</v>
      </c>
      <c r="N1324" t="s">
        <v>1031</v>
      </c>
      <c r="O1324" t="s">
        <v>1031</v>
      </c>
      <c r="P1324" t="s">
        <v>1089</v>
      </c>
      <c r="Q1324" t="s">
        <v>3169</v>
      </c>
      <c r="R1324" t="s">
        <v>446</v>
      </c>
      <c r="S1324" t="s">
        <v>446</v>
      </c>
      <c r="T1324" t="s">
        <v>1965</v>
      </c>
      <c r="U1324" t="b">
        <v>0</v>
      </c>
      <c r="V1324" t="s">
        <v>446</v>
      </c>
    </row>
    <row r="1325" spans="1:22" x14ac:dyDescent="0.25">
      <c r="A1325" t="s">
        <v>42</v>
      </c>
      <c r="B1325">
        <v>168</v>
      </c>
      <c r="C1325" t="s">
        <v>1036</v>
      </c>
      <c r="D1325" t="s">
        <v>4404</v>
      </c>
      <c r="E1325" t="s">
        <v>1035</v>
      </c>
      <c r="F1325" t="s">
        <v>4405</v>
      </c>
      <c r="G1325" t="s">
        <v>24</v>
      </c>
      <c r="H1325" t="s">
        <v>26</v>
      </c>
      <c r="I1325" t="s">
        <v>3167</v>
      </c>
      <c r="J1325" t="s">
        <v>1038</v>
      </c>
      <c r="K1325" t="s">
        <v>3191</v>
      </c>
      <c r="L1325" t="s">
        <v>1038</v>
      </c>
      <c r="M1325" t="s">
        <v>980</v>
      </c>
      <c r="N1325" t="s">
        <v>1037</v>
      </c>
      <c r="O1325" t="s">
        <v>1037</v>
      </c>
      <c r="P1325" t="s">
        <v>1089</v>
      </c>
      <c r="Q1325" t="s">
        <v>3169</v>
      </c>
      <c r="R1325" t="s">
        <v>446</v>
      </c>
      <c r="S1325" t="s">
        <v>446</v>
      </c>
      <c r="T1325" t="s">
        <v>1965</v>
      </c>
      <c r="U1325" t="b">
        <v>0</v>
      </c>
      <c r="V1325" t="s">
        <v>446</v>
      </c>
    </row>
    <row r="1326" spans="1:22" x14ac:dyDescent="0.25">
      <c r="A1326" t="s">
        <v>42</v>
      </c>
      <c r="B1326">
        <v>168</v>
      </c>
      <c r="C1326" t="s">
        <v>1041</v>
      </c>
      <c r="D1326" t="s">
        <v>4406</v>
      </c>
      <c r="E1326" t="s">
        <v>1040</v>
      </c>
      <c r="F1326" t="s">
        <v>4407</v>
      </c>
      <c r="G1326" t="s">
        <v>24</v>
      </c>
      <c r="H1326" t="s">
        <v>26</v>
      </c>
      <c r="I1326" t="s">
        <v>3167</v>
      </c>
      <c r="J1326" t="s">
        <v>1043</v>
      </c>
      <c r="K1326" t="s">
        <v>3193</v>
      </c>
      <c r="L1326" t="s">
        <v>1043</v>
      </c>
      <c r="M1326" t="s">
        <v>980</v>
      </c>
      <c r="N1326" t="s">
        <v>1042</v>
      </c>
      <c r="O1326" t="s">
        <v>1042</v>
      </c>
      <c r="P1326" t="s">
        <v>1089</v>
      </c>
      <c r="Q1326" t="s">
        <v>3169</v>
      </c>
      <c r="R1326" t="s">
        <v>446</v>
      </c>
      <c r="S1326" t="s">
        <v>446</v>
      </c>
      <c r="T1326" t="s">
        <v>1965</v>
      </c>
      <c r="U1326" t="b">
        <v>0</v>
      </c>
      <c r="V1326" t="s">
        <v>446</v>
      </c>
    </row>
    <row r="1327" spans="1:22" x14ac:dyDescent="0.25">
      <c r="A1327" t="s">
        <v>42</v>
      </c>
      <c r="B1327">
        <v>168</v>
      </c>
      <c r="C1327" t="s">
        <v>1046</v>
      </c>
      <c r="D1327" t="s">
        <v>4408</v>
      </c>
      <c r="E1327" t="s">
        <v>1045</v>
      </c>
      <c r="F1327" t="s">
        <v>4097</v>
      </c>
      <c r="G1327" t="s">
        <v>24</v>
      </c>
      <c r="H1327" t="s">
        <v>26</v>
      </c>
      <c r="I1327" t="s">
        <v>3167</v>
      </c>
      <c r="J1327" t="s">
        <v>1048</v>
      </c>
      <c r="K1327" t="s">
        <v>3195</v>
      </c>
      <c r="L1327" t="s">
        <v>1048</v>
      </c>
      <c r="M1327" t="s">
        <v>1000</v>
      </c>
      <c r="N1327" t="s">
        <v>1047</v>
      </c>
      <c r="O1327" t="s">
        <v>1047</v>
      </c>
      <c r="P1327" t="s">
        <v>1089</v>
      </c>
      <c r="Q1327" t="s">
        <v>3169</v>
      </c>
      <c r="R1327" t="s">
        <v>446</v>
      </c>
      <c r="S1327" t="s">
        <v>446</v>
      </c>
      <c r="T1327" t="s">
        <v>1965</v>
      </c>
      <c r="U1327" t="b">
        <v>0</v>
      </c>
      <c r="V1327" t="s">
        <v>446</v>
      </c>
    </row>
    <row r="1328" spans="1:22" x14ac:dyDescent="0.25">
      <c r="A1328" t="s">
        <v>42</v>
      </c>
      <c r="B1328">
        <v>168</v>
      </c>
      <c r="C1328" t="s">
        <v>1050</v>
      </c>
      <c r="D1328" t="s">
        <v>4409</v>
      </c>
      <c r="E1328" t="s">
        <v>1032</v>
      </c>
      <c r="F1328" t="s">
        <v>4097</v>
      </c>
      <c r="G1328" t="s">
        <v>24</v>
      </c>
      <c r="H1328" t="s">
        <v>26</v>
      </c>
      <c r="I1328" t="s">
        <v>3167</v>
      </c>
      <c r="J1328" t="s">
        <v>1048</v>
      </c>
      <c r="K1328" t="s">
        <v>3195</v>
      </c>
      <c r="L1328" t="s">
        <v>1048</v>
      </c>
      <c r="M1328" t="s">
        <v>1000</v>
      </c>
      <c r="N1328" t="s">
        <v>1047</v>
      </c>
      <c r="O1328" t="s">
        <v>1047</v>
      </c>
      <c r="P1328" t="s">
        <v>1089</v>
      </c>
      <c r="Q1328" t="s">
        <v>3169</v>
      </c>
      <c r="R1328" t="s">
        <v>446</v>
      </c>
      <c r="S1328" t="s">
        <v>446</v>
      </c>
      <c r="T1328" t="s">
        <v>1965</v>
      </c>
      <c r="U1328" t="b">
        <v>0</v>
      </c>
      <c r="V1328" t="s">
        <v>446</v>
      </c>
    </row>
    <row r="1329" spans="1:22" x14ac:dyDescent="0.25">
      <c r="A1329" t="s">
        <v>42</v>
      </c>
      <c r="B1329">
        <v>168</v>
      </c>
      <c r="C1329" t="s">
        <v>1052</v>
      </c>
      <c r="D1329" t="s">
        <v>4410</v>
      </c>
      <c r="E1329" t="s">
        <v>1051</v>
      </c>
      <c r="F1329" t="s">
        <v>4411</v>
      </c>
      <c r="G1329" t="s">
        <v>24</v>
      </c>
      <c r="H1329" t="s">
        <v>26</v>
      </c>
      <c r="I1329" t="s">
        <v>3167</v>
      </c>
      <c r="J1329" t="s">
        <v>1055</v>
      </c>
      <c r="K1329" t="s">
        <v>3199</v>
      </c>
      <c r="L1329" t="s">
        <v>1055</v>
      </c>
      <c r="M1329" t="s">
        <v>980</v>
      </c>
      <c r="N1329" t="s">
        <v>1053</v>
      </c>
      <c r="O1329" t="s">
        <v>1053</v>
      </c>
      <c r="P1329" t="s">
        <v>1089</v>
      </c>
      <c r="Q1329" t="s">
        <v>3169</v>
      </c>
      <c r="R1329" t="s">
        <v>446</v>
      </c>
      <c r="S1329" t="s">
        <v>446</v>
      </c>
      <c r="T1329" t="s">
        <v>1965</v>
      </c>
      <c r="U1329" t="b">
        <v>0</v>
      </c>
      <c r="V1329" t="s">
        <v>446</v>
      </c>
    </row>
    <row r="1330" spans="1:22" x14ac:dyDescent="0.25">
      <c r="A1330" t="s">
        <v>42</v>
      </c>
      <c r="B1330">
        <v>169</v>
      </c>
      <c r="C1330" t="s">
        <v>979</v>
      </c>
      <c r="D1330" t="s">
        <v>4412</v>
      </c>
      <c r="E1330" t="s">
        <v>978</v>
      </c>
      <c r="F1330" t="s">
        <v>4413</v>
      </c>
      <c r="G1330" t="s">
        <v>24</v>
      </c>
      <c r="H1330" t="s">
        <v>26</v>
      </c>
      <c r="I1330" t="s">
        <v>3167</v>
      </c>
      <c r="J1330" t="s">
        <v>984</v>
      </c>
      <c r="K1330" t="s">
        <v>3168</v>
      </c>
      <c r="L1330" t="s">
        <v>984</v>
      </c>
      <c r="M1330" t="s">
        <v>980</v>
      </c>
      <c r="N1330" t="s">
        <v>981</v>
      </c>
      <c r="O1330" t="s">
        <v>981</v>
      </c>
      <c r="P1330" t="s">
        <v>1089</v>
      </c>
      <c r="Q1330" t="s">
        <v>3169</v>
      </c>
      <c r="R1330" t="s">
        <v>446</v>
      </c>
      <c r="S1330" t="s">
        <v>446</v>
      </c>
      <c r="T1330" t="s">
        <v>1965</v>
      </c>
      <c r="U1330" t="b">
        <v>0</v>
      </c>
      <c r="V1330" t="s">
        <v>446</v>
      </c>
    </row>
    <row r="1331" spans="1:22" x14ac:dyDescent="0.25">
      <c r="A1331" t="s">
        <v>42</v>
      </c>
      <c r="B1331">
        <v>169</v>
      </c>
      <c r="C1331" t="s">
        <v>987</v>
      </c>
      <c r="D1331" t="s">
        <v>4414</v>
      </c>
      <c r="E1331" t="s">
        <v>986</v>
      </c>
      <c r="F1331" t="s">
        <v>4415</v>
      </c>
      <c r="G1331" t="s">
        <v>24</v>
      </c>
      <c r="H1331" t="s">
        <v>26</v>
      </c>
      <c r="I1331" t="s">
        <v>3167</v>
      </c>
      <c r="J1331" t="s">
        <v>990</v>
      </c>
      <c r="K1331" t="s">
        <v>3171</v>
      </c>
      <c r="L1331" t="s">
        <v>990</v>
      </c>
      <c r="M1331" t="s">
        <v>980</v>
      </c>
      <c r="N1331" t="s">
        <v>988</v>
      </c>
      <c r="O1331" t="s">
        <v>988</v>
      </c>
      <c r="P1331" t="s">
        <v>1089</v>
      </c>
      <c r="Q1331" t="s">
        <v>3169</v>
      </c>
      <c r="R1331" t="s">
        <v>446</v>
      </c>
      <c r="S1331" t="s">
        <v>446</v>
      </c>
      <c r="T1331" t="s">
        <v>1965</v>
      </c>
      <c r="U1331" t="b">
        <v>0</v>
      </c>
      <c r="V1331" t="s">
        <v>446</v>
      </c>
    </row>
    <row r="1332" spans="1:22" x14ac:dyDescent="0.25">
      <c r="A1332" t="s">
        <v>42</v>
      </c>
      <c r="B1332">
        <v>169</v>
      </c>
      <c r="C1332" t="s">
        <v>993</v>
      </c>
      <c r="D1332" t="s">
        <v>4416</v>
      </c>
      <c r="E1332" t="s">
        <v>992</v>
      </c>
      <c r="F1332" t="s">
        <v>4417</v>
      </c>
      <c r="G1332" t="s">
        <v>24</v>
      </c>
      <c r="H1332" t="s">
        <v>26</v>
      </c>
      <c r="I1332" t="s">
        <v>3167</v>
      </c>
      <c r="J1332" t="s">
        <v>996</v>
      </c>
      <c r="K1332" t="s">
        <v>3173</v>
      </c>
      <c r="L1332" t="s">
        <v>996</v>
      </c>
      <c r="M1332" t="s">
        <v>980</v>
      </c>
      <c r="N1332" t="s">
        <v>994</v>
      </c>
      <c r="O1332" t="s">
        <v>994</v>
      </c>
      <c r="P1332" t="s">
        <v>1089</v>
      </c>
      <c r="Q1332" t="s">
        <v>3169</v>
      </c>
      <c r="R1332" t="s">
        <v>446</v>
      </c>
      <c r="S1332" t="s">
        <v>446</v>
      </c>
      <c r="T1332" t="s">
        <v>1965</v>
      </c>
      <c r="U1332" t="b">
        <v>0</v>
      </c>
      <c r="V1332" t="s">
        <v>446</v>
      </c>
    </row>
    <row r="1333" spans="1:22" x14ac:dyDescent="0.25">
      <c r="A1333" t="s">
        <v>42</v>
      </c>
      <c r="B1333">
        <v>169</v>
      </c>
      <c r="C1333" t="s">
        <v>999</v>
      </c>
      <c r="D1333" t="s">
        <v>4418</v>
      </c>
      <c r="E1333" t="s">
        <v>998</v>
      </c>
      <c r="F1333" t="s">
        <v>4101</v>
      </c>
      <c r="G1333" t="s">
        <v>24</v>
      </c>
      <c r="H1333" t="s">
        <v>26</v>
      </c>
      <c r="I1333" t="s">
        <v>3167</v>
      </c>
      <c r="J1333" t="s">
        <v>1003</v>
      </c>
      <c r="K1333" t="s">
        <v>3175</v>
      </c>
      <c r="L1333" t="s">
        <v>1003</v>
      </c>
      <c r="M1333" t="s">
        <v>1000</v>
      </c>
      <c r="N1333" t="s">
        <v>1001</v>
      </c>
      <c r="O1333" t="s">
        <v>1001</v>
      </c>
      <c r="P1333" t="s">
        <v>1089</v>
      </c>
      <c r="Q1333" t="s">
        <v>3169</v>
      </c>
      <c r="R1333" t="s">
        <v>446</v>
      </c>
      <c r="S1333" t="s">
        <v>446</v>
      </c>
      <c r="T1333" t="s">
        <v>1965</v>
      </c>
      <c r="U1333" t="b">
        <v>0</v>
      </c>
      <c r="V1333" t="s">
        <v>446</v>
      </c>
    </row>
    <row r="1334" spans="1:22" x14ac:dyDescent="0.25">
      <c r="A1334" t="s">
        <v>42</v>
      </c>
      <c r="B1334">
        <v>169</v>
      </c>
      <c r="C1334" t="s">
        <v>1005</v>
      </c>
      <c r="D1334" t="s">
        <v>4419</v>
      </c>
      <c r="E1334" t="s">
        <v>982</v>
      </c>
      <c r="F1334" t="s">
        <v>4101</v>
      </c>
      <c r="G1334" t="s">
        <v>24</v>
      </c>
      <c r="H1334" t="s">
        <v>26</v>
      </c>
      <c r="I1334" t="s">
        <v>3167</v>
      </c>
      <c r="J1334" t="s">
        <v>1003</v>
      </c>
      <c r="K1334" t="s">
        <v>3175</v>
      </c>
      <c r="L1334" t="s">
        <v>1003</v>
      </c>
      <c r="M1334" t="s">
        <v>1000</v>
      </c>
      <c r="N1334" t="s">
        <v>1001</v>
      </c>
      <c r="O1334" t="s">
        <v>1001</v>
      </c>
      <c r="P1334" t="s">
        <v>1089</v>
      </c>
      <c r="Q1334" t="s">
        <v>3169</v>
      </c>
      <c r="R1334" t="s">
        <v>446</v>
      </c>
      <c r="S1334" t="s">
        <v>446</v>
      </c>
      <c r="T1334" t="s">
        <v>1965</v>
      </c>
      <c r="U1334" t="b">
        <v>0</v>
      </c>
      <c r="V1334" t="s">
        <v>446</v>
      </c>
    </row>
    <row r="1335" spans="1:22" x14ac:dyDescent="0.25">
      <c r="A1335" t="s">
        <v>42</v>
      </c>
      <c r="B1335">
        <v>169</v>
      </c>
      <c r="C1335" t="s">
        <v>1007</v>
      </c>
      <c r="D1335" t="s">
        <v>4420</v>
      </c>
      <c r="E1335" t="s">
        <v>1006</v>
      </c>
      <c r="F1335" t="s">
        <v>4421</v>
      </c>
      <c r="G1335" t="s">
        <v>24</v>
      </c>
      <c r="H1335" t="s">
        <v>26</v>
      </c>
      <c r="I1335" t="s">
        <v>3167</v>
      </c>
      <c r="J1335" t="s">
        <v>1011</v>
      </c>
      <c r="K1335" t="s">
        <v>3179</v>
      </c>
      <c r="L1335" t="s">
        <v>1011</v>
      </c>
      <c r="M1335" t="s">
        <v>1008</v>
      </c>
      <c r="N1335" t="s">
        <v>1009</v>
      </c>
      <c r="O1335" t="s">
        <v>1009</v>
      </c>
      <c r="P1335" t="s">
        <v>1089</v>
      </c>
      <c r="Q1335" t="s">
        <v>3169</v>
      </c>
      <c r="R1335" t="s">
        <v>446</v>
      </c>
      <c r="S1335" t="s">
        <v>446</v>
      </c>
      <c r="T1335" t="s">
        <v>1965</v>
      </c>
      <c r="U1335" t="b">
        <v>0</v>
      </c>
      <c r="V1335" t="s">
        <v>446</v>
      </c>
    </row>
    <row r="1336" spans="1:22" x14ac:dyDescent="0.25">
      <c r="A1336" t="s">
        <v>42</v>
      </c>
      <c r="B1336">
        <v>169</v>
      </c>
      <c r="C1336" t="s">
        <v>1014</v>
      </c>
      <c r="D1336" t="s">
        <v>4422</v>
      </c>
      <c r="E1336" t="s">
        <v>1013</v>
      </c>
      <c r="F1336" t="s">
        <v>4423</v>
      </c>
      <c r="G1336" t="s">
        <v>24</v>
      </c>
      <c r="H1336" t="s">
        <v>26</v>
      </c>
      <c r="I1336" t="s">
        <v>3167</v>
      </c>
      <c r="J1336" t="s">
        <v>1016</v>
      </c>
      <c r="K1336" t="s">
        <v>3181</v>
      </c>
      <c r="L1336" t="s">
        <v>1016</v>
      </c>
      <c r="M1336" t="s">
        <v>980</v>
      </c>
      <c r="N1336" t="s">
        <v>1015</v>
      </c>
      <c r="O1336" t="s">
        <v>1015</v>
      </c>
      <c r="P1336" t="s">
        <v>1089</v>
      </c>
      <c r="Q1336" t="s">
        <v>3169</v>
      </c>
      <c r="R1336" t="s">
        <v>446</v>
      </c>
      <c r="S1336" t="s">
        <v>446</v>
      </c>
      <c r="T1336" t="s">
        <v>1965</v>
      </c>
      <c r="U1336" t="b">
        <v>0</v>
      </c>
      <c r="V1336" t="s">
        <v>446</v>
      </c>
    </row>
    <row r="1337" spans="1:22" x14ac:dyDescent="0.25">
      <c r="A1337" t="s">
        <v>42</v>
      </c>
      <c r="B1337">
        <v>169</v>
      </c>
      <c r="C1337" t="s">
        <v>1019</v>
      </c>
      <c r="D1337" t="s">
        <v>4424</v>
      </c>
      <c r="E1337" t="s">
        <v>1018</v>
      </c>
      <c r="F1337" t="s">
        <v>4425</v>
      </c>
      <c r="G1337" t="s">
        <v>24</v>
      </c>
      <c r="H1337" t="s">
        <v>26</v>
      </c>
      <c r="I1337" t="s">
        <v>3167</v>
      </c>
      <c r="J1337" t="s">
        <v>1021</v>
      </c>
      <c r="K1337" t="s">
        <v>3183</v>
      </c>
      <c r="L1337" t="s">
        <v>1021</v>
      </c>
      <c r="M1337" t="s">
        <v>980</v>
      </c>
      <c r="N1337" t="s">
        <v>1020</v>
      </c>
      <c r="O1337" t="s">
        <v>1020</v>
      </c>
      <c r="P1337" t="s">
        <v>1089</v>
      </c>
      <c r="Q1337" t="s">
        <v>3169</v>
      </c>
      <c r="R1337" t="s">
        <v>446</v>
      </c>
      <c r="S1337" t="s">
        <v>446</v>
      </c>
      <c r="T1337" t="s">
        <v>1965</v>
      </c>
      <c r="U1337" t="b">
        <v>0</v>
      </c>
      <c r="V1337" t="s">
        <v>446</v>
      </c>
    </row>
    <row r="1338" spans="1:22" x14ac:dyDescent="0.25">
      <c r="A1338" t="s">
        <v>42</v>
      </c>
      <c r="B1338">
        <v>169</v>
      </c>
      <c r="C1338" t="s">
        <v>1024</v>
      </c>
      <c r="D1338" t="s">
        <v>4426</v>
      </c>
      <c r="E1338" t="s">
        <v>1023</v>
      </c>
      <c r="F1338" t="s">
        <v>4104</v>
      </c>
      <c r="G1338" t="s">
        <v>24</v>
      </c>
      <c r="H1338" t="s">
        <v>26</v>
      </c>
      <c r="I1338" t="s">
        <v>3167</v>
      </c>
      <c r="J1338" t="s">
        <v>1026</v>
      </c>
      <c r="K1338" t="s">
        <v>3185</v>
      </c>
      <c r="L1338" t="s">
        <v>1026</v>
      </c>
      <c r="M1338" t="s">
        <v>1000</v>
      </c>
      <c r="N1338" t="s">
        <v>1025</v>
      </c>
      <c r="O1338" t="s">
        <v>1025</v>
      </c>
      <c r="P1338" t="s">
        <v>1089</v>
      </c>
      <c r="Q1338" t="s">
        <v>3169</v>
      </c>
      <c r="R1338" t="s">
        <v>446</v>
      </c>
      <c r="S1338" t="s">
        <v>446</v>
      </c>
      <c r="T1338" t="s">
        <v>1965</v>
      </c>
      <c r="U1338" t="b">
        <v>0</v>
      </c>
      <c r="V1338" t="s">
        <v>446</v>
      </c>
    </row>
    <row r="1339" spans="1:22" x14ac:dyDescent="0.25">
      <c r="A1339" t="s">
        <v>42</v>
      </c>
      <c r="B1339">
        <v>169</v>
      </c>
      <c r="C1339" t="s">
        <v>1028</v>
      </c>
      <c r="D1339" t="s">
        <v>4427</v>
      </c>
      <c r="E1339" t="s">
        <v>1010</v>
      </c>
      <c r="F1339" t="s">
        <v>4104</v>
      </c>
      <c r="G1339" t="s">
        <v>24</v>
      </c>
      <c r="H1339" t="s">
        <v>26</v>
      </c>
      <c r="I1339" t="s">
        <v>3167</v>
      </c>
      <c r="J1339" t="s">
        <v>1026</v>
      </c>
      <c r="K1339" t="s">
        <v>3185</v>
      </c>
      <c r="L1339" t="s">
        <v>1026</v>
      </c>
      <c r="M1339" t="s">
        <v>1000</v>
      </c>
      <c r="N1339" t="s">
        <v>1025</v>
      </c>
      <c r="O1339" t="s">
        <v>1025</v>
      </c>
      <c r="P1339" t="s">
        <v>1089</v>
      </c>
      <c r="Q1339" t="s">
        <v>3169</v>
      </c>
      <c r="R1339" t="s">
        <v>446</v>
      </c>
      <c r="S1339" t="s">
        <v>446</v>
      </c>
      <c r="T1339" t="s">
        <v>1965</v>
      </c>
      <c r="U1339" t="b">
        <v>0</v>
      </c>
      <c r="V1339" t="s">
        <v>446</v>
      </c>
    </row>
    <row r="1340" spans="1:22" x14ac:dyDescent="0.25">
      <c r="A1340" t="s">
        <v>42</v>
      </c>
      <c r="B1340">
        <v>169</v>
      </c>
      <c r="C1340" t="s">
        <v>1030</v>
      </c>
      <c r="D1340" t="s">
        <v>4428</v>
      </c>
      <c r="E1340" t="s">
        <v>1029</v>
      </c>
      <c r="F1340" t="s">
        <v>4429</v>
      </c>
      <c r="G1340" t="s">
        <v>24</v>
      </c>
      <c r="H1340" t="s">
        <v>26</v>
      </c>
      <c r="I1340" t="s">
        <v>3167</v>
      </c>
      <c r="J1340" t="s">
        <v>1033</v>
      </c>
      <c r="K1340" t="s">
        <v>3189</v>
      </c>
      <c r="L1340" t="s">
        <v>1033</v>
      </c>
      <c r="M1340" t="s">
        <v>980</v>
      </c>
      <c r="N1340" t="s">
        <v>1031</v>
      </c>
      <c r="O1340" t="s">
        <v>1031</v>
      </c>
      <c r="P1340" t="s">
        <v>1089</v>
      </c>
      <c r="Q1340" t="s">
        <v>3169</v>
      </c>
      <c r="R1340" t="s">
        <v>446</v>
      </c>
      <c r="S1340" t="s">
        <v>446</v>
      </c>
      <c r="T1340" t="s">
        <v>1965</v>
      </c>
      <c r="U1340" t="b">
        <v>0</v>
      </c>
      <c r="V1340" t="s">
        <v>446</v>
      </c>
    </row>
    <row r="1341" spans="1:22" x14ac:dyDescent="0.25">
      <c r="A1341" t="s">
        <v>42</v>
      </c>
      <c r="B1341">
        <v>169</v>
      </c>
      <c r="C1341" t="s">
        <v>1036</v>
      </c>
      <c r="D1341" t="s">
        <v>4430</v>
      </c>
      <c r="E1341" t="s">
        <v>1035</v>
      </c>
      <c r="F1341" t="s">
        <v>4431</v>
      </c>
      <c r="G1341" t="s">
        <v>24</v>
      </c>
      <c r="H1341" t="s">
        <v>26</v>
      </c>
      <c r="I1341" t="s">
        <v>3167</v>
      </c>
      <c r="J1341" t="s">
        <v>1038</v>
      </c>
      <c r="K1341" t="s">
        <v>3191</v>
      </c>
      <c r="L1341" t="s">
        <v>1038</v>
      </c>
      <c r="M1341" t="s">
        <v>980</v>
      </c>
      <c r="N1341" t="s">
        <v>1037</v>
      </c>
      <c r="O1341" t="s">
        <v>1037</v>
      </c>
      <c r="P1341" t="s">
        <v>1089</v>
      </c>
      <c r="Q1341" t="s">
        <v>3169</v>
      </c>
      <c r="R1341" t="s">
        <v>446</v>
      </c>
      <c r="S1341" t="s">
        <v>446</v>
      </c>
      <c r="T1341" t="s">
        <v>1965</v>
      </c>
      <c r="U1341" t="b">
        <v>0</v>
      </c>
      <c r="V1341" t="s">
        <v>446</v>
      </c>
    </row>
    <row r="1342" spans="1:22" x14ac:dyDescent="0.25">
      <c r="A1342" t="s">
        <v>42</v>
      </c>
      <c r="B1342">
        <v>169</v>
      </c>
      <c r="C1342" t="s">
        <v>1041</v>
      </c>
      <c r="D1342" t="s">
        <v>4432</v>
      </c>
      <c r="E1342" t="s">
        <v>1040</v>
      </c>
      <c r="F1342" t="s">
        <v>4433</v>
      </c>
      <c r="G1342" t="s">
        <v>24</v>
      </c>
      <c r="H1342" t="s">
        <v>26</v>
      </c>
      <c r="I1342" t="s">
        <v>3167</v>
      </c>
      <c r="J1342" t="s">
        <v>1043</v>
      </c>
      <c r="K1342" t="s">
        <v>3193</v>
      </c>
      <c r="L1342" t="s">
        <v>1043</v>
      </c>
      <c r="M1342" t="s">
        <v>980</v>
      </c>
      <c r="N1342" t="s">
        <v>1042</v>
      </c>
      <c r="O1342" t="s">
        <v>1042</v>
      </c>
      <c r="P1342" t="s">
        <v>1089</v>
      </c>
      <c r="Q1342" t="s">
        <v>3169</v>
      </c>
      <c r="R1342" t="s">
        <v>446</v>
      </c>
      <c r="S1342" t="s">
        <v>446</v>
      </c>
      <c r="T1342" t="s">
        <v>1965</v>
      </c>
      <c r="U1342" t="b">
        <v>0</v>
      </c>
      <c r="V1342" t="s">
        <v>446</v>
      </c>
    </row>
    <row r="1343" spans="1:22" x14ac:dyDescent="0.25">
      <c r="A1343" t="s">
        <v>42</v>
      </c>
      <c r="B1343">
        <v>169</v>
      </c>
      <c r="C1343" t="s">
        <v>1046</v>
      </c>
      <c r="D1343" t="s">
        <v>4434</v>
      </c>
      <c r="E1343" t="s">
        <v>1045</v>
      </c>
      <c r="F1343" t="s">
        <v>4105</v>
      </c>
      <c r="G1343" t="s">
        <v>24</v>
      </c>
      <c r="H1343" t="s">
        <v>26</v>
      </c>
      <c r="I1343" t="s">
        <v>3167</v>
      </c>
      <c r="J1343" t="s">
        <v>1048</v>
      </c>
      <c r="K1343" t="s">
        <v>3195</v>
      </c>
      <c r="L1343" t="s">
        <v>1048</v>
      </c>
      <c r="M1343" t="s">
        <v>1000</v>
      </c>
      <c r="N1343" t="s">
        <v>1047</v>
      </c>
      <c r="O1343" t="s">
        <v>1047</v>
      </c>
      <c r="P1343" t="s">
        <v>1089</v>
      </c>
      <c r="Q1343" t="s">
        <v>3169</v>
      </c>
      <c r="R1343" t="s">
        <v>446</v>
      </c>
      <c r="S1343" t="s">
        <v>446</v>
      </c>
      <c r="T1343" t="s">
        <v>1965</v>
      </c>
      <c r="U1343" t="b">
        <v>0</v>
      </c>
      <c r="V1343" t="s">
        <v>446</v>
      </c>
    </row>
    <row r="1344" spans="1:22" x14ac:dyDescent="0.25">
      <c r="A1344" t="s">
        <v>42</v>
      </c>
      <c r="B1344">
        <v>169</v>
      </c>
      <c r="C1344" t="s">
        <v>1050</v>
      </c>
      <c r="D1344" t="s">
        <v>4435</v>
      </c>
      <c r="E1344" t="s">
        <v>1032</v>
      </c>
      <c r="F1344" t="s">
        <v>4105</v>
      </c>
      <c r="G1344" t="s">
        <v>24</v>
      </c>
      <c r="H1344" t="s">
        <v>26</v>
      </c>
      <c r="I1344" t="s">
        <v>3167</v>
      </c>
      <c r="J1344" t="s">
        <v>1048</v>
      </c>
      <c r="K1344" t="s">
        <v>3195</v>
      </c>
      <c r="L1344" t="s">
        <v>1048</v>
      </c>
      <c r="M1344" t="s">
        <v>1000</v>
      </c>
      <c r="N1344" t="s">
        <v>1047</v>
      </c>
      <c r="O1344" t="s">
        <v>1047</v>
      </c>
      <c r="P1344" t="s">
        <v>1089</v>
      </c>
      <c r="Q1344" t="s">
        <v>3169</v>
      </c>
      <c r="R1344" t="s">
        <v>446</v>
      </c>
      <c r="S1344" t="s">
        <v>446</v>
      </c>
      <c r="T1344" t="s">
        <v>1965</v>
      </c>
      <c r="U1344" t="b">
        <v>0</v>
      </c>
      <c r="V1344" t="s">
        <v>446</v>
      </c>
    </row>
    <row r="1345" spans="1:22" x14ac:dyDescent="0.25">
      <c r="A1345" t="s">
        <v>42</v>
      </c>
      <c r="B1345">
        <v>169</v>
      </c>
      <c r="C1345" t="s">
        <v>1052</v>
      </c>
      <c r="D1345" t="s">
        <v>4436</v>
      </c>
      <c r="E1345" t="s">
        <v>1051</v>
      </c>
      <c r="F1345" t="s">
        <v>4437</v>
      </c>
      <c r="G1345" t="s">
        <v>24</v>
      </c>
      <c r="H1345" t="s">
        <v>26</v>
      </c>
      <c r="I1345" t="s">
        <v>3167</v>
      </c>
      <c r="J1345" t="s">
        <v>1055</v>
      </c>
      <c r="K1345" t="s">
        <v>3199</v>
      </c>
      <c r="L1345" t="s">
        <v>1055</v>
      </c>
      <c r="M1345" t="s">
        <v>980</v>
      </c>
      <c r="N1345" t="s">
        <v>1053</v>
      </c>
      <c r="O1345" t="s">
        <v>1053</v>
      </c>
      <c r="P1345" t="s">
        <v>1089</v>
      </c>
      <c r="Q1345" t="s">
        <v>3169</v>
      </c>
      <c r="R1345" t="s">
        <v>446</v>
      </c>
      <c r="S1345" t="s">
        <v>446</v>
      </c>
      <c r="T1345" t="s">
        <v>1965</v>
      </c>
      <c r="U1345" t="b">
        <v>0</v>
      </c>
      <c r="V1345" t="s">
        <v>446</v>
      </c>
    </row>
    <row r="1346" spans="1:22" x14ac:dyDescent="0.25">
      <c r="A1346" t="s">
        <v>42</v>
      </c>
      <c r="B1346">
        <v>170</v>
      </c>
      <c r="C1346" t="s">
        <v>979</v>
      </c>
      <c r="D1346" t="s">
        <v>4438</v>
      </c>
      <c r="E1346" t="s">
        <v>978</v>
      </c>
      <c r="F1346" t="s">
        <v>4106</v>
      </c>
      <c r="G1346" t="s">
        <v>24</v>
      </c>
      <c r="H1346" t="s">
        <v>26</v>
      </c>
      <c r="I1346" t="s">
        <v>3167</v>
      </c>
      <c r="J1346" t="s">
        <v>984</v>
      </c>
      <c r="K1346" t="s">
        <v>3168</v>
      </c>
      <c r="L1346" t="s">
        <v>984</v>
      </c>
      <c r="M1346" t="s">
        <v>980</v>
      </c>
      <c r="N1346" t="s">
        <v>981</v>
      </c>
      <c r="O1346" t="s">
        <v>981</v>
      </c>
      <c r="P1346" t="s">
        <v>1089</v>
      </c>
      <c r="Q1346" t="s">
        <v>3169</v>
      </c>
      <c r="R1346" t="s">
        <v>446</v>
      </c>
      <c r="S1346" t="s">
        <v>446</v>
      </c>
      <c r="T1346" t="s">
        <v>1965</v>
      </c>
      <c r="U1346" t="b">
        <v>0</v>
      </c>
      <c r="V1346" t="s">
        <v>446</v>
      </c>
    </row>
    <row r="1347" spans="1:22" x14ac:dyDescent="0.25">
      <c r="A1347" t="s">
        <v>42</v>
      </c>
      <c r="B1347">
        <v>170</v>
      </c>
      <c r="C1347" t="s">
        <v>987</v>
      </c>
      <c r="D1347" t="s">
        <v>4439</v>
      </c>
      <c r="E1347" t="s">
        <v>986</v>
      </c>
      <c r="F1347" t="s">
        <v>4107</v>
      </c>
      <c r="G1347" t="s">
        <v>24</v>
      </c>
      <c r="H1347" t="s">
        <v>26</v>
      </c>
      <c r="I1347" t="s">
        <v>3167</v>
      </c>
      <c r="J1347" t="s">
        <v>990</v>
      </c>
      <c r="K1347" t="s">
        <v>3171</v>
      </c>
      <c r="L1347" t="s">
        <v>990</v>
      </c>
      <c r="M1347" t="s">
        <v>980</v>
      </c>
      <c r="N1347" t="s">
        <v>988</v>
      </c>
      <c r="O1347" t="s">
        <v>988</v>
      </c>
      <c r="P1347" t="s">
        <v>1089</v>
      </c>
      <c r="Q1347" t="s">
        <v>3169</v>
      </c>
      <c r="R1347" t="s">
        <v>446</v>
      </c>
      <c r="S1347" t="s">
        <v>446</v>
      </c>
      <c r="T1347" t="s">
        <v>1965</v>
      </c>
      <c r="U1347" t="b">
        <v>0</v>
      </c>
      <c r="V1347" t="s">
        <v>446</v>
      </c>
    </row>
    <row r="1348" spans="1:22" x14ac:dyDescent="0.25">
      <c r="A1348" t="s">
        <v>42</v>
      </c>
      <c r="B1348">
        <v>170</v>
      </c>
      <c r="C1348" t="s">
        <v>993</v>
      </c>
      <c r="D1348" t="s">
        <v>4440</v>
      </c>
      <c r="E1348" t="s">
        <v>992</v>
      </c>
      <c r="F1348" t="s">
        <v>4108</v>
      </c>
      <c r="G1348" t="s">
        <v>24</v>
      </c>
      <c r="H1348" t="s">
        <v>26</v>
      </c>
      <c r="I1348" t="s">
        <v>3167</v>
      </c>
      <c r="J1348" t="s">
        <v>996</v>
      </c>
      <c r="K1348" t="s">
        <v>3173</v>
      </c>
      <c r="L1348" t="s">
        <v>996</v>
      </c>
      <c r="M1348" t="s">
        <v>980</v>
      </c>
      <c r="N1348" t="s">
        <v>994</v>
      </c>
      <c r="O1348" t="s">
        <v>994</v>
      </c>
      <c r="P1348" t="s">
        <v>1089</v>
      </c>
      <c r="Q1348" t="s">
        <v>3169</v>
      </c>
      <c r="R1348" t="s">
        <v>446</v>
      </c>
      <c r="S1348" t="s">
        <v>446</v>
      </c>
      <c r="T1348" t="s">
        <v>1965</v>
      </c>
      <c r="U1348" t="b">
        <v>0</v>
      </c>
      <c r="V1348" t="s">
        <v>446</v>
      </c>
    </row>
    <row r="1349" spans="1:22" x14ac:dyDescent="0.25">
      <c r="A1349" t="s">
        <v>42</v>
      </c>
      <c r="B1349">
        <v>170</v>
      </c>
      <c r="C1349" t="s">
        <v>999</v>
      </c>
      <c r="D1349" t="s">
        <v>4441</v>
      </c>
      <c r="E1349" t="s">
        <v>998</v>
      </c>
      <c r="F1349" t="s">
        <v>4109</v>
      </c>
      <c r="G1349" t="s">
        <v>24</v>
      </c>
      <c r="H1349" t="s">
        <v>26</v>
      </c>
      <c r="I1349" t="s">
        <v>3167</v>
      </c>
      <c r="J1349" t="s">
        <v>1003</v>
      </c>
      <c r="K1349" t="s">
        <v>3175</v>
      </c>
      <c r="L1349" t="s">
        <v>1003</v>
      </c>
      <c r="M1349" t="s">
        <v>1000</v>
      </c>
      <c r="N1349" t="s">
        <v>1001</v>
      </c>
      <c r="O1349" t="s">
        <v>1001</v>
      </c>
      <c r="P1349" t="s">
        <v>1089</v>
      </c>
      <c r="Q1349" t="s">
        <v>3169</v>
      </c>
      <c r="R1349" t="s">
        <v>446</v>
      </c>
      <c r="S1349" t="s">
        <v>446</v>
      </c>
      <c r="T1349" t="s">
        <v>1965</v>
      </c>
      <c r="U1349" t="b">
        <v>0</v>
      </c>
      <c r="V1349" t="s">
        <v>446</v>
      </c>
    </row>
    <row r="1350" spans="1:22" x14ac:dyDescent="0.25">
      <c r="A1350" t="s">
        <v>42</v>
      </c>
      <c r="B1350">
        <v>170</v>
      </c>
      <c r="C1350" t="s">
        <v>1005</v>
      </c>
      <c r="D1350" t="s">
        <v>4442</v>
      </c>
      <c r="E1350" t="s">
        <v>982</v>
      </c>
      <c r="F1350" t="s">
        <v>4109</v>
      </c>
      <c r="G1350" t="s">
        <v>24</v>
      </c>
      <c r="H1350" t="s">
        <v>26</v>
      </c>
      <c r="I1350" t="s">
        <v>3167</v>
      </c>
      <c r="J1350" t="s">
        <v>1003</v>
      </c>
      <c r="K1350" t="s">
        <v>3175</v>
      </c>
      <c r="L1350" t="s">
        <v>1003</v>
      </c>
      <c r="M1350" t="s">
        <v>1000</v>
      </c>
      <c r="N1350" t="s">
        <v>1001</v>
      </c>
      <c r="O1350" t="s">
        <v>1001</v>
      </c>
      <c r="P1350" t="s">
        <v>1089</v>
      </c>
      <c r="Q1350" t="s">
        <v>3169</v>
      </c>
      <c r="R1350" t="s">
        <v>446</v>
      </c>
      <c r="S1350" t="s">
        <v>446</v>
      </c>
      <c r="T1350" t="s">
        <v>1965</v>
      </c>
      <c r="U1350" t="b">
        <v>0</v>
      </c>
      <c r="V1350" t="s">
        <v>446</v>
      </c>
    </row>
    <row r="1351" spans="1:22" x14ac:dyDescent="0.25">
      <c r="A1351" t="s">
        <v>42</v>
      </c>
      <c r="B1351">
        <v>170</v>
      </c>
      <c r="C1351" t="s">
        <v>1007</v>
      </c>
      <c r="D1351" t="s">
        <v>4443</v>
      </c>
      <c r="E1351" t="s">
        <v>1006</v>
      </c>
      <c r="F1351" t="s">
        <v>4110</v>
      </c>
      <c r="G1351" t="s">
        <v>24</v>
      </c>
      <c r="H1351" t="s">
        <v>26</v>
      </c>
      <c r="I1351" t="s">
        <v>3167</v>
      </c>
      <c r="J1351" t="s">
        <v>1011</v>
      </c>
      <c r="K1351" t="s">
        <v>3179</v>
      </c>
      <c r="L1351" t="s">
        <v>1011</v>
      </c>
      <c r="M1351" t="s">
        <v>1008</v>
      </c>
      <c r="N1351" t="s">
        <v>1009</v>
      </c>
      <c r="O1351" t="s">
        <v>1009</v>
      </c>
      <c r="P1351" t="s">
        <v>1089</v>
      </c>
      <c r="Q1351" t="s">
        <v>3169</v>
      </c>
      <c r="R1351" t="s">
        <v>446</v>
      </c>
      <c r="S1351" t="s">
        <v>446</v>
      </c>
      <c r="T1351" t="s">
        <v>1965</v>
      </c>
      <c r="U1351" t="b">
        <v>0</v>
      </c>
      <c r="V1351" t="s">
        <v>446</v>
      </c>
    </row>
    <row r="1352" spans="1:22" x14ac:dyDescent="0.25">
      <c r="A1352" t="s">
        <v>42</v>
      </c>
      <c r="B1352">
        <v>170</v>
      </c>
      <c r="C1352" t="s">
        <v>1014</v>
      </c>
      <c r="D1352" t="s">
        <v>4444</v>
      </c>
      <c r="E1352" t="s">
        <v>1013</v>
      </c>
      <c r="F1352" t="s">
        <v>4111</v>
      </c>
      <c r="G1352" t="s">
        <v>24</v>
      </c>
      <c r="H1352" t="s">
        <v>26</v>
      </c>
      <c r="I1352" t="s">
        <v>3167</v>
      </c>
      <c r="J1352" t="s">
        <v>1016</v>
      </c>
      <c r="K1352" t="s">
        <v>3181</v>
      </c>
      <c r="L1352" t="s">
        <v>1016</v>
      </c>
      <c r="M1352" t="s">
        <v>980</v>
      </c>
      <c r="N1352" t="s">
        <v>1015</v>
      </c>
      <c r="O1352" t="s">
        <v>1015</v>
      </c>
      <c r="P1352" t="s">
        <v>1089</v>
      </c>
      <c r="Q1352" t="s">
        <v>3169</v>
      </c>
      <c r="R1352" t="s">
        <v>446</v>
      </c>
      <c r="S1352" t="s">
        <v>446</v>
      </c>
      <c r="T1352" t="s">
        <v>1965</v>
      </c>
      <c r="U1352" t="b">
        <v>0</v>
      </c>
      <c r="V1352" t="s">
        <v>446</v>
      </c>
    </row>
    <row r="1353" spans="1:22" x14ac:dyDescent="0.25">
      <c r="A1353" t="s">
        <v>42</v>
      </c>
      <c r="B1353">
        <v>170</v>
      </c>
      <c r="C1353" t="s">
        <v>1019</v>
      </c>
      <c r="D1353" t="s">
        <v>4445</v>
      </c>
      <c r="E1353" t="s">
        <v>1018</v>
      </c>
      <c r="F1353" t="s">
        <v>4112</v>
      </c>
      <c r="G1353" t="s">
        <v>24</v>
      </c>
      <c r="H1353" t="s">
        <v>26</v>
      </c>
      <c r="I1353" t="s">
        <v>3167</v>
      </c>
      <c r="J1353" t="s">
        <v>1021</v>
      </c>
      <c r="K1353" t="s">
        <v>3183</v>
      </c>
      <c r="L1353" t="s">
        <v>1021</v>
      </c>
      <c r="M1353" t="s">
        <v>980</v>
      </c>
      <c r="N1353" t="s">
        <v>1020</v>
      </c>
      <c r="O1353" t="s">
        <v>1020</v>
      </c>
      <c r="P1353" t="s">
        <v>1089</v>
      </c>
      <c r="Q1353" t="s">
        <v>3169</v>
      </c>
      <c r="R1353" t="s">
        <v>446</v>
      </c>
      <c r="S1353" t="s">
        <v>446</v>
      </c>
      <c r="T1353" t="s">
        <v>1965</v>
      </c>
      <c r="U1353" t="b">
        <v>0</v>
      </c>
      <c r="V1353" t="s">
        <v>446</v>
      </c>
    </row>
    <row r="1354" spans="1:22" x14ac:dyDescent="0.25">
      <c r="A1354" t="s">
        <v>42</v>
      </c>
      <c r="B1354">
        <v>170</v>
      </c>
      <c r="C1354" t="s">
        <v>1024</v>
      </c>
      <c r="D1354" t="s">
        <v>4446</v>
      </c>
      <c r="E1354" t="s">
        <v>1023</v>
      </c>
      <c r="F1354" t="s">
        <v>4113</v>
      </c>
      <c r="G1354" t="s">
        <v>24</v>
      </c>
      <c r="H1354" t="s">
        <v>26</v>
      </c>
      <c r="I1354" t="s">
        <v>3167</v>
      </c>
      <c r="J1354" t="s">
        <v>1026</v>
      </c>
      <c r="K1354" t="s">
        <v>3185</v>
      </c>
      <c r="L1354" t="s">
        <v>1026</v>
      </c>
      <c r="M1354" t="s">
        <v>1000</v>
      </c>
      <c r="N1354" t="s">
        <v>1025</v>
      </c>
      <c r="O1354" t="s">
        <v>1025</v>
      </c>
      <c r="P1354" t="s">
        <v>1089</v>
      </c>
      <c r="Q1354" t="s">
        <v>3169</v>
      </c>
      <c r="R1354" t="s">
        <v>446</v>
      </c>
      <c r="S1354" t="s">
        <v>446</v>
      </c>
      <c r="T1354" t="s">
        <v>1965</v>
      </c>
      <c r="U1354" t="b">
        <v>0</v>
      </c>
      <c r="V1354" t="s">
        <v>446</v>
      </c>
    </row>
    <row r="1355" spans="1:22" x14ac:dyDescent="0.25">
      <c r="A1355" t="s">
        <v>42</v>
      </c>
      <c r="B1355">
        <v>170</v>
      </c>
      <c r="C1355" t="s">
        <v>1028</v>
      </c>
      <c r="D1355" t="s">
        <v>4447</v>
      </c>
      <c r="E1355" t="s">
        <v>1010</v>
      </c>
      <c r="F1355" t="s">
        <v>4113</v>
      </c>
      <c r="G1355" t="s">
        <v>24</v>
      </c>
      <c r="H1355" t="s">
        <v>26</v>
      </c>
      <c r="I1355" t="s">
        <v>3167</v>
      </c>
      <c r="J1355" t="s">
        <v>1026</v>
      </c>
      <c r="K1355" t="s">
        <v>3185</v>
      </c>
      <c r="L1355" t="s">
        <v>1026</v>
      </c>
      <c r="M1355" t="s">
        <v>1000</v>
      </c>
      <c r="N1355" t="s">
        <v>1025</v>
      </c>
      <c r="O1355" t="s">
        <v>1025</v>
      </c>
      <c r="P1355" t="s">
        <v>1089</v>
      </c>
      <c r="Q1355" t="s">
        <v>3169</v>
      </c>
      <c r="R1355" t="s">
        <v>446</v>
      </c>
      <c r="S1355" t="s">
        <v>446</v>
      </c>
      <c r="T1355" t="s">
        <v>1965</v>
      </c>
      <c r="U1355" t="b">
        <v>0</v>
      </c>
      <c r="V1355" t="s">
        <v>446</v>
      </c>
    </row>
    <row r="1356" spans="1:22" x14ac:dyDescent="0.25">
      <c r="A1356" t="s">
        <v>42</v>
      </c>
      <c r="B1356">
        <v>170</v>
      </c>
      <c r="C1356" t="s">
        <v>1030</v>
      </c>
      <c r="D1356" t="s">
        <v>4448</v>
      </c>
      <c r="E1356" t="s">
        <v>1029</v>
      </c>
      <c r="F1356" t="s">
        <v>4114</v>
      </c>
      <c r="G1356" t="s">
        <v>24</v>
      </c>
      <c r="H1356" t="s">
        <v>26</v>
      </c>
      <c r="I1356" t="s">
        <v>3167</v>
      </c>
      <c r="J1356" t="s">
        <v>1033</v>
      </c>
      <c r="K1356" t="s">
        <v>3189</v>
      </c>
      <c r="L1356" t="s">
        <v>1033</v>
      </c>
      <c r="M1356" t="s">
        <v>980</v>
      </c>
      <c r="N1356" t="s">
        <v>1031</v>
      </c>
      <c r="O1356" t="s">
        <v>1031</v>
      </c>
      <c r="P1356" t="s">
        <v>1089</v>
      </c>
      <c r="Q1356" t="s">
        <v>3169</v>
      </c>
      <c r="R1356" t="s">
        <v>446</v>
      </c>
      <c r="S1356" t="s">
        <v>446</v>
      </c>
      <c r="T1356" t="s">
        <v>1965</v>
      </c>
      <c r="U1356" t="b">
        <v>0</v>
      </c>
      <c r="V1356" t="s">
        <v>446</v>
      </c>
    </row>
    <row r="1357" spans="1:22" x14ac:dyDescent="0.25">
      <c r="A1357" t="s">
        <v>42</v>
      </c>
      <c r="B1357">
        <v>170</v>
      </c>
      <c r="C1357" t="s">
        <v>1036</v>
      </c>
      <c r="D1357" t="s">
        <v>4449</v>
      </c>
      <c r="E1357" t="s">
        <v>1035</v>
      </c>
      <c r="F1357" t="s">
        <v>4115</v>
      </c>
      <c r="G1357" t="s">
        <v>24</v>
      </c>
      <c r="H1357" t="s">
        <v>26</v>
      </c>
      <c r="I1357" t="s">
        <v>3167</v>
      </c>
      <c r="J1357" t="s">
        <v>1038</v>
      </c>
      <c r="K1357" t="s">
        <v>3191</v>
      </c>
      <c r="L1357" t="s">
        <v>1038</v>
      </c>
      <c r="M1357" t="s">
        <v>980</v>
      </c>
      <c r="N1357" t="s">
        <v>1037</v>
      </c>
      <c r="O1357" t="s">
        <v>1037</v>
      </c>
      <c r="P1357" t="s">
        <v>1089</v>
      </c>
      <c r="Q1357" t="s">
        <v>3169</v>
      </c>
      <c r="R1357" t="s">
        <v>446</v>
      </c>
      <c r="S1357" t="s">
        <v>446</v>
      </c>
      <c r="T1357" t="s">
        <v>1965</v>
      </c>
      <c r="U1357" t="b">
        <v>0</v>
      </c>
      <c r="V1357" t="s">
        <v>446</v>
      </c>
    </row>
    <row r="1358" spans="1:22" x14ac:dyDescent="0.25">
      <c r="A1358" t="s">
        <v>42</v>
      </c>
      <c r="B1358">
        <v>170</v>
      </c>
      <c r="C1358" t="s">
        <v>1041</v>
      </c>
      <c r="D1358" t="s">
        <v>4450</v>
      </c>
      <c r="E1358" t="s">
        <v>1040</v>
      </c>
      <c r="F1358" t="s">
        <v>4116</v>
      </c>
      <c r="G1358" t="s">
        <v>24</v>
      </c>
      <c r="H1358" t="s">
        <v>26</v>
      </c>
      <c r="I1358" t="s">
        <v>3167</v>
      </c>
      <c r="J1358" t="s">
        <v>1043</v>
      </c>
      <c r="K1358" t="s">
        <v>3193</v>
      </c>
      <c r="L1358" t="s">
        <v>1043</v>
      </c>
      <c r="M1358" t="s">
        <v>980</v>
      </c>
      <c r="N1358" t="s">
        <v>1042</v>
      </c>
      <c r="O1358" t="s">
        <v>1042</v>
      </c>
      <c r="P1358" t="s">
        <v>1089</v>
      </c>
      <c r="Q1358" t="s">
        <v>3169</v>
      </c>
      <c r="R1358" t="s">
        <v>446</v>
      </c>
      <c r="S1358" t="s">
        <v>446</v>
      </c>
      <c r="T1358" t="s">
        <v>1965</v>
      </c>
      <c r="U1358" t="b">
        <v>0</v>
      </c>
      <c r="V1358" t="s">
        <v>446</v>
      </c>
    </row>
    <row r="1359" spans="1:22" x14ac:dyDescent="0.25">
      <c r="A1359" t="s">
        <v>42</v>
      </c>
      <c r="B1359">
        <v>170</v>
      </c>
      <c r="C1359" t="s">
        <v>1046</v>
      </c>
      <c r="D1359" t="s">
        <v>4451</v>
      </c>
      <c r="E1359" t="s">
        <v>1045</v>
      </c>
      <c r="F1359" t="s">
        <v>4117</v>
      </c>
      <c r="G1359" t="s">
        <v>24</v>
      </c>
      <c r="H1359" t="s">
        <v>26</v>
      </c>
      <c r="I1359" t="s">
        <v>3167</v>
      </c>
      <c r="J1359" t="s">
        <v>1048</v>
      </c>
      <c r="K1359" t="s">
        <v>3195</v>
      </c>
      <c r="L1359" t="s">
        <v>1048</v>
      </c>
      <c r="M1359" t="s">
        <v>1000</v>
      </c>
      <c r="N1359" t="s">
        <v>1047</v>
      </c>
      <c r="O1359" t="s">
        <v>1047</v>
      </c>
      <c r="P1359" t="s">
        <v>1089</v>
      </c>
      <c r="Q1359" t="s">
        <v>3169</v>
      </c>
      <c r="R1359" t="s">
        <v>446</v>
      </c>
      <c r="S1359" t="s">
        <v>446</v>
      </c>
      <c r="T1359" t="s">
        <v>1965</v>
      </c>
      <c r="U1359" t="b">
        <v>0</v>
      </c>
      <c r="V1359" t="s">
        <v>446</v>
      </c>
    </row>
    <row r="1360" spans="1:22" x14ac:dyDescent="0.25">
      <c r="A1360" t="s">
        <v>42</v>
      </c>
      <c r="B1360">
        <v>170</v>
      </c>
      <c r="C1360" t="s">
        <v>1050</v>
      </c>
      <c r="D1360" t="s">
        <v>4452</v>
      </c>
      <c r="E1360" t="s">
        <v>1032</v>
      </c>
      <c r="F1360" t="s">
        <v>4117</v>
      </c>
      <c r="G1360" t="s">
        <v>24</v>
      </c>
      <c r="H1360" t="s">
        <v>26</v>
      </c>
      <c r="I1360" t="s">
        <v>3167</v>
      </c>
      <c r="J1360" t="s">
        <v>1048</v>
      </c>
      <c r="K1360" t="s">
        <v>3195</v>
      </c>
      <c r="L1360" t="s">
        <v>1048</v>
      </c>
      <c r="M1360" t="s">
        <v>1000</v>
      </c>
      <c r="N1360" t="s">
        <v>1047</v>
      </c>
      <c r="O1360" t="s">
        <v>1047</v>
      </c>
      <c r="P1360" t="s">
        <v>1089</v>
      </c>
      <c r="Q1360" t="s">
        <v>3169</v>
      </c>
      <c r="R1360" t="s">
        <v>446</v>
      </c>
      <c r="S1360" t="s">
        <v>446</v>
      </c>
      <c r="T1360" t="s">
        <v>1965</v>
      </c>
      <c r="U1360" t="b">
        <v>0</v>
      </c>
      <c r="V1360" t="s">
        <v>446</v>
      </c>
    </row>
    <row r="1361" spans="1:22" x14ac:dyDescent="0.25">
      <c r="A1361" t="s">
        <v>42</v>
      </c>
      <c r="B1361">
        <v>170</v>
      </c>
      <c r="C1361" t="s">
        <v>1052</v>
      </c>
      <c r="D1361" t="s">
        <v>4453</v>
      </c>
      <c r="E1361" t="s">
        <v>1051</v>
      </c>
      <c r="F1361" t="s">
        <v>4118</v>
      </c>
      <c r="G1361" t="s">
        <v>24</v>
      </c>
      <c r="H1361" t="s">
        <v>26</v>
      </c>
      <c r="I1361" t="s">
        <v>3167</v>
      </c>
      <c r="J1361" t="s">
        <v>1055</v>
      </c>
      <c r="K1361" t="s">
        <v>3199</v>
      </c>
      <c r="L1361" t="s">
        <v>1055</v>
      </c>
      <c r="M1361" t="s">
        <v>980</v>
      </c>
      <c r="N1361" t="s">
        <v>1053</v>
      </c>
      <c r="O1361" t="s">
        <v>1053</v>
      </c>
      <c r="P1361" t="s">
        <v>1089</v>
      </c>
      <c r="Q1361" t="s">
        <v>3169</v>
      </c>
      <c r="R1361" t="s">
        <v>446</v>
      </c>
      <c r="S1361" t="s">
        <v>446</v>
      </c>
      <c r="T1361" t="s">
        <v>1965</v>
      </c>
      <c r="U1361" t="b">
        <v>0</v>
      </c>
      <c r="V1361" t="s">
        <v>446</v>
      </c>
    </row>
    <row r="1362" spans="1:22" x14ac:dyDescent="0.25">
      <c r="A1362" t="s">
        <v>42</v>
      </c>
      <c r="B1362">
        <v>172</v>
      </c>
      <c r="C1362" t="s">
        <v>979</v>
      </c>
      <c r="D1362" t="s">
        <v>4454</v>
      </c>
      <c r="E1362" t="s">
        <v>978</v>
      </c>
      <c r="F1362" t="s">
        <v>4455</v>
      </c>
      <c r="G1362" t="s">
        <v>24</v>
      </c>
      <c r="H1362" t="s">
        <v>26</v>
      </c>
      <c r="I1362" t="s">
        <v>3167</v>
      </c>
      <c r="J1362" t="s">
        <v>984</v>
      </c>
      <c r="K1362" t="s">
        <v>3168</v>
      </c>
      <c r="L1362" t="s">
        <v>984</v>
      </c>
      <c r="M1362" t="s">
        <v>980</v>
      </c>
      <c r="N1362" t="s">
        <v>981</v>
      </c>
      <c r="O1362" t="s">
        <v>981</v>
      </c>
      <c r="P1362" t="s">
        <v>1089</v>
      </c>
      <c r="Q1362" t="s">
        <v>3169</v>
      </c>
      <c r="R1362" t="s">
        <v>446</v>
      </c>
      <c r="S1362" t="s">
        <v>446</v>
      </c>
      <c r="T1362" t="s">
        <v>1965</v>
      </c>
      <c r="U1362" t="b">
        <v>0</v>
      </c>
      <c r="V1362" t="s">
        <v>446</v>
      </c>
    </row>
    <row r="1363" spans="1:22" x14ac:dyDescent="0.25">
      <c r="A1363" t="s">
        <v>42</v>
      </c>
      <c r="B1363">
        <v>172</v>
      </c>
      <c r="C1363" t="s">
        <v>987</v>
      </c>
      <c r="D1363" t="s">
        <v>4456</v>
      </c>
      <c r="E1363" t="s">
        <v>986</v>
      </c>
      <c r="F1363" t="s">
        <v>4457</v>
      </c>
      <c r="G1363" t="s">
        <v>24</v>
      </c>
      <c r="H1363" t="s">
        <v>26</v>
      </c>
      <c r="I1363" t="s">
        <v>3167</v>
      </c>
      <c r="J1363" t="s">
        <v>990</v>
      </c>
      <c r="K1363" t="s">
        <v>3171</v>
      </c>
      <c r="L1363" t="s">
        <v>990</v>
      </c>
      <c r="M1363" t="s">
        <v>980</v>
      </c>
      <c r="N1363" t="s">
        <v>988</v>
      </c>
      <c r="O1363" t="s">
        <v>988</v>
      </c>
      <c r="P1363" t="s">
        <v>1089</v>
      </c>
      <c r="Q1363" t="s">
        <v>3169</v>
      </c>
      <c r="R1363" t="s">
        <v>446</v>
      </c>
      <c r="S1363" t="s">
        <v>446</v>
      </c>
      <c r="T1363" t="s">
        <v>1965</v>
      </c>
      <c r="U1363" t="b">
        <v>0</v>
      </c>
      <c r="V1363" t="s">
        <v>446</v>
      </c>
    </row>
    <row r="1364" spans="1:22" x14ac:dyDescent="0.25">
      <c r="A1364" t="s">
        <v>42</v>
      </c>
      <c r="B1364">
        <v>172</v>
      </c>
      <c r="C1364" t="s">
        <v>993</v>
      </c>
      <c r="D1364" t="s">
        <v>4458</v>
      </c>
      <c r="E1364" t="s">
        <v>992</v>
      </c>
      <c r="F1364" t="s">
        <v>4459</v>
      </c>
      <c r="G1364" t="s">
        <v>24</v>
      </c>
      <c r="H1364" t="s">
        <v>26</v>
      </c>
      <c r="I1364" t="s">
        <v>3167</v>
      </c>
      <c r="J1364" t="s">
        <v>996</v>
      </c>
      <c r="K1364" t="s">
        <v>3173</v>
      </c>
      <c r="L1364" t="s">
        <v>996</v>
      </c>
      <c r="M1364" t="s">
        <v>980</v>
      </c>
      <c r="N1364" t="s">
        <v>994</v>
      </c>
      <c r="O1364" t="s">
        <v>994</v>
      </c>
      <c r="P1364" t="s">
        <v>1089</v>
      </c>
      <c r="Q1364" t="s">
        <v>3169</v>
      </c>
      <c r="R1364" t="s">
        <v>446</v>
      </c>
      <c r="S1364" t="s">
        <v>446</v>
      </c>
      <c r="T1364" t="s">
        <v>1965</v>
      </c>
      <c r="U1364" t="b">
        <v>0</v>
      </c>
      <c r="V1364" t="s">
        <v>446</v>
      </c>
    </row>
    <row r="1365" spans="1:22" x14ac:dyDescent="0.25">
      <c r="A1365" t="s">
        <v>42</v>
      </c>
      <c r="B1365">
        <v>172</v>
      </c>
      <c r="C1365" t="s">
        <v>999</v>
      </c>
      <c r="D1365" t="s">
        <v>4460</v>
      </c>
      <c r="E1365" t="s">
        <v>998</v>
      </c>
      <c r="F1365" t="s">
        <v>4461</v>
      </c>
      <c r="G1365" t="s">
        <v>24</v>
      </c>
      <c r="H1365" t="s">
        <v>26</v>
      </c>
      <c r="I1365" t="s">
        <v>3167</v>
      </c>
      <c r="J1365" t="s">
        <v>1003</v>
      </c>
      <c r="K1365" t="s">
        <v>3175</v>
      </c>
      <c r="L1365" t="s">
        <v>1003</v>
      </c>
      <c r="M1365" t="s">
        <v>1000</v>
      </c>
      <c r="N1365" t="s">
        <v>1001</v>
      </c>
      <c r="O1365" t="s">
        <v>1001</v>
      </c>
      <c r="P1365" t="s">
        <v>1089</v>
      </c>
      <c r="Q1365" t="s">
        <v>3169</v>
      </c>
      <c r="R1365" t="s">
        <v>446</v>
      </c>
      <c r="S1365" t="s">
        <v>446</v>
      </c>
      <c r="T1365" t="s">
        <v>1965</v>
      </c>
      <c r="U1365" t="b">
        <v>0</v>
      </c>
      <c r="V1365" t="s">
        <v>446</v>
      </c>
    </row>
    <row r="1366" spans="1:22" x14ac:dyDescent="0.25">
      <c r="A1366" t="s">
        <v>42</v>
      </c>
      <c r="B1366">
        <v>172</v>
      </c>
      <c r="C1366" t="s">
        <v>1005</v>
      </c>
      <c r="D1366" t="s">
        <v>4462</v>
      </c>
      <c r="E1366" t="s">
        <v>982</v>
      </c>
      <c r="F1366" t="s">
        <v>4461</v>
      </c>
      <c r="G1366" t="s">
        <v>24</v>
      </c>
      <c r="H1366" t="s">
        <v>26</v>
      </c>
      <c r="I1366" t="s">
        <v>3167</v>
      </c>
      <c r="J1366" t="s">
        <v>1003</v>
      </c>
      <c r="K1366" t="s">
        <v>3175</v>
      </c>
      <c r="L1366" t="s">
        <v>1003</v>
      </c>
      <c r="M1366" t="s">
        <v>1000</v>
      </c>
      <c r="N1366" t="s">
        <v>1001</v>
      </c>
      <c r="O1366" t="s">
        <v>1001</v>
      </c>
      <c r="P1366" t="s">
        <v>1089</v>
      </c>
      <c r="Q1366" t="s">
        <v>3169</v>
      </c>
      <c r="R1366" t="s">
        <v>446</v>
      </c>
      <c r="S1366" t="s">
        <v>446</v>
      </c>
      <c r="T1366" t="s">
        <v>1965</v>
      </c>
      <c r="U1366" t="b">
        <v>0</v>
      </c>
      <c r="V1366" t="s">
        <v>446</v>
      </c>
    </row>
    <row r="1367" spans="1:22" x14ac:dyDescent="0.25">
      <c r="A1367" t="s">
        <v>42</v>
      </c>
      <c r="B1367">
        <v>172</v>
      </c>
      <c r="C1367" t="s">
        <v>1007</v>
      </c>
      <c r="D1367" t="s">
        <v>4463</v>
      </c>
      <c r="E1367" t="s">
        <v>1006</v>
      </c>
      <c r="F1367" t="s">
        <v>4464</v>
      </c>
      <c r="G1367" t="s">
        <v>24</v>
      </c>
      <c r="H1367" t="s">
        <v>26</v>
      </c>
      <c r="I1367" t="s">
        <v>3167</v>
      </c>
      <c r="J1367" t="s">
        <v>1011</v>
      </c>
      <c r="K1367" t="s">
        <v>3179</v>
      </c>
      <c r="L1367" t="s">
        <v>1011</v>
      </c>
      <c r="M1367" t="s">
        <v>1008</v>
      </c>
      <c r="N1367" t="s">
        <v>1009</v>
      </c>
      <c r="O1367" t="s">
        <v>1009</v>
      </c>
      <c r="P1367" t="s">
        <v>1089</v>
      </c>
      <c r="Q1367" t="s">
        <v>3169</v>
      </c>
      <c r="R1367" t="s">
        <v>446</v>
      </c>
      <c r="S1367" t="s">
        <v>446</v>
      </c>
      <c r="T1367" t="s">
        <v>1965</v>
      </c>
      <c r="U1367" t="b">
        <v>0</v>
      </c>
      <c r="V1367" t="s">
        <v>446</v>
      </c>
    </row>
    <row r="1368" spans="1:22" x14ac:dyDescent="0.25">
      <c r="A1368" t="s">
        <v>42</v>
      </c>
      <c r="B1368">
        <v>172</v>
      </c>
      <c r="C1368" t="s">
        <v>1014</v>
      </c>
      <c r="D1368" t="s">
        <v>4465</v>
      </c>
      <c r="E1368" t="s">
        <v>1013</v>
      </c>
      <c r="F1368" t="s">
        <v>4466</v>
      </c>
      <c r="G1368" t="s">
        <v>24</v>
      </c>
      <c r="H1368" t="s">
        <v>26</v>
      </c>
      <c r="I1368" t="s">
        <v>3167</v>
      </c>
      <c r="J1368" t="s">
        <v>1016</v>
      </c>
      <c r="K1368" t="s">
        <v>3181</v>
      </c>
      <c r="L1368" t="s">
        <v>1016</v>
      </c>
      <c r="M1368" t="s">
        <v>980</v>
      </c>
      <c r="N1368" t="s">
        <v>1015</v>
      </c>
      <c r="O1368" t="s">
        <v>1015</v>
      </c>
      <c r="P1368" t="s">
        <v>1089</v>
      </c>
      <c r="Q1368" t="s">
        <v>3169</v>
      </c>
      <c r="R1368" t="s">
        <v>446</v>
      </c>
      <c r="S1368" t="s">
        <v>446</v>
      </c>
      <c r="T1368" t="s">
        <v>1965</v>
      </c>
      <c r="U1368" t="b">
        <v>0</v>
      </c>
      <c r="V1368" t="s">
        <v>446</v>
      </c>
    </row>
    <row r="1369" spans="1:22" x14ac:dyDescent="0.25">
      <c r="A1369" t="s">
        <v>42</v>
      </c>
      <c r="B1369">
        <v>172</v>
      </c>
      <c r="C1369" t="s">
        <v>1019</v>
      </c>
      <c r="D1369" t="s">
        <v>4467</v>
      </c>
      <c r="E1369" t="s">
        <v>1018</v>
      </c>
      <c r="F1369" t="s">
        <v>4468</v>
      </c>
      <c r="G1369" t="s">
        <v>24</v>
      </c>
      <c r="H1369" t="s">
        <v>26</v>
      </c>
      <c r="I1369" t="s">
        <v>3167</v>
      </c>
      <c r="J1369" t="s">
        <v>1021</v>
      </c>
      <c r="K1369" t="s">
        <v>3183</v>
      </c>
      <c r="L1369" t="s">
        <v>1021</v>
      </c>
      <c r="M1369" t="s">
        <v>980</v>
      </c>
      <c r="N1369" t="s">
        <v>1020</v>
      </c>
      <c r="O1369" t="s">
        <v>1020</v>
      </c>
      <c r="P1369" t="s">
        <v>1089</v>
      </c>
      <c r="Q1369" t="s">
        <v>3169</v>
      </c>
      <c r="R1369" t="s">
        <v>446</v>
      </c>
      <c r="S1369" t="s">
        <v>446</v>
      </c>
      <c r="T1369" t="s">
        <v>1965</v>
      </c>
      <c r="U1369" t="b">
        <v>0</v>
      </c>
      <c r="V1369" t="s">
        <v>446</v>
      </c>
    </row>
    <row r="1370" spans="1:22" x14ac:dyDescent="0.25">
      <c r="A1370" t="s">
        <v>42</v>
      </c>
      <c r="B1370">
        <v>172</v>
      </c>
      <c r="C1370" t="s">
        <v>1024</v>
      </c>
      <c r="D1370" t="s">
        <v>4469</v>
      </c>
      <c r="E1370" t="s">
        <v>1023</v>
      </c>
      <c r="F1370" t="s">
        <v>4470</v>
      </c>
      <c r="G1370" t="s">
        <v>24</v>
      </c>
      <c r="H1370" t="s">
        <v>26</v>
      </c>
      <c r="I1370" t="s">
        <v>3167</v>
      </c>
      <c r="J1370" t="s">
        <v>1026</v>
      </c>
      <c r="K1370" t="s">
        <v>3185</v>
      </c>
      <c r="L1370" t="s">
        <v>1026</v>
      </c>
      <c r="M1370" t="s">
        <v>1000</v>
      </c>
      <c r="N1370" t="s">
        <v>1025</v>
      </c>
      <c r="O1370" t="s">
        <v>1025</v>
      </c>
      <c r="P1370" t="s">
        <v>1089</v>
      </c>
      <c r="Q1370" t="s">
        <v>3169</v>
      </c>
      <c r="R1370" t="s">
        <v>446</v>
      </c>
      <c r="S1370" t="s">
        <v>446</v>
      </c>
      <c r="T1370" t="s">
        <v>1965</v>
      </c>
      <c r="U1370" t="b">
        <v>0</v>
      </c>
      <c r="V1370" t="s">
        <v>446</v>
      </c>
    </row>
    <row r="1371" spans="1:22" x14ac:dyDescent="0.25">
      <c r="A1371" t="s">
        <v>42</v>
      </c>
      <c r="B1371">
        <v>172</v>
      </c>
      <c r="C1371" t="s">
        <v>1028</v>
      </c>
      <c r="D1371" t="s">
        <v>4471</v>
      </c>
      <c r="E1371" t="s">
        <v>1010</v>
      </c>
      <c r="F1371" t="s">
        <v>4470</v>
      </c>
      <c r="G1371" t="s">
        <v>24</v>
      </c>
      <c r="H1371" t="s">
        <v>26</v>
      </c>
      <c r="I1371" t="s">
        <v>3167</v>
      </c>
      <c r="J1371" t="s">
        <v>1026</v>
      </c>
      <c r="K1371" t="s">
        <v>3185</v>
      </c>
      <c r="L1371" t="s">
        <v>1026</v>
      </c>
      <c r="M1371" t="s">
        <v>1000</v>
      </c>
      <c r="N1371" t="s">
        <v>1025</v>
      </c>
      <c r="O1371" t="s">
        <v>1025</v>
      </c>
      <c r="P1371" t="s">
        <v>1089</v>
      </c>
      <c r="Q1371" t="s">
        <v>3169</v>
      </c>
      <c r="R1371" t="s">
        <v>446</v>
      </c>
      <c r="S1371" t="s">
        <v>446</v>
      </c>
      <c r="T1371" t="s">
        <v>1965</v>
      </c>
      <c r="U1371" t="b">
        <v>0</v>
      </c>
      <c r="V1371" t="s">
        <v>446</v>
      </c>
    </row>
    <row r="1372" spans="1:22" x14ac:dyDescent="0.25">
      <c r="A1372" t="s">
        <v>42</v>
      </c>
      <c r="B1372">
        <v>172</v>
      </c>
      <c r="C1372" t="s">
        <v>1030</v>
      </c>
      <c r="D1372" t="s">
        <v>4472</v>
      </c>
      <c r="E1372" t="s">
        <v>1029</v>
      </c>
      <c r="F1372" t="s">
        <v>4473</v>
      </c>
      <c r="G1372" t="s">
        <v>24</v>
      </c>
      <c r="H1372" t="s">
        <v>26</v>
      </c>
      <c r="I1372" t="s">
        <v>3167</v>
      </c>
      <c r="J1372" t="s">
        <v>1033</v>
      </c>
      <c r="K1372" t="s">
        <v>3189</v>
      </c>
      <c r="L1372" t="s">
        <v>1033</v>
      </c>
      <c r="M1372" t="s">
        <v>980</v>
      </c>
      <c r="N1372" t="s">
        <v>1031</v>
      </c>
      <c r="O1372" t="s">
        <v>1031</v>
      </c>
      <c r="P1372" t="s">
        <v>1089</v>
      </c>
      <c r="Q1372" t="s">
        <v>3169</v>
      </c>
      <c r="R1372" t="s">
        <v>446</v>
      </c>
      <c r="S1372" t="s">
        <v>446</v>
      </c>
      <c r="T1372" t="s">
        <v>1965</v>
      </c>
      <c r="U1372" t="b">
        <v>0</v>
      </c>
      <c r="V1372" t="s">
        <v>446</v>
      </c>
    </row>
    <row r="1373" spans="1:22" x14ac:dyDescent="0.25">
      <c r="A1373" t="s">
        <v>42</v>
      </c>
      <c r="B1373">
        <v>172</v>
      </c>
      <c r="C1373" t="s">
        <v>1036</v>
      </c>
      <c r="D1373" t="s">
        <v>4474</v>
      </c>
      <c r="E1373" t="s">
        <v>1035</v>
      </c>
      <c r="F1373" t="s">
        <v>4475</v>
      </c>
      <c r="G1373" t="s">
        <v>24</v>
      </c>
      <c r="H1373" t="s">
        <v>26</v>
      </c>
      <c r="I1373" t="s">
        <v>3167</v>
      </c>
      <c r="J1373" t="s">
        <v>1038</v>
      </c>
      <c r="K1373" t="s">
        <v>3191</v>
      </c>
      <c r="L1373" t="s">
        <v>1038</v>
      </c>
      <c r="M1373" t="s">
        <v>980</v>
      </c>
      <c r="N1373" t="s">
        <v>1037</v>
      </c>
      <c r="O1373" t="s">
        <v>1037</v>
      </c>
      <c r="P1373" t="s">
        <v>1089</v>
      </c>
      <c r="Q1373" t="s">
        <v>3169</v>
      </c>
      <c r="R1373" t="s">
        <v>446</v>
      </c>
      <c r="S1373" t="s">
        <v>446</v>
      </c>
      <c r="T1373" t="s">
        <v>1965</v>
      </c>
      <c r="U1373" t="b">
        <v>0</v>
      </c>
      <c r="V1373" t="s">
        <v>446</v>
      </c>
    </row>
    <row r="1374" spans="1:22" x14ac:dyDescent="0.25">
      <c r="A1374" t="s">
        <v>42</v>
      </c>
      <c r="B1374">
        <v>172</v>
      </c>
      <c r="C1374" t="s">
        <v>1041</v>
      </c>
      <c r="D1374" t="s">
        <v>4476</v>
      </c>
      <c r="E1374" t="s">
        <v>1040</v>
      </c>
      <c r="F1374" t="s">
        <v>4477</v>
      </c>
      <c r="G1374" t="s">
        <v>24</v>
      </c>
      <c r="H1374" t="s">
        <v>26</v>
      </c>
      <c r="I1374" t="s">
        <v>3167</v>
      </c>
      <c r="J1374" t="s">
        <v>1043</v>
      </c>
      <c r="K1374" t="s">
        <v>3193</v>
      </c>
      <c r="L1374" t="s">
        <v>1043</v>
      </c>
      <c r="M1374" t="s">
        <v>980</v>
      </c>
      <c r="N1374" t="s">
        <v>1042</v>
      </c>
      <c r="O1374" t="s">
        <v>1042</v>
      </c>
      <c r="P1374" t="s">
        <v>1089</v>
      </c>
      <c r="Q1374" t="s">
        <v>3169</v>
      </c>
      <c r="R1374" t="s">
        <v>446</v>
      </c>
      <c r="S1374" t="s">
        <v>446</v>
      </c>
      <c r="T1374" t="s">
        <v>1965</v>
      </c>
      <c r="U1374" t="b">
        <v>0</v>
      </c>
      <c r="V1374" t="s">
        <v>446</v>
      </c>
    </row>
    <row r="1375" spans="1:22" x14ac:dyDescent="0.25">
      <c r="A1375" t="s">
        <v>42</v>
      </c>
      <c r="B1375">
        <v>172</v>
      </c>
      <c r="C1375" t="s">
        <v>1046</v>
      </c>
      <c r="D1375" t="s">
        <v>4478</v>
      </c>
      <c r="E1375" t="s">
        <v>1045</v>
      </c>
      <c r="F1375" t="s">
        <v>4479</v>
      </c>
      <c r="G1375" t="s">
        <v>24</v>
      </c>
      <c r="H1375" t="s">
        <v>26</v>
      </c>
      <c r="I1375" t="s">
        <v>3167</v>
      </c>
      <c r="J1375" t="s">
        <v>1048</v>
      </c>
      <c r="K1375" t="s">
        <v>3195</v>
      </c>
      <c r="L1375" t="s">
        <v>1048</v>
      </c>
      <c r="M1375" t="s">
        <v>1000</v>
      </c>
      <c r="N1375" t="s">
        <v>1047</v>
      </c>
      <c r="O1375" t="s">
        <v>1047</v>
      </c>
      <c r="P1375" t="s">
        <v>1089</v>
      </c>
      <c r="Q1375" t="s">
        <v>3169</v>
      </c>
      <c r="R1375" t="s">
        <v>446</v>
      </c>
      <c r="S1375" t="s">
        <v>446</v>
      </c>
      <c r="T1375" t="s">
        <v>1965</v>
      </c>
      <c r="U1375" t="b">
        <v>0</v>
      </c>
      <c r="V1375" t="s">
        <v>446</v>
      </c>
    </row>
    <row r="1376" spans="1:22" x14ac:dyDescent="0.25">
      <c r="A1376" t="s">
        <v>42</v>
      </c>
      <c r="B1376">
        <v>172</v>
      </c>
      <c r="C1376" t="s">
        <v>1050</v>
      </c>
      <c r="D1376" t="s">
        <v>4480</v>
      </c>
      <c r="E1376" t="s">
        <v>1032</v>
      </c>
      <c r="F1376" t="s">
        <v>4479</v>
      </c>
      <c r="G1376" t="s">
        <v>24</v>
      </c>
      <c r="H1376" t="s">
        <v>26</v>
      </c>
      <c r="I1376" t="s">
        <v>3167</v>
      </c>
      <c r="J1376" t="s">
        <v>1048</v>
      </c>
      <c r="K1376" t="s">
        <v>3195</v>
      </c>
      <c r="L1376" t="s">
        <v>1048</v>
      </c>
      <c r="M1376" t="s">
        <v>1000</v>
      </c>
      <c r="N1376" t="s">
        <v>1047</v>
      </c>
      <c r="O1376" t="s">
        <v>1047</v>
      </c>
      <c r="P1376" t="s">
        <v>1089</v>
      </c>
      <c r="Q1376" t="s">
        <v>3169</v>
      </c>
      <c r="R1376" t="s">
        <v>446</v>
      </c>
      <c r="S1376" t="s">
        <v>446</v>
      </c>
      <c r="T1376" t="s">
        <v>1965</v>
      </c>
      <c r="U1376" t="b">
        <v>0</v>
      </c>
      <c r="V1376" t="s">
        <v>446</v>
      </c>
    </row>
    <row r="1377" spans="1:22" x14ac:dyDescent="0.25">
      <c r="A1377" t="s">
        <v>42</v>
      </c>
      <c r="B1377">
        <v>172</v>
      </c>
      <c r="C1377" t="s">
        <v>1052</v>
      </c>
      <c r="D1377" t="s">
        <v>4481</v>
      </c>
      <c r="E1377" t="s">
        <v>1051</v>
      </c>
      <c r="F1377" t="s">
        <v>4482</v>
      </c>
      <c r="G1377" t="s">
        <v>24</v>
      </c>
      <c r="H1377" t="s">
        <v>26</v>
      </c>
      <c r="I1377" t="s">
        <v>3167</v>
      </c>
      <c r="J1377" t="s">
        <v>1055</v>
      </c>
      <c r="K1377" t="s">
        <v>3199</v>
      </c>
      <c r="L1377" t="s">
        <v>1055</v>
      </c>
      <c r="M1377" t="s">
        <v>980</v>
      </c>
      <c r="N1377" t="s">
        <v>1053</v>
      </c>
      <c r="O1377" t="s">
        <v>1053</v>
      </c>
      <c r="P1377" t="s">
        <v>1089</v>
      </c>
      <c r="Q1377" t="s">
        <v>3169</v>
      </c>
      <c r="R1377" t="s">
        <v>446</v>
      </c>
      <c r="S1377" t="s">
        <v>446</v>
      </c>
      <c r="T1377" t="s">
        <v>1965</v>
      </c>
      <c r="U1377" t="b">
        <v>0</v>
      </c>
      <c r="V1377" t="s">
        <v>446</v>
      </c>
    </row>
    <row r="1378" spans="1:22" x14ac:dyDescent="0.25">
      <c r="A1378" t="s">
        <v>42</v>
      </c>
      <c r="B1378">
        <v>174</v>
      </c>
      <c r="C1378" t="s">
        <v>987</v>
      </c>
      <c r="D1378" t="s">
        <v>4483</v>
      </c>
      <c r="E1378" t="s">
        <v>986</v>
      </c>
      <c r="F1378" t="s">
        <v>4484</v>
      </c>
      <c r="G1378" t="s">
        <v>24</v>
      </c>
      <c r="H1378" t="s">
        <v>26</v>
      </c>
      <c r="I1378" t="s">
        <v>3167</v>
      </c>
      <c r="J1378" t="s">
        <v>990</v>
      </c>
      <c r="K1378" t="s">
        <v>3171</v>
      </c>
      <c r="L1378" t="s">
        <v>990</v>
      </c>
      <c r="M1378" t="s">
        <v>980</v>
      </c>
      <c r="N1378" t="s">
        <v>988</v>
      </c>
      <c r="O1378" t="s">
        <v>988</v>
      </c>
      <c r="P1378" t="s">
        <v>1746</v>
      </c>
      <c r="Q1378" t="s">
        <v>3771</v>
      </c>
      <c r="R1378" t="s">
        <v>446</v>
      </c>
      <c r="S1378" t="s">
        <v>446</v>
      </c>
      <c r="T1378" t="s">
        <v>1965</v>
      </c>
      <c r="U1378" t="b">
        <v>0</v>
      </c>
      <c r="V1378" t="s">
        <v>446</v>
      </c>
    </row>
    <row r="1379" spans="1:22" x14ac:dyDescent="0.25">
      <c r="A1379" t="s">
        <v>42</v>
      </c>
      <c r="B1379">
        <v>174</v>
      </c>
      <c r="C1379" t="s">
        <v>993</v>
      </c>
      <c r="D1379" t="s">
        <v>4485</v>
      </c>
      <c r="E1379" t="s">
        <v>992</v>
      </c>
      <c r="F1379" t="s">
        <v>4486</v>
      </c>
      <c r="G1379" t="s">
        <v>24</v>
      </c>
      <c r="H1379" t="s">
        <v>26</v>
      </c>
      <c r="I1379" t="s">
        <v>3167</v>
      </c>
      <c r="J1379" t="s">
        <v>996</v>
      </c>
      <c r="K1379" t="s">
        <v>3173</v>
      </c>
      <c r="L1379" t="s">
        <v>996</v>
      </c>
      <c r="M1379" t="s">
        <v>980</v>
      </c>
      <c r="N1379" t="s">
        <v>994</v>
      </c>
      <c r="O1379" t="s">
        <v>994</v>
      </c>
      <c r="P1379" t="s">
        <v>1746</v>
      </c>
      <c r="Q1379" t="s">
        <v>3771</v>
      </c>
      <c r="R1379" t="s">
        <v>446</v>
      </c>
      <c r="S1379" t="s">
        <v>446</v>
      </c>
      <c r="T1379" t="s">
        <v>1965</v>
      </c>
      <c r="U1379" t="b">
        <v>0</v>
      </c>
      <c r="V1379" t="s">
        <v>446</v>
      </c>
    </row>
    <row r="1380" spans="1:22" x14ac:dyDescent="0.25">
      <c r="A1380" t="s">
        <v>42</v>
      </c>
      <c r="B1380">
        <v>174</v>
      </c>
      <c r="C1380" t="s">
        <v>999</v>
      </c>
      <c r="D1380" t="s">
        <v>4487</v>
      </c>
      <c r="E1380" t="s">
        <v>998</v>
      </c>
      <c r="F1380" t="s">
        <v>4488</v>
      </c>
      <c r="G1380" t="s">
        <v>24</v>
      </c>
      <c r="H1380" t="s">
        <v>26</v>
      </c>
      <c r="I1380" t="s">
        <v>3167</v>
      </c>
      <c r="J1380" t="s">
        <v>1003</v>
      </c>
      <c r="K1380" t="s">
        <v>3175</v>
      </c>
      <c r="L1380" t="s">
        <v>1003</v>
      </c>
      <c r="M1380" t="s">
        <v>1000</v>
      </c>
      <c r="N1380" t="s">
        <v>1001</v>
      </c>
      <c r="O1380" t="s">
        <v>1001</v>
      </c>
      <c r="P1380" t="s">
        <v>1746</v>
      </c>
      <c r="Q1380" t="s">
        <v>3771</v>
      </c>
      <c r="R1380" t="s">
        <v>446</v>
      </c>
      <c r="S1380" t="s">
        <v>446</v>
      </c>
      <c r="T1380" t="s">
        <v>1965</v>
      </c>
      <c r="U1380" t="b">
        <v>0</v>
      </c>
      <c r="V1380" t="s">
        <v>446</v>
      </c>
    </row>
    <row r="1381" spans="1:22" x14ac:dyDescent="0.25">
      <c r="A1381" t="s">
        <v>42</v>
      </c>
      <c r="B1381">
        <v>174</v>
      </c>
      <c r="C1381" t="s">
        <v>1007</v>
      </c>
      <c r="D1381" t="s">
        <v>4489</v>
      </c>
      <c r="E1381" t="s">
        <v>1006</v>
      </c>
      <c r="F1381" t="s">
        <v>4490</v>
      </c>
      <c r="G1381" t="s">
        <v>24</v>
      </c>
      <c r="H1381" t="s">
        <v>26</v>
      </c>
      <c r="I1381" t="s">
        <v>3167</v>
      </c>
      <c r="J1381" t="s">
        <v>1011</v>
      </c>
      <c r="K1381" t="s">
        <v>3179</v>
      </c>
      <c r="L1381" t="s">
        <v>1011</v>
      </c>
      <c r="M1381" t="s">
        <v>1008</v>
      </c>
      <c r="N1381" t="s">
        <v>1009</v>
      </c>
      <c r="O1381" t="s">
        <v>1009</v>
      </c>
      <c r="P1381" t="s">
        <v>1746</v>
      </c>
      <c r="Q1381" t="s">
        <v>3771</v>
      </c>
      <c r="R1381" t="s">
        <v>446</v>
      </c>
      <c r="S1381" t="s">
        <v>446</v>
      </c>
      <c r="T1381" t="s">
        <v>1965</v>
      </c>
      <c r="U1381" t="b">
        <v>0</v>
      </c>
      <c r="V1381" t="s">
        <v>446</v>
      </c>
    </row>
    <row r="1382" spans="1:22" x14ac:dyDescent="0.25">
      <c r="A1382" t="s">
        <v>42</v>
      </c>
      <c r="B1382">
        <v>174</v>
      </c>
      <c r="C1382" t="s">
        <v>1014</v>
      </c>
      <c r="D1382" t="s">
        <v>4491</v>
      </c>
      <c r="E1382" t="s">
        <v>1013</v>
      </c>
      <c r="F1382" t="s">
        <v>4136</v>
      </c>
      <c r="G1382" t="s">
        <v>24</v>
      </c>
      <c r="H1382" t="s">
        <v>26</v>
      </c>
      <c r="I1382" t="s">
        <v>3167</v>
      </c>
      <c r="J1382" t="s">
        <v>1016</v>
      </c>
      <c r="K1382" t="s">
        <v>3181</v>
      </c>
      <c r="L1382" t="s">
        <v>1016</v>
      </c>
      <c r="M1382" t="s">
        <v>980</v>
      </c>
      <c r="N1382" t="s">
        <v>1015</v>
      </c>
      <c r="O1382" t="s">
        <v>1015</v>
      </c>
      <c r="P1382" t="s">
        <v>1746</v>
      </c>
      <c r="Q1382" t="s">
        <v>3771</v>
      </c>
      <c r="R1382" t="s">
        <v>446</v>
      </c>
      <c r="S1382" t="s">
        <v>446</v>
      </c>
      <c r="T1382" t="s">
        <v>1965</v>
      </c>
      <c r="U1382" t="b">
        <v>0</v>
      </c>
      <c r="V1382" t="s">
        <v>446</v>
      </c>
    </row>
    <row r="1383" spans="1:22" x14ac:dyDescent="0.25">
      <c r="A1383" t="s">
        <v>42</v>
      </c>
      <c r="B1383">
        <v>174</v>
      </c>
      <c r="C1383" t="s">
        <v>1019</v>
      </c>
      <c r="D1383" t="s">
        <v>4492</v>
      </c>
      <c r="E1383" t="s">
        <v>1018</v>
      </c>
      <c r="F1383" t="s">
        <v>4493</v>
      </c>
      <c r="G1383" t="s">
        <v>24</v>
      </c>
      <c r="H1383" t="s">
        <v>26</v>
      </c>
      <c r="I1383" t="s">
        <v>3167</v>
      </c>
      <c r="J1383" t="s">
        <v>1021</v>
      </c>
      <c r="K1383" t="s">
        <v>3183</v>
      </c>
      <c r="L1383" t="s">
        <v>1021</v>
      </c>
      <c r="M1383" t="s">
        <v>980</v>
      </c>
      <c r="N1383" t="s">
        <v>1020</v>
      </c>
      <c r="O1383" t="s">
        <v>1020</v>
      </c>
      <c r="P1383" t="s">
        <v>1746</v>
      </c>
      <c r="Q1383" t="s">
        <v>3771</v>
      </c>
      <c r="R1383" t="s">
        <v>446</v>
      </c>
      <c r="S1383" t="s">
        <v>446</v>
      </c>
      <c r="T1383" t="s">
        <v>1965</v>
      </c>
      <c r="U1383" t="b">
        <v>0</v>
      </c>
      <c r="V1383" t="s">
        <v>446</v>
      </c>
    </row>
    <row r="1384" spans="1:22" x14ac:dyDescent="0.25">
      <c r="A1384" t="s">
        <v>42</v>
      </c>
      <c r="B1384">
        <v>174</v>
      </c>
      <c r="C1384" t="s">
        <v>1024</v>
      </c>
      <c r="D1384" t="s">
        <v>4494</v>
      </c>
      <c r="E1384" t="s">
        <v>1023</v>
      </c>
      <c r="F1384" t="s">
        <v>4495</v>
      </c>
      <c r="G1384" t="s">
        <v>24</v>
      </c>
      <c r="H1384" t="s">
        <v>26</v>
      </c>
      <c r="I1384" t="s">
        <v>3167</v>
      </c>
      <c r="J1384" t="s">
        <v>1026</v>
      </c>
      <c r="K1384" t="s">
        <v>3185</v>
      </c>
      <c r="L1384" t="s">
        <v>1026</v>
      </c>
      <c r="M1384" t="s">
        <v>1000</v>
      </c>
      <c r="N1384" t="s">
        <v>1025</v>
      </c>
      <c r="O1384" t="s">
        <v>1025</v>
      </c>
      <c r="P1384" t="s">
        <v>1746</v>
      </c>
      <c r="Q1384" t="s">
        <v>3771</v>
      </c>
      <c r="R1384" t="s">
        <v>446</v>
      </c>
      <c r="S1384" t="s">
        <v>446</v>
      </c>
      <c r="T1384" t="s">
        <v>1965</v>
      </c>
      <c r="U1384" t="b">
        <v>0</v>
      </c>
      <c r="V1384" t="s">
        <v>446</v>
      </c>
    </row>
    <row r="1385" spans="1:22" x14ac:dyDescent="0.25">
      <c r="A1385" t="s">
        <v>42</v>
      </c>
      <c r="B1385">
        <v>174</v>
      </c>
      <c r="C1385" t="s">
        <v>1028</v>
      </c>
      <c r="D1385" t="s">
        <v>4496</v>
      </c>
      <c r="E1385" t="s">
        <v>1010</v>
      </c>
      <c r="F1385" t="s">
        <v>4497</v>
      </c>
      <c r="G1385" t="s">
        <v>24</v>
      </c>
      <c r="H1385" t="s">
        <v>26</v>
      </c>
      <c r="I1385" t="s">
        <v>3167</v>
      </c>
      <c r="J1385" t="s">
        <v>1026</v>
      </c>
      <c r="K1385" t="s">
        <v>3185</v>
      </c>
      <c r="L1385" t="s">
        <v>1026</v>
      </c>
      <c r="M1385" t="s">
        <v>1000</v>
      </c>
      <c r="N1385" t="s">
        <v>1025</v>
      </c>
      <c r="O1385" t="s">
        <v>1025</v>
      </c>
      <c r="P1385" t="s">
        <v>1746</v>
      </c>
      <c r="Q1385" t="s">
        <v>3771</v>
      </c>
      <c r="R1385" t="s">
        <v>446</v>
      </c>
      <c r="S1385" t="s">
        <v>446</v>
      </c>
      <c r="T1385" t="s">
        <v>1965</v>
      </c>
      <c r="U1385" t="b">
        <v>0</v>
      </c>
      <c r="V1385" t="s">
        <v>446</v>
      </c>
    </row>
    <row r="1386" spans="1:22" x14ac:dyDescent="0.25">
      <c r="A1386" t="s">
        <v>42</v>
      </c>
      <c r="B1386">
        <v>174</v>
      </c>
      <c r="C1386" t="s">
        <v>1030</v>
      </c>
      <c r="D1386" t="s">
        <v>4498</v>
      </c>
      <c r="E1386" t="s">
        <v>1029</v>
      </c>
      <c r="F1386" t="s">
        <v>4499</v>
      </c>
      <c r="G1386" t="s">
        <v>24</v>
      </c>
      <c r="H1386" t="s">
        <v>26</v>
      </c>
      <c r="I1386" t="s">
        <v>3167</v>
      </c>
      <c r="J1386" t="s">
        <v>1033</v>
      </c>
      <c r="K1386" t="s">
        <v>3189</v>
      </c>
      <c r="L1386" t="s">
        <v>1033</v>
      </c>
      <c r="M1386" t="s">
        <v>980</v>
      </c>
      <c r="N1386" t="s">
        <v>1031</v>
      </c>
      <c r="O1386" t="s">
        <v>1031</v>
      </c>
      <c r="P1386" t="s">
        <v>1746</v>
      </c>
      <c r="Q1386" t="s">
        <v>3771</v>
      </c>
      <c r="R1386" t="s">
        <v>446</v>
      </c>
      <c r="S1386" t="s">
        <v>446</v>
      </c>
      <c r="T1386" t="s">
        <v>1965</v>
      </c>
      <c r="U1386" t="b">
        <v>0</v>
      </c>
      <c r="V1386" t="s">
        <v>446</v>
      </c>
    </row>
    <row r="1387" spans="1:22" x14ac:dyDescent="0.25">
      <c r="A1387" t="s">
        <v>42</v>
      </c>
      <c r="B1387">
        <v>174</v>
      </c>
      <c r="C1387" t="s">
        <v>1036</v>
      </c>
      <c r="D1387" t="s">
        <v>4500</v>
      </c>
      <c r="E1387" t="s">
        <v>1035</v>
      </c>
      <c r="F1387" t="s">
        <v>4501</v>
      </c>
      <c r="G1387" t="s">
        <v>24</v>
      </c>
      <c r="H1387" t="s">
        <v>26</v>
      </c>
      <c r="I1387" t="s">
        <v>3167</v>
      </c>
      <c r="J1387" t="s">
        <v>1038</v>
      </c>
      <c r="K1387" t="s">
        <v>3191</v>
      </c>
      <c r="L1387" t="s">
        <v>1038</v>
      </c>
      <c r="M1387" t="s">
        <v>980</v>
      </c>
      <c r="N1387" t="s">
        <v>1037</v>
      </c>
      <c r="O1387" t="s">
        <v>1037</v>
      </c>
      <c r="P1387" t="s">
        <v>1746</v>
      </c>
      <c r="Q1387" t="s">
        <v>3771</v>
      </c>
      <c r="R1387" t="s">
        <v>446</v>
      </c>
      <c r="S1387" t="s">
        <v>446</v>
      </c>
      <c r="T1387" t="s">
        <v>1965</v>
      </c>
      <c r="U1387" t="b">
        <v>0</v>
      </c>
      <c r="V1387" t="s">
        <v>446</v>
      </c>
    </row>
    <row r="1388" spans="1:22" x14ac:dyDescent="0.25">
      <c r="A1388" t="s">
        <v>42</v>
      </c>
      <c r="B1388">
        <v>174</v>
      </c>
      <c r="C1388" t="s">
        <v>1041</v>
      </c>
      <c r="D1388" t="s">
        <v>4502</v>
      </c>
      <c r="E1388" t="s">
        <v>1040</v>
      </c>
      <c r="F1388" t="s">
        <v>4503</v>
      </c>
      <c r="G1388" t="s">
        <v>24</v>
      </c>
      <c r="H1388" t="s">
        <v>26</v>
      </c>
      <c r="I1388" t="s">
        <v>3167</v>
      </c>
      <c r="J1388" t="s">
        <v>1043</v>
      </c>
      <c r="K1388" t="s">
        <v>3193</v>
      </c>
      <c r="L1388" t="s">
        <v>1043</v>
      </c>
      <c r="M1388" t="s">
        <v>980</v>
      </c>
      <c r="N1388" t="s">
        <v>1042</v>
      </c>
      <c r="O1388" t="s">
        <v>1042</v>
      </c>
      <c r="P1388" t="s">
        <v>1746</v>
      </c>
      <c r="Q1388" t="s">
        <v>3771</v>
      </c>
      <c r="R1388" t="s">
        <v>446</v>
      </c>
      <c r="S1388" t="s">
        <v>446</v>
      </c>
      <c r="T1388" t="s">
        <v>1965</v>
      </c>
      <c r="U1388" t="b">
        <v>0</v>
      </c>
      <c r="V1388" t="s">
        <v>446</v>
      </c>
    </row>
    <row r="1389" spans="1:22" x14ac:dyDescent="0.25">
      <c r="A1389" t="s">
        <v>42</v>
      </c>
      <c r="B1389">
        <v>174</v>
      </c>
      <c r="C1389" t="s">
        <v>1046</v>
      </c>
      <c r="D1389" t="s">
        <v>4504</v>
      </c>
      <c r="E1389" t="s">
        <v>1045</v>
      </c>
      <c r="F1389" t="s">
        <v>4505</v>
      </c>
      <c r="G1389" t="s">
        <v>24</v>
      </c>
      <c r="H1389" t="s">
        <v>26</v>
      </c>
      <c r="I1389" t="s">
        <v>3167</v>
      </c>
      <c r="J1389" t="s">
        <v>1048</v>
      </c>
      <c r="K1389" t="s">
        <v>3195</v>
      </c>
      <c r="L1389" t="s">
        <v>1048</v>
      </c>
      <c r="M1389" t="s">
        <v>1000</v>
      </c>
      <c r="N1389" t="s">
        <v>1047</v>
      </c>
      <c r="O1389" t="s">
        <v>1047</v>
      </c>
      <c r="P1389" t="s">
        <v>1746</v>
      </c>
      <c r="Q1389" t="s">
        <v>3771</v>
      </c>
      <c r="R1389" t="s">
        <v>446</v>
      </c>
      <c r="S1389" t="s">
        <v>446</v>
      </c>
      <c r="T1389" t="s">
        <v>1965</v>
      </c>
      <c r="U1389" t="b">
        <v>0</v>
      </c>
      <c r="V1389" t="s">
        <v>446</v>
      </c>
    </row>
    <row r="1390" spans="1:22" x14ac:dyDescent="0.25">
      <c r="A1390" t="s">
        <v>42</v>
      </c>
      <c r="B1390">
        <v>174</v>
      </c>
      <c r="C1390" t="s">
        <v>1050</v>
      </c>
      <c r="D1390" t="s">
        <v>4506</v>
      </c>
      <c r="E1390" t="s">
        <v>1032</v>
      </c>
      <c r="F1390" t="s">
        <v>4507</v>
      </c>
      <c r="G1390" t="s">
        <v>24</v>
      </c>
      <c r="H1390" t="s">
        <v>26</v>
      </c>
      <c r="I1390" t="s">
        <v>3167</v>
      </c>
      <c r="J1390" t="s">
        <v>1048</v>
      </c>
      <c r="K1390" t="s">
        <v>3195</v>
      </c>
      <c r="L1390" t="s">
        <v>1048</v>
      </c>
      <c r="M1390" t="s">
        <v>1000</v>
      </c>
      <c r="N1390" t="s">
        <v>1047</v>
      </c>
      <c r="O1390" t="s">
        <v>1047</v>
      </c>
      <c r="P1390" t="s">
        <v>1746</v>
      </c>
      <c r="Q1390" t="s">
        <v>3771</v>
      </c>
      <c r="R1390" t="s">
        <v>446</v>
      </c>
      <c r="S1390" t="s">
        <v>446</v>
      </c>
      <c r="T1390" t="s">
        <v>1965</v>
      </c>
      <c r="U1390" t="b">
        <v>0</v>
      </c>
      <c r="V1390" t="s">
        <v>446</v>
      </c>
    </row>
    <row r="1391" spans="1:22" x14ac:dyDescent="0.25">
      <c r="A1391" t="s">
        <v>42</v>
      </c>
      <c r="B1391">
        <v>174</v>
      </c>
      <c r="C1391" t="s">
        <v>1052</v>
      </c>
      <c r="D1391" t="s">
        <v>4508</v>
      </c>
      <c r="E1391" t="s">
        <v>1051</v>
      </c>
      <c r="F1391" t="s">
        <v>4509</v>
      </c>
      <c r="G1391" t="s">
        <v>24</v>
      </c>
      <c r="H1391" t="s">
        <v>26</v>
      </c>
      <c r="I1391" t="s">
        <v>3167</v>
      </c>
      <c r="J1391" t="s">
        <v>1055</v>
      </c>
      <c r="K1391" t="s">
        <v>3199</v>
      </c>
      <c r="L1391" t="s">
        <v>1055</v>
      </c>
      <c r="M1391" t="s">
        <v>980</v>
      </c>
      <c r="N1391" t="s">
        <v>1053</v>
      </c>
      <c r="O1391" t="s">
        <v>1053</v>
      </c>
      <c r="P1391" t="s">
        <v>1746</v>
      </c>
      <c r="Q1391" t="s">
        <v>3771</v>
      </c>
      <c r="R1391" t="s">
        <v>446</v>
      </c>
      <c r="S1391" t="s">
        <v>446</v>
      </c>
      <c r="T1391" t="s">
        <v>1965</v>
      </c>
      <c r="U1391" t="b">
        <v>0</v>
      </c>
      <c r="V1391" t="s">
        <v>446</v>
      </c>
    </row>
    <row r="1392" spans="1:22" x14ac:dyDescent="0.25">
      <c r="A1392" t="s">
        <v>42</v>
      </c>
      <c r="B1392">
        <v>176</v>
      </c>
      <c r="C1392" t="s">
        <v>979</v>
      </c>
      <c r="D1392" t="s">
        <v>4510</v>
      </c>
      <c r="E1392" t="s">
        <v>978</v>
      </c>
      <c r="F1392" t="s">
        <v>4511</v>
      </c>
      <c r="G1392" t="s">
        <v>24</v>
      </c>
      <c r="H1392" t="s">
        <v>26</v>
      </c>
      <c r="I1392" t="s">
        <v>3167</v>
      </c>
      <c r="J1392" t="s">
        <v>984</v>
      </c>
      <c r="K1392" t="s">
        <v>3168</v>
      </c>
      <c r="L1392" t="s">
        <v>984</v>
      </c>
      <c r="M1392" t="s">
        <v>980</v>
      </c>
      <c r="N1392" t="s">
        <v>981</v>
      </c>
      <c r="O1392" t="s">
        <v>981</v>
      </c>
      <c r="P1392" t="s">
        <v>1746</v>
      </c>
      <c r="Q1392" t="s">
        <v>3771</v>
      </c>
      <c r="R1392" t="s">
        <v>446</v>
      </c>
      <c r="S1392" t="s">
        <v>446</v>
      </c>
      <c r="T1392" t="s">
        <v>1965</v>
      </c>
      <c r="U1392" t="b">
        <v>0</v>
      </c>
      <c r="V1392" t="s">
        <v>446</v>
      </c>
    </row>
    <row r="1393" spans="1:22" x14ac:dyDescent="0.25">
      <c r="A1393" t="s">
        <v>42</v>
      </c>
      <c r="B1393">
        <v>176</v>
      </c>
      <c r="C1393" t="s">
        <v>987</v>
      </c>
      <c r="D1393" t="s">
        <v>4512</v>
      </c>
      <c r="E1393" t="s">
        <v>986</v>
      </c>
      <c r="F1393" t="s">
        <v>4513</v>
      </c>
      <c r="G1393" t="s">
        <v>24</v>
      </c>
      <c r="H1393" t="s">
        <v>26</v>
      </c>
      <c r="I1393" t="s">
        <v>3167</v>
      </c>
      <c r="J1393" t="s">
        <v>990</v>
      </c>
      <c r="K1393" t="s">
        <v>3171</v>
      </c>
      <c r="L1393" t="s">
        <v>990</v>
      </c>
      <c r="M1393" t="s">
        <v>980</v>
      </c>
      <c r="N1393" t="s">
        <v>988</v>
      </c>
      <c r="O1393" t="s">
        <v>988</v>
      </c>
      <c r="P1393" t="s">
        <v>1746</v>
      </c>
      <c r="Q1393" t="s">
        <v>3771</v>
      </c>
      <c r="R1393" t="s">
        <v>446</v>
      </c>
      <c r="S1393" t="s">
        <v>446</v>
      </c>
      <c r="T1393" t="s">
        <v>1965</v>
      </c>
      <c r="U1393" t="b">
        <v>0</v>
      </c>
      <c r="V1393" t="s">
        <v>446</v>
      </c>
    </row>
    <row r="1394" spans="1:22" x14ac:dyDescent="0.25">
      <c r="A1394" t="s">
        <v>42</v>
      </c>
      <c r="B1394">
        <v>176</v>
      </c>
      <c r="C1394" t="s">
        <v>993</v>
      </c>
      <c r="D1394" t="s">
        <v>4514</v>
      </c>
      <c r="E1394" t="s">
        <v>992</v>
      </c>
      <c r="F1394" t="s">
        <v>4515</v>
      </c>
      <c r="G1394" t="s">
        <v>24</v>
      </c>
      <c r="H1394" t="s">
        <v>26</v>
      </c>
      <c r="I1394" t="s">
        <v>3167</v>
      </c>
      <c r="J1394" t="s">
        <v>996</v>
      </c>
      <c r="K1394" t="s">
        <v>3173</v>
      </c>
      <c r="L1394" t="s">
        <v>996</v>
      </c>
      <c r="M1394" t="s">
        <v>980</v>
      </c>
      <c r="N1394" t="s">
        <v>994</v>
      </c>
      <c r="O1394" t="s">
        <v>994</v>
      </c>
      <c r="P1394" t="s">
        <v>1746</v>
      </c>
      <c r="Q1394" t="s">
        <v>3771</v>
      </c>
      <c r="R1394" t="s">
        <v>446</v>
      </c>
      <c r="S1394" t="s">
        <v>446</v>
      </c>
      <c r="T1394" t="s">
        <v>1965</v>
      </c>
      <c r="U1394" t="b">
        <v>0</v>
      </c>
      <c r="V1394" t="s">
        <v>446</v>
      </c>
    </row>
    <row r="1395" spans="1:22" x14ac:dyDescent="0.25">
      <c r="A1395" t="s">
        <v>42</v>
      </c>
      <c r="B1395">
        <v>176</v>
      </c>
      <c r="C1395" t="s">
        <v>999</v>
      </c>
      <c r="D1395" t="s">
        <v>4516</v>
      </c>
      <c r="E1395" t="s">
        <v>998</v>
      </c>
      <c r="F1395" t="s">
        <v>4517</v>
      </c>
      <c r="G1395" t="s">
        <v>24</v>
      </c>
      <c r="H1395" t="s">
        <v>26</v>
      </c>
      <c r="I1395" t="s">
        <v>3167</v>
      </c>
      <c r="J1395" t="s">
        <v>1003</v>
      </c>
      <c r="K1395" t="s">
        <v>3175</v>
      </c>
      <c r="L1395" t="s">
        <v>1003</v>
      </c>
      <c r="M1395" t="s">
        <v>1000</v>
      </c>
      <c r="N1395" t="s">
        <v>1001</v>
      </c>
      <c r="O1395" t="s">
        <v>1001</v>
      </c>
      <c r="P1395" t="s">
        <v>1746</v>
      </c>
      <c r="Q1395" t="s">
        <v>3771</v>
      </c>
      <c r="R1395" t="s">
        <v>446</v>
      </c>
      <c r="S1395" t="s">
        <v>446</v>
      </c>
      <c r="T1395" t="s">
        <v>1965</v>
      </c>
      <c r="U1395" t="b">
        <v>0</v>
      </c>
      <c r="V1395" t="s">
        <v>446</v>
      </c>
    </row>
    <row r="1396" spans="1:22" x14ac:dyDescent="0.25">
      <c r="A1396" t="s">
        <v>42</v>
      </c>
      <c r="B1396">
        <v>176</v>
      </c>
      <c r="C1396" t="s">
        <v>1005</v>
      </c>
      <c r="D1396" t="s">
        <v>4518</v>
      </c>
      <c r="E1396" t="s">
        <v>982</v>
      </c>
      <c r="F1396" t="s">
        <v>4517</v>
      </c>
      <c r="G1396" t="s">
        <v>24</v>
      </c>
      <c r="H1396" t="s">
        <v>26</v>
      </c>
      <c r="I1396" t="s">
        <v>3167</v>
      </c>
      <c r="J1396" t="s">
        <v>1003</v>
      </c>
      <c r="K1396" t="s">
        <v>3175</v>
      </c>
      <c r="L1396" t="s">
        <v>1003</v>
      </c>
      <c r="M1396" t="s">
        <v>1000</v>
      </c>
      <c r="N1396" t="s">
        <v>1001</v>
      </c>
      <c r="O1396" t="s">
        <v>1001</v>
      </c>
      <c r="P1396" t="s">
        <v>1746</v>
      </c>
      <c r="Q1396" t="s">
        <v>3771</v>
      </c>
      <c r="R1396" t="s">
        <v>446</v>
      </c>
      <c r="S1396" t="s">
        <v>446</v>
      </c>
      <c r="T1396" t="s">
        <v>1965</v>
      </c>
      <c r="U1396" t="b">
        <v>0</v>
      </c>
      <c r="V1396" t="s">
        <v>446</v>
      </c>
    </row>
    <row r="1397" spans="1:22" x14ac:dyDescent="0.25">
      <c r="A1397" t="s">
        <v>42</v>
      </c>
      <c r="B1397">
        <v>176</v>
      </c>
      <c r="C1397" t="s">
        <v>1007</v>
      </c>
      <c r="D1397" t="s">
        <v>4519</v>
      </c>
      <c r="E1397" t="s">
        <v>1006</v>
      </c>
      <c r="F1397" t="s">
        <v>4520</v>
      </c>
      <c r="G1397" t="s">
        <v>24</v>
      </c>
      <c r="H1397" t="s">
        <v>26</v>
      </c>
      <c r="I1397" t="s">
        <v>3167</v>
      </c>
      <c r="J1397" t="s">
        <v>1011</v>
      </c>
      <c r="K1397" t="s">
        <v>3179</v>
      </c>
      <c r="L1397" t="s">
        <v>1011</v>
      </c>
      <c r="M1397" t="s">
        <v>1008</v>
      </c>
      <c r="N1397" t="s">
        <v>1009</v>
      </c>
      <c r="O1397" t="s">
        <v>1009</v>
      </c>
      <c r="P1397" t="s">
        <v>1746</v>
      </c>
      <c r="Q1397" t="s">
        <v>3771</v>
      </c>
      <c r="R1397" t="s">
        <v>446</v>
      </c>
      <c r="S1397" t="s">
        <v>446</v>
      </c>
      <c r="T1397" t="s">
        <v>1965</v>
      </c>
      <c r="U1397" t="b">
        <v>0</v>
      </c>
      <c r="V1397" t="s">
        <v>446</v>
      </c>
    </row>
    <row r="1398" spans="1:22" x14ac:dyDescent="0.25">
      <c r="A1398" t="s">
        <v>42</v>
      </c>
      <c r="B1398">
        <v>176</v>
      </c>
      <c r="C1398" t="s">
        <v>1014</v>
      </c>
      <c r="D1398" t="s">
        <v>4521</v>
      </c>
      <c r="E1398" t="s">
        <v>1013</v>
      </c>
      <c r="F1398" t="s">
        <v>4522</v>
      </c>
      <c r="G1398" t="s">
        <v>24</v>
      </c>
      <c r="H1398" t="s">
        <v>26</v>
      </c>
      <c r="I1398" t="s">
        <v>3167</v>
      </c>
      <c r="J1398" t="s">
        <v>1016</v>
      </c>
      <c r="K1398" t="s">
        <v>3181</v>
      </c>
      <c r="L1398" t="s">
        <v>1016</v>
      </c>
      <c r="M1398" t="s">
        <v>980</v>
      </c>
      <c r="N1398" t="s">
        <v>1015</v>
      </c>
      <c r="O1398" t="s">
        <v>1015</v>
      </c>
      <c r="P1398" t="s">
        <v>1746</v>
      </c>
      <c r="Q1398" t="s">
        <v>3771</v>
      </c>
      <c r="R1398" t="s">
        <v>446</v>
      </c>
      <c r="S1398" t="s">
        <v>446</v>
      </c>
      <c r="T1398" t="s">
        <v>1965</v>
      </c>
      <c r="U1398" t="b">
        <v>0</v>
      </c>
      <c r="V1398" t="s">
        <v>446</v>
      </c>
    </row>
    <row r="1399" spans="1:22" x14ac:dyDescent="0.25">
      <c r="A1399" t="s">
        <v>42</v>
      </c>
      <c r="B1399">
        <v>176</v>
      </c>
      <c r="C1399" t="s">
        <v>1019</v>
      </c>
      <c r="D1399" t="s">
        <v>4523</v>
      </c>
      <c r="E1399" t="s">
        <v>1018</v>
      </c>
      <c r="F1399" t="s">
        <v>4524</v>
      </c>
      <c r="G1399" t="s">
        <v>24</v>
      </c>
      <c r="H1399" t="s">
        <v>26</v>
      </c>
      <c r="I1399" t="s">
        <v>3167</v>
      </c>
      <c r="J1399" t="s">
        <v>1021</v>
      </c>
      <c r="K1399" t="s">
        <v>3183</v>
      </c>
      <c r="L1399" t="s">
        <v>1021</v>
      </c>
      <c r="M1399" t="s">
        <v>980</v>
      </c>
      <c r="N1399" t="s">
        <v>1020</v>
      </c>
      <c r="O1399" t="s">
        <v>1020</v>
      </c>
      <c r="P1399" t="s">
        <v>1746</v>
      </c>
      <c r="Q1399" t="s">
        <v>3771</v>
      </c>
      <c r="R1399" t="s">
        <v>446</v>
      </c>
      <c r="S1399" t="s">
        <v>446</v>
      </c>
      <c r="T1399" t="s">
        <v>1965</v>
      </c>
      <c r="U1399" t="b">
        <v>0</v>
      </c>
      <c r="V1399" t="s">
        <v>446</v>
      </c>
    </row>
    <row r="1400" spans="1:22" x14ac:dyDescent="0.25">
      <c r="A1400" t="s">
        <v>42</v>
      </c>
      <c r="B1400">
        <v>176</v>
      </c>
      <c r="C1400" t="s">
        <v>1024</v>
      </c>
      <c r="D1400" t="s">
        <v>4525</v>
      </c>
      <c r="E1400" t="s">
        <v>1023</v>
      </c>
      <c r="F1400" t="s">
        <v>4526</v>
      </c>
      <c r="G1400" t="s">
        <v>24</v>
      </c>
      <c r="H1400" t="s">
        <v>26</v>
      </c>
      <c r="I1400" t="s">
        <v>3167</v>
      </c>
      <c r="J1400" t="s">
        <v>1026</v>
      </c>
      <c r="K1400" t="s">
        <v>3185</v>
      </c>
      <c r="L1400" t="s">
        <v>1026</v>
      </c>
      <c r="M1400" t="s">
        <v>1000</v>
      </c>
      <c r="N1400" t="s">
        <v>1025</v>
      </c>
      <c r="O1400" t="s">
        <v>1025</v>
      </c>
      <c r="P1400" t="s">
        <v>1746</v>
      </c>
      <c r="Q1400" t="s">
        <v>3771</v>
      </c>
      <c r="R1400" t="s">
        <v>446</v>
      </c>
      <c r="S1400" t="s">
        <v>446</v>
      </c>
      <c r="T1400" t="s">
        <v>1965</v>
      </c>
      <c r="U1400" t="b">
        <v>0</v>
      </c>
      <c r="V1400" t="s">
        <v>446</v>
      </c>
    </row>
    <row r="1401" spans="1:22" x14ac:dyDescent="0.25">
      <c r="A1401" t="s">
        <v>42</v>
      </c>
      <c r="B1401">
        <v>176</v>
      </c>
      <c r="C1401" t="s">
        <v>1028</v>
      </c>
      <c r="D1401" t="s">
        <v>4527</v>
      </c>
      <c r="E1401" t="s">
        <v>1010</v>
      </c>
      <c r="F1401" t="s">
        <v>4526</v>
      </c>
      <c r="G1401" t="s">
        <v>24</v>
      </c>
      <c r="H1401" t="s">
        <v>26</v>
      </c>
      <c r="I1401" t="s">
        <v>3167</v>
      </c>
      <c r="J1401" t="s">
        <v>1026</v>
      </c>
      <c r="K1401" t="s">
        <v>3185</v>
      </c>
      <c r="L1401" t="s">
        <v>1026</v>
      </c>
      <c r="M1401" t="s">
        <v>1000</v>
      </c>
      <c r="N1401" t="s">
        <v>1025</v>
      </c>
      <c r="O1401" t="s">
        <v>1025</v>
      </c>
      <c r="P1401" t="s">
        <v>1746</v>
      </c>
      <c r="Q1401" t="s">
        <v>3771</v>
      </c>
      <c r="R1401" t="s">
        <v>446</v>
      </c>
      <c r="S1401" t="s">
        <v>446</v>
      </c>
      <c r="T1401" t="s">
        <v>1965</v>
      </c>
      <c r="U1401" t="b">
        <v>0</v>
      </c>
      <c r="V1401" t="s">
        <v>446</v>
      </c>
    </row>
    <row r="1402" spans="1:22" x14ac:dyDescent="0.25">
      <c r="A1402" t="s">
        <v>42</v>
      </c>
      <c r="B1402">
        <v>176</v>
      </c>
      <c r="C1402" t="s">
        <v>1030</v>
      </c>
      <c r="D1402" t="s">
        <v>4528</v>
      </c>
      <c r="E1402" t="s">
        <v>1029</v>
      </c>
      <c r="F1402" t="s">
        <v>4529</v>
      </c>
      <c r="G1402" t="s">
        <v>24</v>
      </c>
      <c r="H1402" t="s">
        <v>26</v>
      </c>
      <c r="I1402" t="s">
        <v>3167</v>
      </c>
      <c r="J1402" t="s">
        <v>1033</v>
      </c>
      <c r="K1402" t="s">
        <v>3189</v>
      </c>
      <c r="L1402" t="s">
        <v>1033</v>
      </c>
      <c r="M1402" t="s">
        <v>980</v>
      </c>
      <c r="N1402" t="s">
        <v>1031</v>
      </c>
      <c r="O1402" t="s">
        <v>1031</v>
      </c>
      <c r="P1402" t="s">
        <v>1746</v>
      </c>
      <c r="Q1402" t="s">
        <v>3771</v>
      </c>
      <c r="R1402" t="s">
        <v>446</v>
      </c>
      <c r="S1402" t="s">
        <v>446</v>
      </c>
      <c r="T1402" t="s">
        <v>1965</v>
      </c>
      <c r="U1402" t="b">
        <v>0</v>
      </c>
      <c r="V1402" t="s">
        <v>446</v>
      </c>
    </row>
    <row r="1403" spans="1:22" x14ac:dyDescent="0.25">
      <c r="A1403" t="s">
        <v>42</v>
      </c>
      <c r="B1403">
        <v>176</v>
      </c>
      <c r="C1403" t="s">
        <v>1036</v>
      </c>
      <c r="D1403" t="s">
        <v>4530</v>
      </c>
      <c r="E1403" t="s">
        <v>1035</v>
      </c>
      <c r="F1403" t="s">
        <v>4531</v>
      </c>
      <c r="G1403" t="s">
        <v>24</v>
      </c>
      <c r="H1403" t="s">
        <v>26</v>
      </c>
      <c r="I1403" t="s">
        <v>3167</v>
      </c>
      <c r="J1403" t="s">
        <v>1038</v>
      </c>
      <c r="K1403" t="s">
        <v>3191</v>
      </c>
      <c r="L1403" t="s">
        <v>1038</v>
      </c>
      <c r="M1403" t="s">
        <v>980</v>
      </c>
      <c r="N1403" t="s">
        <v>1037</v>
      </c>
      <c r="O1403" t="s">
        <v>1037</v>
      </c>
      <c r="P1403" t="s">
        <v>1746</v>
      </c>
      <c r="Q1403" t="s">
        <v>3771</v>
      </c>
      <c r="R1403" t="s">
        <v>446</v>
      </c>
      <c r="S1403" t="s">
        <v>446</v>
      </c>
      <c r="T1403" t="s">
        <v>1965</v>
      </c>
      <c r="U1403" t="b">
        <v>0</v>
      </c>
      <c r="V1403" t="s">
        <v>446</v>
      </c>
    </row>
    <row r="1404" spans="1:22" x14ac:dyDescent="0.25">
      <c r="A1404" t="s">
        <v>42</v>
      </c>
      <c r="B1404">
        <v>176</v>
      </c>
      <c r="C1404" t="s">
        <v>1041</v>
      </c>
      <c r="D1404" t="s">
        <v>4532</v>
      </c>
      <c r="E1404" t="s">
        <v>1040</v>
      </c>
      <c r="F1404" t="s">
        <v>4533</v>
      </c>
      <c r="G1404" t="s">
        <v>24</v>
      </c>
      <c r="H1404" t="s">
        <v>26</v>
      </c>
      <c r="I1404" t="s">
        <v>3167</v>
      </c>
      <c r="J1404" t="s">
        <v>1043</v>
      </c>
      <c r="K1404" t="s">
        <v>3193</v>
      </c>
      <c r="L1404" t="s">
        <v>1043</v>
      </c>
      <c r="M1404" t="s">
        <v>980</v>
      </c>
      <c r="N1404" t="s">
        <v>1042</v>
      </c>
      <c r="O1404" t="s">
        <v>1042</v>
      </c>
      <c r="P1404" t="s">
        <v>1746</v>
      </c>
      <c r="Q1404" t="s">
        <v>3771</v>
      </c>
      <c r="R1404" t="s">
        <v>446</v>
      </c>
      <c r="S1404" t="s">
        <v>446</v>
      </c>
      <c r="T1404" t="s">
        <v>1965</v>
      </c>
      <c r="U1404" t="b">
        <v>0</v>
      </c>
      <c r="V1404" t="s">
        <v>446</v>
      </c>
    </row>
    <row r="1405" spans="1:22" x14ac:dyDescent="0.25">
      <c r="A1405" t="s">
        <v>42</v>
      </c>
      <c r="B1405">
        <v>176</v>
      </c>
      <c r="C1405" t="s">
        <v>1046</v>
      </c>
      <c r="D1405" t="s">
        <v>4534</v>
      </c>
      <c r="E1405" t="s">
        <v>1045</v>
      </c>
      <c r="F1405" t="s">
        <v>4535</v>
      </c>
      <c r="G1405" t="s">
        <v>24</v>
      </c>
      <c r="H1405" t="s">
        <v>26</v>
      </c>
      <c r="I1405" t="s">
        <v>3167</v>
      </c>
      <c r="J1405" t="s">
        <v>1048</v>
      </c>
      <c r="K1405" t="s">
        <v>3195</v>
      </c>
      <c r="L1405" t="s">
        <v>1048</v>
      </c>
      <c r="M1405" t="s">
        <v>1000</v>
      </c>
      <c r="N1405" t="s">
        <v>1047</v>
      </c>
      <c r="O1405" t="s">
        <v>1047</v>
      </c>
      <c r="P1405" t="s">
        <v>1746</v>
      </c>
      <c r="Q1405" t="s">
        <v>3771</v>
      </c>
      <c r="R1405" t="s">
        <v>446</v>
      </c>
      <c r="S1405" t="s">
        <v>446</v>
      </c>
      <c r="T1405" t="s">
        <v>1965</v>
      </c>
      <c r="U1405" t="b">
        <v>0</v>
      </c>
      <c r="V1405" t="s">
        <v>446</v>
      </c>
    </row>
    <row r="1406" spans="1:22" x14ac:dyDescent="0.25">
      <c r="A1406" t="s">
        <v>42</v>
      </c>
      <c r="B1406">
        <v>176</v>
      </c>
      <c r="C1406" t="s">
        <v>1050</v>
      </c>
      <c r="D1406" t="s">
        <v>4536</v>
      </c>
      <c r="E1406" t="s">
        <v>1032</v>
      </c>
      <c r="F1406" t="s">
        <v>4535</v>
      </c>
      <c r="G1406" t="s">
        <v>24</v>
      </c>
      <c r="H1406" t="s">
        <v>26</v>
      </c>
      <c r="I1406" t="s">
        <v>3167</v>
      </c>
      <c r="J1406" t="s">
        <v>1048</v>
      </c>
      <c r="K1406" t="s">
        <v>3195</v>
      </c>
      <c r="L1406" t="s">
        <v>1048</v>
      </c>
      <c r="M1406" t="s">
        <v>1000</v>
      </c>
      <c r="N1406" t="s">
        <v>1047</v>
      </c>
      <c r="O1406" t="s">
        <v>1047</v>
      </c>
      <c r="P1406" t="s">
        <v>1746</v>
      </c>
      <c r="Q1406" t="s">
        <v>3771</v>
      </c>
      <c r="R1406" t="s">
        <v>446</v>
      </c>
      <c r="S1406" t="s">
        <v>446</v>
      </c>
      <c r="T1406" t="s">
        <v>1965</v>
      </c>
      <c r="U1406" t="b">
        <v>0</v>
      </c>
      <c r="V1406" t="s">
        <v>446</v>
      </c>
    </row>
    <row r="1407" spans="1:22" x14ac:dyDescent="0.25">
      <c r="A1407" t="s">
        <v>42</v>
      </c>
      <c r="B1407">
        <v>176</v>
      </c>
      <c r="C1407" t="s">
        <v>1052</v>
      </c>
      <c r="D1407" t="s">
        <v>4537</v>
      </c>
      <c r="E1407" t="s">
        <v>1051</v>
      </c>
      <c r="F1407" t="s">
        <v>4538</v>
      </c>
      <c r="G1407" t="s">
        <v>24</v>
      </c>
      <c r="H1407" t="s">
        <v>26</v>
      </c>
      <c r="I1407" t="s">
        <v>3167</v>
      </c>
      <c r="J1407" t="s">
        <v>1055</v>
      </c>
      <c r="K1407" t="s">
        <v>3199</v>
      </c>
      <c r="L1407" t="s">
        <v>1055</v>
      </c>
      <c r="M1407" t="s">
        <v>980</v>
      </c>
      <c r="N1407" t="s">
        <v>1053</v>
      </c>
      <c r="O1407" t="s">
        <v>1053</v>
      </c>
      <c r="P1407" t="s">
        <v>1746</v>
      </c>
      <c r="Q1407" t="s">
        <v>3771</v>
      </c>
      <c r="R1407" t="s">
        <v>446</v>
      </c>
      <c r="S1407" t="s">
        <v>446</v>
      </c>
      <c r="T1407" t="s">
        <v>1965</v>
      </c>
      <c r="U1407" t="b">
        <v>0</v>
      </c>
      <c r="V1407" t="s">
        <v>446</v>
      </c>
    </row>
    <row r="1408" spans="1:22" x14ac:dyDescent="0.25">
      <c r="A1408" t="s">
        <v>42</v>
      </c>
      <c r="B1408">
        <v>178</v>
      </c>
      <c r="C1408" t="s">
        <v>987</v>
      </c>
      <c r="D1408" t="s">
        <v>4539</v>
      </c>
      <c r="E1408" t="s">
        <v>986</v>
      </c>
      <c r="F1408" t="s">
        <v>3820</v>
      </c>
      <c r="G1408" t="s">
        <v>24</v>
      </c>
      <c r="H1408" t="s">
        <v>26</v>
      </c>
      <c r="I1408" t="s">
        <v>3167</v>
      </c>
      <c r="J1408" t="s">
        <v>990</v>
      </c>
      <c r="K1408" t="s">
        <v>3171</v>
      </c>
      <c r="L1408" t="s">
        <v>990</v>
      </c>
      <c r="M1408" t="s">
        <v>980</v>
      </c>
      <c r="N1408" t="s">
        <v>988</v>
      </c>
      <c r="O1408" t="s">
        <v>988</v>
      </c>
      <c r="P1408" t="s">
        <v>1746</v>
      </c>
      <c r="Q1408" t="s">
        <v>3771</v>
      </c>
      <c r="R1408" t="s">
        <v>446</v>
      </c>
      <c r="S1408" t="s">
        <v>446</v>
      </c>
      <c r="T1408" t="s">
        <v>1965</v>
      </c>
      <c r="U1408" t="b">
        <v>0</v>
      </c>
      <c r="V1408" t="s">
        <v>446</v>
      </c>
    </row>
    <row r="1409" spans="1:22" x14ac:dyDescent="0.25">
      <c r="A1409" t="s">
        <v>42</v>
      </c>
      <c r="B1409">
        <v>178</v>
      </c>
      <c r="C1409" t="s">
        <v>993</v>
      </c>
      <c r="D1409" t="s">
        <v>4540</v>
      </c>
      <c r="E1409" t="s">
        <v>992</v>
      </c>
      <c r="F1409" t="s">
        <v>3822</v>
      </c>
      <c r="G1409" t="s">
        <v>24</v>
      </c>
      <c r="H1409" t="s">
        <v>26</v>
      </c>
      <c r="I1409" t="s">
        <v>3167</v>
      </c>
      <c r="J1409" t="s">
        <v>996</v>
      </c>
      <c r="K1409" t="s">
        <v>3173</v>
      </c>
      <c r="L1409" t="s">
        <v>996</v>
      </c>
      <c r="M1409" t="s">
        <v>980</v>
      </c>
      <c r="N1409" t="s">
        <v>994</v>
      </c>
      <c r="O1409" t="s">
        <v>994</v>
      </c>
      <c r="P1409" t="s">
        <v>1746</v>
      </c>
      <c r="Q1409" t="s">
        <v>3771</v>
      </c>
      <c r="R1409" t="s">
        <v>446</v>
      </c>
      <c r="S1409" t="s">
        <v>446</v>
      </c>
      <c r="T1409" t="s">
        <v>1965</v>
      </c>
      <c r="U1409" t="b">
        <v>0</v>
      </c>
      <c r="V1409" t="s">
        <v>446</v>
      </c>
    </row>
    <row r="1410" spans="1:22" x14ac:dyDescent="0.25">
      <c r="A1410" t="s">
        <v>42</v>
      </c>
      <c r="B1410">
        <v>178</v>
      </c>
      <c r="C1410" t="s">
        <v>999</v>
      </c>
      <c r="D1410" t="s">
        <v>4541</v>
      </c>
      <c r="E1410" t="s">
        <v>998</v>
      </c>
      <c r="F1410" t="s">
        <v>3824</v>
      </c>
      <c r="G1410" t="s">
        <v>24</v>
      </c>
      <c r="H1410" t="s">
        <v>26</v>
      </c>
      <c r="I1410" t="s">
        <v>3167</v>
      </c>
      <c r="J1410" t="s">
        <v>1003</v>
      </c>
      <c r="K1410" t="s">
        <v>3175</v>
      </c>
      <c r="L1410" t="s">
        <v>1003</v>
      </c>
      <c r="M1410" t="s">
        <v>1000</v>
      </c>
      <c r="N1410" t="s">
        <v>1001</v>
      </c>
      <c r="O1410" t="s">
        <v>1001</v>
      </c>
      <c r="P1410" t="s">
        <v>1746</v>
      </c>
      <c r="Q1410" t="s">
        <v>3771</v>
      </c>
      <c r="R1410" t="s">
        <v>446</v>
      </c>
      <c r="S1410" t="s">
        <v>446</v>
      </c>
      <c r="T1410" t="s">
        <v>1965</v>
      </c>
      <c r="U1410" t="b">
        <v>0</v>
      </c>
      <c r="V1410" t="s">
        <v>446</v>
      </c>
    </row>
    <row r="1411" spans="1:22" x14ac:dyDescent="0.25">
      <c r="A1411" t="s">
        <v>42</v>
      </c>
      <c r="B1411">
        <v>178</v>
      </c>
      <c r="C1411" t="s">
        <v>1007</v>
      </c>
      <c r="D1411" t="s">
        <v>4542</v>
      </c>
      <c r="E1411" t="s">
        <v>1006</v>
      </c>
      <c r="F1411" t="s">
        <v>3828</v>
      </c>
      <c r="G1411" t="s">
        <v>24</v>
      </c>
      <c r="H1411" t="s">
        <v>26</v>
      </c>
      <c r="I1411" t="s">
        <v>3167</v>
      </c>
      <c r="J1411" t="s">
        <v>1011</v>
      </c>
      <c r="K1411" t="s">
        <v>3179</v>
      </c>
      <c r="L1411" t="s">
        <v>1011</v>
      </c>
      <c r="M1411" t="s">
        <v>1008</v>
      </c>
      <c r="N1411" t="s">
        <v>1009</v>
      </c>
      <c r="O1411" t="s">
        <v>1009</v>
      </c>
      <c r="P1411" t="s">
        <v>1746</v>
      </c>
      <c r="Q1411" t="s">
        <v>3771</v>
      </c>
      <c r="R1411" t="s">
        <v>446</v>
      </c>
      <c r="S1411" t="s">
        <v>446</v>
      </c>
      <c r="T1411" t="s">
        <v>1965</v>
      </c>
      <c r="U1411" t="b">
        <v>0</v>
      </c>
      <c r="V1411" t="s">
        <v>446</v>
      </c>
    </row>
    <row r="1412" spans="1:22" x14ac:dyDescent="0.25">
      <c r="A1412" t="s">
        <v>42</v>
      </c>
      <c r="B1412">
        <v>178</v>
      </c>
      <c r="C1412" t="s">
        <v>1014</v>
      </c>
      <c r="D1412" t="s">
        <v>4543</v>
      </c>
      <c r="E1412" t="s">
        <v>1013</v>
      </c>
      <c r="F1412" t="s">
        <v>3830</v>
      </c>
      <c r="G1412" t="s">
        <v>24</v>
      </c>
      <c r="H1412" t="s">
        <v>26</v>
      </c>
      <c r="I1412" t="s">
        <v>3167</v>
      </c>
      <c r="J1412" t="s">
        <v>1016</v>
      </c>
      <c r="K1412" t="s">
        <v>3181</v>
      </c>
      <c r="L1412" t="s">
        <v>1016</v>
      </c>
      <c r="M1412" t="s">
        <v>980</v>
      </c>
      <c r="N1412" t="s">
        <v>1015</v>
      </c>
      <c r="O1412" t="s">
        <v>1015</v>
      </c>
      <c r="P1412" t="s">
        <v>1746</v>
      </c>
      <c r="Q1412" t="s">
        <v>3771</v>
      </c>
      <c r="R1412" t="s">
        <v>446</v>
      </c>
      <c r="S1412" t="s">
        <v>446</v>
      </c>
      <c r="T1412" t="s">
        <v>1965</v>
      </c>
      <c r="U1412" t="b">
        <v>0</v>
      </c>
      <c r="V1412" t="s">
        <v>446</v>
      </c>
    </row>
    <row r="1413" spans="1:22" x14ac:dyDescent="0.25">
      <c r="A1413" t="s">
        <v>42</v>
      </c>
      <c r="B1413">
        <v>178</v>
      </c>
      <c r="C1413" t="s">
        <v>1019</v>
      </c>
      <c r="D1413" t="s">
        <v>4544</v>
      </c>
      <c r="E1413" t="s">
        <v>1018</v>
      </c>
      <c r="F1413" t="s">
        <v>3832</v>
      </c>
      <c r="G1413" t="s">
        <v>24</v>
      </c>
      <c r="H1413" t="s">
        <v>26</v>
      </c>
      <c r="I1413" t="s">
        <v>3167</v>
      </c>
      <c r="J1413" t="s">
        <v>1021</v>
      </c>
      <c r="K1413" t="s">
        <v>3183</v>
      </c>
      <c r="L1413" t="s">
        <v>1021</v>
      </c>
      <c r="M1413" t="s">
        <v>980</v>
      </c>
      <c r="N1413" t="s">
        <v>1020</v>
      </c>
      <c r="O1413" t="s">
        <v>1020</v>
      </c>
      <c r="P1413" t="s">
        <v>1746</v>
      </c>
      <c r="Q1413" t="s">
        <v>3771</v>
      </c>
      <c r="R1413" t="s">
        <v>446</v>
      </c>
      <c r="S1413" t="s">
        <v>446</v>
      </c>
      <c r="T1413" t="s">
        <v>1965</v>
      </c>
      <c r="U1413" t="b">
        <v>0</v>
      </c>
      <c r="V1413" t="s">
        <v>446</v>
      </c>
    </row>
    <row r="1414" spans="1:22" x14ac:dyDescent="0.25">
      <c r="A1414" t="s">
        <v>42</v>
      </c>
      <c r="B1414">
        <v>178</v>
      </c>
      <c r="C1414" t="s">
        <v>1024</v>
      </c>
      <c r="D1414" t="s">
        <v>4545</v>
      </c>
      <c r="E1414" t="s">
        <v>1023</v>
      </c>
      <c r="F1414" t="s">
        <v>3834</v>
      </c>
      <c r="G1414" t="s">
        <v>24</v>
      </c>
      <c r="H1414" t="s">
        <v>26</v>
      </c>
      <c r="I1414" t="s">
        <v>3167</v>
      </c>
      <c r="J1414" t="s">
        <v>1026</v>
      </c>
      <c r="K1414" t="s">
        <v>3185</v>
      </c>
      <c r="L1414" t="s">
        <v>1026</v>
      </c>
      <c r="M1414" t="s">
        <v>1000</v>
      </c>
      <c r="N1414" t="s">
        <v>1025</v>
      </c>
      <c r="O1414" t="s">
        <v>1025</v>
      </c>
      <c r="P1414" t="s">
        <v>1746</v>
      </c>
      <c r="Q1414" t="s">
        <v>3771</v>
      </c>
      <c r="R1414" t="s">
        <v>446</v>
      </c>
      <c r="S1414" t="s">
        <v>446</v>
      </c>
      <c r="T1414" t="s">
        <v>1965</v>
      </c>
      <c r="U1414" t="b">
        <v>0</v>
      </c>
      <c r="V1414" t="s">
        <v>446</v>
      </c>
    </row>
    <row r="1415" spans="1:22" x14ac:dyDescent="0.25">
      <c r="A1415" t="s">
        <v>42</v>
      </c>
      <c r="B1415">
        <v>178</v>
      </c>
      <c r="C1415" t="s">
        <v>1028</v>
      </c>
      <c r="D1415" t="s">
        <v>4546</v>
      </c>
      <c r="E1415" t="s">
        <v>1010</v>
      </c>
      <c r="F1415" t="s">
        <v>3836</v>
      </c>
      <c r="G1415" t="s">
        <v>24</v>
      </c>
      <c r="H1415" t="s">
        <v>26</v>
      </c>
      <c r="I1415" t="s">
        <v>3167</v>
      </c>
      <c r="J1415" t="s">
        <v>1026</v>
      </c>
      <c r="K1415" t="s">
        <v>3185</v>
      </c>
      <c r="L1415" t="s">
        <v>1026</v>
      </c>
      <c r="M1415" t="s">
        <v>1000</v>
      </c>
      <c r="N1415" t="s">
        <v>1025</v>
      </c>
      <c r="O1415" t="s">
        <v>1025</v>
      </c>
      <c r="P1415" t="s">
        <v>1746</v>
      </c>
      <c r="Q1415" t="s">
        <v>3771</v>
      </c>
      <c r="R1415" t="s">
        <v>446</v>
      </c>
      <c r="S1415" t="s">
        <v>446</v>
      </c>
      <c r="T1415" t="s">
        <v>1965</v>
      </c>
      <c r="U1415" t="b">
        <v>0</v>
      </c>
      <c r="V1415" t="s">
        <v>446</v>
      </c>
    </row>
    <row r="1416" spans="1:22" x14ac:dyDescent="0.25">
      <c r="A1416" t="s">
        <v>42</v>
      </c>
      <c r="B1416">
        <v>178</v>
      </c>
      <c r="C1416" t="s">
        <v>1030</v>
      </c>
      <c r="D1416" t="s">
        <v>4547</v>
      </c>
      <c r="E1416" t="s">
        <v>1029</v>
      </c>
      <c r="F1416" t="s">
        <v>3838</v>
      </c>
      <c r="G1416" t="s">
        <v>24</v>
      </c>
      <c r="H1416" t="s">
        <v>26</v>
      </c>
      <c r="I1416" t="s">
        <v>3167</v>
      </c>
      <c r="J1416" t="s">
        <v>1033</v>
      </c>
      <c r="K1416" t="s">
        <v>3189</v>
      </c>
      <c r="L1416" t="s">
        <v>1033</v>
      </c>
      <c r="M1416" t="s">
        <v>980</v>
      </c>
      <c r="N1416" t="s">
        <v>1031</v>
      </c>
      <c r="O1416" t="s">
        <v>1031</v>
      </c>
      <c r="P1416" t="s">
        <v>1746</v>
      </c>
      <c r="Q1416" t="s">
        <v>3771</v>
      </c>
      <c r="R1416" t="s">
        <v>446</v>
      </c>
      <c r="S1416" t="s">
        <v>446</v>
      </c>
      <c r="T1416" t="s">
        <v>1965</v>
      </c>
      <c r="U1416" t="b">
        <v>0</v>
      </c>
      <c r="V1416" t="s">
        <v>446</v>
      </c>
    </row>
    <row r="1417" spans="1:22" x14ac:dyDescent="0.25">
      <c r="A1417" t="s">
        <v>42</v>
      </c>
      <c r="B1417">
        <v>178</v>
      </c>
      <c r="C1417" t="s">
        <v>1036</v>
      </c>
      <c r="D1417" t="s">
        <v>4548</v>
      </c>
      <c r="E1417" t="s">
        <v>1035</v>
      </c>
      <c r="F1417" t="s">
        <v>3840</v>
      </c>
      <c r="G1417" t="s">
        <v>24</v>
      </c>
      <c r="H1417" t="s">
        <v>26</v>
      </c>
      <c r="I1417" t="s">
        <v>3167</v>
      </c>
      <c r="J1417" t="s">
        <v>1038</v>
      </c>
      <c r="K1417" t="s">
        <v>3191</v>
      </c>
      <c r="L1417" t="s">
        <v>1038</v>
      </c>
      <c r="M1417" t="s">
        <v>980</v>
      </c>
      <c r="N1417" t="s">
        <v>1037</v>
      </c>
      <c r="O1417" t="s">
        <v>1037</v>
      </c>
      <c r="P1417" t="s">
        <v>1746</v>
      </c>
      <c r="Q1417" t="s">
        <v>3771</v>
      </c>
      <c r="R1417" t="s">
        <v>446</v>
      </c>
      <c r="S1417" t="s">
        <v>446</v>
      </c>
      <c r="T1417" t="s">
        <v>1965</v>
      </c>
      <c r="U1417" t="b">
        <v>0</v>
      </c>
      <c r="V1417" t="s">
        <v>446</v>
      </c>
    </row>
    <row r="1418" spans="1:22" x14ac:dyDescent="0.25">
      <c r="A1418" t="s">
        <v>42</v>
      </c>
      <c r="B1418">
        <v>178</v>
      </c>
      <c r="C1418" t="s">
        <v>1041</v>
      </c>
      <c r="D1418" t="s">
        <v>4549</v>
      </c>
      <c r="E1418" t="s">
        <v>1040</v>
      </c>
      <c r="F1418" t="s">
        <v>3842</v>
      </c>
      <c r="G1418" t="s">
        <v>24</v>
      </c>
      <c r="H1418" t="s">
        <v>26</v>
      </c>
      <c r="I1418" t="s">
        <v>3167</v>
      </c>
      <c r="J1418" t="s">
        <v>1043</v>
      </c>
      <c r="K1418" t="s">
        <v>3193</v>
      </c>
      <c r="L1418" t="s">
        <v>1043</v>
      </c>
      <c r="M1418" t="s">
        <v>980</v>
      </c>
      <c r="N1418" t="s">
        <v>1042</v>
      </c>
      <c r="O1418" t="s">
        <v>1042</v>
      </c>
      <c r="P1418" t="s">
        <v>1746</v>
      </c>
      <c r="Q1418" t="s">
        <v>3771</v>
      </c>
      <c r="R1418" t="s">
        <v>446</v>
      </c>
      <c r="S1418" t="s">
        <v>446</v>
      </c>
      <c r="T1418" t="s">
        <v>1965</v>
      </c>
      <c r="U1418" t="b">
        <v>0</v>
      </c>
      <c r="V1418" t="s">
        <v>446</v>
      </c>
    </row>
    <row r="1419" spans="1:22" x14ac:dyDescent="0.25">
      <c r="A1419" t="s">
        <v>42</v>
      </c>
      <c r="B1419">
        <v>178</v>
      </c>
      <c r="C1419" t="s">
        <v>1046</v>
      </c>
      <c r="D1419" t="s">
        <v>4550</v>
      </c>
      <c r="E1419" t="s">
        <v>1045</v>
      </c>
      <c r="F1419" t="s">
        <v>3844</v>
      </c>
      <c r="G1419" t="s">
        <v>24</v>
      </c>
      <c r="H1419" t="s">
        <v>26</v>
      </c>
      <c r="I1419" t="s">
        <v>3167</v>
      </c>
      <c r="J1419" t="s">
        <v>1048</v>
      </c>
      <c r="K1419" t="s">
        <v>3195</v>
      </c>
      <c r="L1419" t="s">
        <v>1048</v>
      </c>
      <c r="M1419" t="s">
        <v>1000</v>
      </c>
      <c r="N1419" t="s">
        <v>1047</v>
      </c>
      <c r="O1419" t="s">
        <v>1047</v>
      </c>
      <c r="P1419" t="s">
        <v>1746</v>
      </c>
      <c r="Q1419" t="s">
        <v>3771</v>
      </c>
      <c r="R1419" t="s">
        <v>446</v>
      </c>
      <c r="S1419" t="s">
        <v>446</v>
      </c>
      <c r="T1419" t="s">
        <v>1965</v>
      </c>
      <c r="U1419" t="b">
        <v>0</v>
      </c>
      <c r="V1419" t="s">
        <v>446</v>
      </c>
    </row>
    <row r="1420" spans="1:22" x14ac:dyDescent="0.25">
      <c r="A1420" t="s">
        <v>42</v>
      </c>
      <c r="B1420">
        <v>178</v>
      </c>
      <c r="C1420" t="s">
        <v>1050</v>
      </c>
      <c r="D1420" t="s">
        <v>4551</v>
      </c>
      <c r="E1420" t="s">
        <v>1032</v>
      </c>
      <c r="F1420" t="s">
        <v>3846</v>
      </c>
      <c r="G1420" t="s">
        <v>24</v>
      </c>
      <c r="H1420" t="s">
        <v>26</v>
      </c>
      <c r="I1420" t="s">
        <v>3167</v>
      </c>
      <c r="J1420" t="s">
        <v>1048</v>
      </c>
      <c r="K1420" t="s">
        <v>3195</v>
      </c>
      <c r="L1420" t="s">
        <v>1048</v>
      </c>
      <c r="M1420" t="s">
        <v>1000</v>
      </c>
      <c r="N1420" t="s">
        <v>1047</v>
      </c>
      <c r="O1420" t="s">
        <v>1047</v>
      </c>
      <c r="P1420" t="s">
        <v>1746</v>
      </c>
      <c r="Q1420" t="s">
        <v>3771</v>
      </c>
      <c r="R1420" t="s">
        <v>446</v>
      </c>
      <c r="S1420" t="s">
        <v>446</v>
      </c>
      <c r="T1420" t="s">
        <v>1965</v>
      </c>
      <c r="U1420" t="b">
        <v>0</v>
      </c>
      <c r="V1420" t="s">
        <v>446</v>
      </c>
    </row>
    <row r="1421" spans="1:22" x14ac:dyDescent="0.25">
      <c r="A1421" t="s">
        <v>42</v>
      </c>
      <c r="B1421">
        <v>178</v>
      </c>
      <c r="C1421" t="s">
        <v>1052</v>
      </c>
      <c r="D1421" t="s">
        <v>4552</v>
      </c>
      <c r="E1421" t="s">
        <v>1051</v>
      </c>
      <c r="F1421" t="s">
        <v>3848</v>
      </c>
      <c r="G1421" t="s">
        <v>24</v>
      </c>
      <c r="H1421" t="s">
        <v>26</v>
      </c>
      <c r="I1421" t="s">
        <v>3167</v>
      </c>
      <c r="J1421" t="s">
        <v>1055</v>
      </c>
      <c r="K1421" t="s">
        <v>3199</v>
      </c>
      <c r="L1421" t="s">
        <v>1055</v>
      </c>
      <c r="M1421" t="s">
        <v>980</v>
      </c>
      <c r="N1421" t="s">
        <v>1053</v>
      </c>
      <c r="O1421" t="s">
        <v>1053</v>
      </c>
      <c r="P1421" t="s">
        <v>1746</v>
      </c>
      <c r="Q1421" t="s">
        <v>3771</v>
      </c>
      <c r="R1421" t="s">
        <v>446</v>
      </c>
      <c r="S1421" t="s">
        <v>446</v>
      </c>
      <c r="T1421" t="s">
        <v>1965</v>
      </c>
      <c r="U1421" t="b">
        <v>0</v>
      </c>
      <c r="V1421" t="s">
        <v>446</v>
      </c>
    </row>
    <row r="1422" spans="1:22" x14ac:dyDescent="0.25">
      <c r="A1422" t="s">
        <v>42</v>
      </c>
      <c r="B1422">
        <v>182</v>
      </c>
      <c r="C1422" t="s">
        <v>987</v>
      </c>
      <c r="D1422" t="s">
        <v>4553</v>
      </c>
      <c r="E1422" t="s">
        <v>986</v>
      </c>
      <c r="G1422" t="s">
        <v>24</v>
      </c>
      <c r="H1422" t="s">
        <v>26</v>
      </c>
      <c r="I1422" t="s">
        <v>3167</v>
      </c>
      <c r="J1422" t="s">
        <v>990</v>
      </c>
      <c r="K1422" t="s">
        <v>3171</v>
      </c>
      <c r="L1422" t="s">
        <v>990</v>
      </c>
      <c r="M1422" t="s">
        <v>980</v>
      </c>
      <c r="N1422" t="s">
        <v>988</v>
      </c>
      <c r="O1422" t="s">
        <v>988</v>
      </c>
      <c r="P1422" t="s">
        <v>1089</v>
      </c>
      <c r="Q1422" t="s">
        <v>3169</v>
      </c>
      <c r="R1422" t="s">
        <v>446</v>
      </c>
      <c r="S1422" t="s">
        <v>446</v>
      </c>
      <c r="T1422" t="s">
        <v>1965</v>
      </c>
      <c r="U1422" t="b">
        <v>0</v>
      </c>
      <c r="V1422" t="s">
        <v>446</v>
      </c>
    </row>
    <row r="1423" spans="1:22" x14ac:dyDescent="0.25">
      <c r="A1423" t="s">
        <v>42</v>
      </c>
      <c r="B1423">
        <v>182</v>
      </c>
      <c r="C1423" t="s">
        <v>993</v>
      </c>
      <c r="D1423" t="s">
        <v>4554</v>
      </c>
      <c r="E1423" t="s">
        <v>992</v>
      </c>
      <c r="G1423" t="s">
        <v>24</v>
      </c>
      <c r="H1423" t="s">
        <v>26</v>
      </c>
      <c r="I1423" t="s">
        <v>3167</v>
      </c>
      <c r="J1423" t="s">
        <v>996</v>
      </c>
      <c r="K1423" t="s">
        <v>3173</v>
      </c>
      <c r="L1423" t="s">
        <v>996</v>
      </c>
      <c r="M1423" t="s">
        <v>980</v>
      </c>
      <c r="N1423" t="s">
        <v>994</v>
      </c>
      <c r="O1423" t="s">
        <v>994</v>
      </c>
      <c r="P1423" t="s">
        <v>1089</v>
      </c>
      <c r="Q1423" t="s">
        <v>3169</v>
      </c>
      <c r="R1423" t="s">
        <v>446</v>
      </c>
      <c r="S1423" t="s">
        <v>446</v>
      </c>
      <c r="T1423" t="s">
        <v>1965</v>
      </c>
      <c r="U1423" t="b">
        <v>0</v>
      </c>
      <c r="V1423" t="s">
        <v>446</v>
      </c>
    </row>
    <row r="1424" spans="1:22" x14ac:dyDescent="0.25">
      <c r="A1424" t="s">
        <v>42</v>
      </c>
      <c r="B1424">
        <v>182</v>
      </c>
      <c r="C1424" t="s">
        <v>999</v>
      </c>
      <c r="D1424" t="s">
        <v>4555</v>
      </c>
      <c r="E1424" t="s">
        <v>998</v>
      </c>
      <c r="G1424" t="s">
        <v>24</v>
      </c>
      <c r="H1424" t="s">
        <v>26</v>
      </c>
      <c r="I1424" t="s">
        <v>3167</v>
      </c>
      <c r="J1424" t="s">
        <v>1003</v>
      </c>
      <c r="K1424" t="s">
        <v>3175</v>
      </c>
      <c r="L1424" t="s">
        <v>1003</v>
      </c>
      <c r="M1424" t="s">
        <v>1000</v>
      </c>
      <c r="N1424" t="s">
        <v>1001</v>
      </c>
      <c r="O1424" t="s">
        <v>1001</v>
      </c>
      <c r="P1424" t="s">
        <v>1089</v>
      </c>
      <c r="Q1424" t="s">
        <v>3169</v>
      </c>
      <c r="R1424" t="s">
        <v>446</v>
      </c>
      <c r="S1424" t="s">
        <v>446</v>
      </c>
      <c r="T1424" t="s">
        <v>1965</v>
      </c>
      <c r="U1424" t="b">
        <v>0</v>
      </c>
      <c r="V1424" t="s">
        <v>446</v>
      </c>
    </row>
    <row r="1425" spans="1:22" x14ac:dyDescent="0.25">
      <c r="A1425" t="s">
        <v>42</v>
      </c>
      <c r="B1425">
        <v>182</v>
      </c>
      <c r="C1425" t="s">
        <v>1005</v>
      </c>
      <c r="D1425" t="s">
        <v>4556</v>
      </c>
      <c r="E1425" t="s">
        <v>982</v>
      </c>
      <c r="G1425" t="s">
        <v>24</v>
      </c>
      <c r="H1425" t="s">
        <v>26</v>
      </c>
      <c r="I1425" t="s">
        <v>3167</v>
      </c>
      <c r="J1425" t="s">
        <v>1003</v>
      </c>
      <c r="K1425" t="s">
        <v>3175</v>
      </c>
      <c r="L1425" t="s">
        <v>1003</v>
      </c>
      <c r="M1425" t="s">
        <v>1000</v>
      </c>
      <c r="N1425" t="s">
        <v>1001</v>
      </c>
      <c r="O1425" t="s">
        <v>1001</v>
      </c>
      <c r="P1425" t="s">
        <v>1089</v>
      </c>
      <c r="Q1425" t="s">
        <v>3169</v>
      </c>
      <c r="R1425" t="s">
        <v>446</v>
      </c>
      <c r="S1425" t="s">
        <v>446</v>
      </c>
      <c r="T1425" t="s">
        <v>1965</v>
      </c>
      <c r="U1425" t="b">
        <v>0</v>
      </c>
      <c r="V1425" t="s">
        <v>446</v>
      </c>
    </row>
    <row r="1426" spans="1:22" x14ac:dyDescent="0.25">
      <c r="A1426" t="s">
        <v>42</v>
      </c>
      <c r="B1426">
        <v>182</v>
      </c>
      <c r="C1426" t="s">
        <v>1007</v>
      </c>
      <c r="D1426" t="s">
        <v>4557</v>
      </c>
      <c r="E1426" t="s">
        <v>1006</v>
      </c>
      <c r="G1426" t="s">
        <v>24</v>
      </c>
      <c r="H1426" t="s">
        <v>26</v>
      </c>
      <c r="I1426" t="s">
        <v>3167</v>
      </c>
      <c r="J1426" t="s">
        <v>1011</v>
      </c>
      <c r="K1426" t="s">
        <v>3179</v>
      </c>
      <c r="L1426" t="s">
        <v>1011</v>
      </c>
      <c r="M1426" t="s">
        <v>1008</v>
      </c>
      <c r="N1426" t="s">
        <v>1009</v>
      </c>
      <c r="O1426" t="s">
        <v>1009</v>
      </c>
      <c r="P1426" t="s">
        <v>1089</v>
      </c>
      <c r="Q1426" t="s">
        <v>3169</v>
      </c>
      <c r="R1426" t="s">
        <v>446</v>
      </c>
      <c r="S1426" t="s">
        <v>446</v>
      </c>
      <c r="T1426" t="s">
        <v>1965</v>
      </c>
      <c r="U1426" t="b">
        <v>0</v>
      </c>
      <c r="V1426" t="s">
        <v>446</v>
      </c>
    </row>
    <row r="1427" spans="1:22" x14ac:dyDescent="0.25">
      <c r="A1427" t="s">
        <v>42</v>
      </c>
      <c r="B1427">
        <v>182</v>
      </c>
      <c r="C1427" t="s">
        <v>1014</v>
      </c>
      <c r="D1427" t="s">
        <v>4558</v>
      </c>
      <c r="E1427" t="s">
        <v>1013</v>
      </c>
      <c r="G1427" t="s">
        <v>24</v>
      </c>
      <c r="H1427" t="s">
        <v>26</v>
      </c>
      <c r="I1427" t="s">
        <v>3167</v>
      </c>
      <c r="J1427" t="s">
        <v>1016</v>
      </c>
      <c r="K1427" t="s">
        <v>3181</v>
      </c>
      <c r="L1427" t="s">
        <v>1016</v>
      </c>
      <c r="M1427" t="s">
        <v>980</v>
      </c>
      <c r="N1427" t="s">
        <v>1015</v>
      </c>
      <c r="O1427" t="s">
        <v>1015</v>
      </c>
      <c r="P1427" t="s">
        <v>1089</v>
      </c>
      <c r="Q1427" t="s">
        <v>3169</v>
      </c>
      <c r="R1427" t="s">
        <v>446</v>
      </c>
      <c r="S1427" t="s">
        <v>446</v>
      </c>
      <c r="T1427" t="s">
        <v>1965</v>
      </c>
      <c r="U1427" t="b">
        <v>0</v>
      </c>
      <c r="V1427" t="s">
        <v>446</v>
      </c>
    </row>
    <row r="1428" spans="1:22" x14ac:dyDescent="0.25">
      <c r="A1428" t="s">
        <v>42</v>
      </c>
      <c r="B1428">
        <v>182</v>
      </c>
      <c r="C1428" t="s">
        <v>1019</v>
      </c>
      <c r="D1428" t="s">
        <v>4559</v>
      </c>
      <c r="E1428" t="s">
        <v>1018</v>
      </c>
      <c r="G1428" t="s">
        <v>24</v>
      </c>
      <c r="H1428" t="s">
        <v>26</v>
      </c>
      <c r="I1428" t="s">
        <v>3167</v>
      </c>
      <c r="J1428" t="s">
        <v>1021</v>
      </c>
      <c r="K1428" t="s">
        <v>3183</v>
      </c>
      <c r="L1428" t="s">
        <v>1021</v>
      </c>
      <c r="M1428" t="s">
        <v>980</v>
      </c>
      <c r="N1428" t="s">
        <v>1020</v>
      </c>
      <c r="O1428" t="s">
        <v>1020</v>
      </c>
      <c r="P1428" t="s">
        <v>1089</v>
      </c>
      <c r="Q1428" t="s">
        <v>3169</v>
      </c>
      <c r="R1428" t="s">
        <v>446</v>
      </c>
      <c r="S1428" t="s">
        <v>446</v>
      </c>
      <c r="T1428" t="s">
        <v>1965</v>
      </c>
      <c r="U1428" t="b">
        <v>0</v>
      </c>
      <c r="V1428" t="s">
        <v>446</v>
      </c>
    </row>
    <row r="1429" spans="1:22" x14ac:dyDescent="0.25">
      <c r="A1429" t="s">
        <v>42</v>
      </c>
      <c r="B1429">
        <v>182</v>
      </c>
      <c r="C1429" t="s">
        <v>1024</v>
      </c>
      <c r="D1429" t="s">
        <v>4560</v>
      </c>
      <c r="E1429" t="s">
        <v>1023</v>
      </c>
      <c r="G1429" t="s">
        <v>24</v>
      </c>
      <c r="H1429" t="s">
        <v>26</v>
      </c>
      <c r="I1429" t="s">
        <v>3167</v>
      </c>
      <c r="J1429" t="s">
        <v>1026</v>
      </c>
      <c r="K1429" t="s">
        <v>3185</v>
      </c>
      <c r="L1429" t="s">
        <v>1026</v>
      </c>
      <c r="M1429" t="s">
        <v>1000</v>
      </c>
      <c r="N1429" t="s">
        <v>1025</v>
      </c>
      <c r="O1429" t="s">
        <v>1025</v>
      </c>
      <c r="P1429" t="s">
        <v>1089</v>
      </c>
      <c r="Q1429" t="s">
        <v>3169</v>
      </c>
      <c r="R1429" t="s">
        <v>446</v>
      </c>
      <c r="S1429" t="s">
        <v>446</v>
      </c>
      <c r="T1429" t="s">
        <v>1965</v>
      </c>
      <c r="U1429" t="b">
        <v>0</v>
      </c>
      <c r="V1429" t="s">
        <v>446</v>
      </c>
    </row>
    <row r="1430" spans="1:22" x14ac:dyDescent="0.25">
      <c r="A1430" t="s">
        <v>42</v>
      </c>
      <c r="B1430">
        <v>182</v>
      </c>
      <c r="C1430" t="s">
        <v>1028</v>
      </c>
      <c r="D1430" t="s">
        <v>4561</v>
      </c>
      <c r="E1430" t="s">
        <v>1010</v>
      </c>
      <c r="G1430" t="s">
        <v>24</v>
      </c>
      <c r="H1430" t="s">
        <v>26</v>
      </c>
      <c r="I1430" t="s">
        <v>3167</v>
      </c>
      <c r="J1430" t="s">
        <v>1026</v>
      </c>
      <c r="K1430" t="s">
        <v>3185</v>
      </c>
      <c r="L1430" t="s">
        <v>1026</v>
      </c>
      <c r="M1430" t="s">
        <v>1000</v>
      </c>
      <c r="N1430" t="s">
        <v>1025</v>
      </c>
      <c r="O1430" t="s">
        <v>1025</v>
      </c>
      <c r="P1430" t="s">
        <v>1089</v>
      </c>
      <c r="Q1430" t="s">
        <v>3169</v>
      </c>
      <c r="R1430" t="s">
        <v>446</v>
      </c>
      <c r="S1430" t="s">
        <v>446</v>
      </c>
      <c r="T1430" t="s">
        <v>1965</v>
      </c>
      <c r="U1430" t="b">
        <v>0</v>
      </c>
      <c r="V1430" t="s">
        <v>446</v>
      </c>
    </row>
    <row r="1431" spans="1:22" x14ac:dyDescent="0.25">
      <c r="A1431" t="s">
        <v>42</v>
      </c>
      <c r="B1431">
        <v>182</v>
      </c>
      <c r="C1431" t="s">
        <v>1030</v>
      </c>
      <c r="D1431" t="s">
        <v>4562</v>
      </c>
      <c r="E1431" t="s">
        <v>1029</v>
      </c>
      <c r="G1431" t="s">
        <v>24</v>
      </c>
      <c r="H1431" t="s">
        <v>26</v>
      </c>
      <c r="I1431" t="s">
        <v>3167</v>
      </c>
      <c r="J1431" t="s">
        <v>1033</v>
      </c>
      <c r="K1431" t="s">
        <v>3189</v>
      </c>
      <c r="L1431" t="s">
        <v>1033</v>
      </c>
      <c r="M1431" t="s">
        <v>980</v>
      </c>
      <c r="N1431" t="s">
        <v>1031</v>
      </c>
      <c r="O1431" t="s">
        <v>1031</v>
      </c>
      <c r="P1431" t="s">
        <v>1089</v>
      </c>
      <c r="Q1431" t="s">
        <v>3169</v>
      </c>
      <c r="R1431" t="s">
        <v>446</v>
      </c>
      <c r="S1431" t="s">
        <v>446</v>
      </c>
      <c r="T1431" t="s">
        <v>1965</v>
      </c>
      <c r="U1431" t="b">
        <v>0</v>
      </c>
      <c r="V1431" t="s">
        <v>446</v>
      </c>
    </row>
    <row r="1432" spans="1:22" x14ac:dyDescent="0.25">
      <c r="A1432" t="s">
        <v>42</v>
      </c>
      <c r="B1432">
        <v>182</v>
      </c>
      <c r="C1432" t="s">
        <v>1036</v>
      </c>
      <c r="D1432" t="s">
        <v>4563</v>
      </c>
      <c r="E1432" t="s">
        <v>1035</v>
      </c>
      <c r="G1432" t="s">
        <v>24</v>
      </c>
      <c r="H1432" t="s">
        <v>26</v>
      </c>
      <c r="I1432" t="s">
        <v>3167</v>
      </c>
      <c r="J1432" t="s">
        <v>1038</v>
      </c>
      <c r="K1432" t="s">
        <v>3191</v>
      </c>
      <c r="L1432" t="s">
        <v>1038</v>
      </c>
      <c r="M1432" t="s">
        <v>980</v>
      </c>
      <c r="N1432" t="s">
        <v>1037</v>
      </c>
      <c r="O1432" t="s">
        <v>1037</v>
      </c>
      <c r="P1432" t="s">
        <v>1089</v>
      </c>
      <c r="Q1432" t="s">
        <v>3169</v>
      </c>
      <c r="R1432" t="s">
        <v>446</v>
      </c>
      <c r="S1432" t="s">
        <v>446</v>
      </c>
      <c r="T1432" t="s">
        <v>1965</v>
      </c>
      <c r="U1432" t="b">
        <v>0</v>
      </c>
      <c r="V1432" t="s">
        <v>446</v>
      </c>
    </row>
    <row r="1433" spans="1:22" x14ac:dyDescent="0.25">
      <c r="A1433" t="s">
        <v>42</v>
      </c>
      <c r="B1433">
        <v>182</v>
      </c>
      <c r="C1433" t="s">
        <v>1041</v>
      </c>
      <c r="D1433" t="s">
        <v>4564</v>
      </c>
      <c r="E1433" t="s">
        <v>1040</v>
      </c>
      <c r="G1433" t="s">
        <v>24</v>
      </c>
      <c r="H1433" t="s">
        <v>26</v>
      </c>
      <c r="I1433" t="s">
        <v>3167</v>
      </c>
      <c r="J1433" t="s">
        <v>1043</v>
      </c>
      <c r="K1433" t="s">
        <v>3193</v>
      </c>
      <c r="L1433" t="s">
        <v>1043</v>
      </c>
      <c r="M1433" t="s">
        <v>980</v>
      </c>
      <c r="N1433" t="s">
        <v>1042</v>
      </c>
      <c r="O1433" t="s">
        <v>1042</v>
      </c>
      <c r="P1433" t="s">
        <v>1089</v>
      </c>
      <c r="Q1433" t="s">
        <v>3169</v>
      </c>
      <c r="R1433" t="s">
        <v>446</v>
      </c>
      <c r="S1433" t="s">
        <v>446</v>
      </c>
      <c r="T1433" t="s">
        <v>1965</v>
      </c>
      <c r="U1433" t="b">
        <v>0</v>
      </c>
      <c r="V1433" t="s">
        <v>446</v>
      </c>
    </row>
    <row r="1434" spans="1:22" x14ac:dyDescent="0.25">
      <c r="A1434" t="s">
        <v>42</v>
      </c>
      <c r="B1434">
        <v>182</v>
      </c>
      <c r="C1434" t="s">
        <v>1046</v>
      </c>
      <c r="D1434" t="s">
        <v>4565</v>
      </c>
      <c r="E1434" t="s">
        <v>1045</v>
      </c>
      <c r="G1434" t="s">
        <v>24</v>
      </c>
      <c r="H1434" t="s">
        <v>26</v>
      </c>
      <c r="I1434" t="s">
        <v>3167</v>
      </c>
      <c r="J1434" t="s">
        <v>1048</v>
      </c>
      <c r="K1434" t="s">
        <v>3195</v>
      </c>
      <c r="L1434" t="s">
        <v>1048</v>
      </c>
      <c r="M1434" t="s">
        <v>1000</v>
      </c>
      <c r="N1434" t="s">
        <v>1047</v>
      </c>
      <c r="O1434" t="s">
        <v>1047</v>
      </c>
      <c r="P1434" t="s">
        <v>1089</v>
      </c>
      <c r="Q1434" t="s">
        <v>3169</v>
      </c>
      <c r="R1434" t="s">
        <v>446</v>
      </c>
      <c r="S1434" t="s">
        <v>446</v>
      </c>
      <c r="T1434" t="s">
        <v>1965</v>
      </c>
      <c r="U1434" t="b">
        <v>0</v>
      </c>
      <c r="V1434" t="s">
        <v>446</v>
      </c>
    </row>
    <row r="1435" spans="1:22" x14ac:dyDescent="0.25">
      <c r="A1435" t="s">
        <v>42</v>
      </c>
      <c r="B1435">
        <v>182</v>
      </c>
      <c r="C1435" t="s">
        <v>1050</v>
      </c>
      <c r="D1435" t="s">
        <v>4566</v>
      </c>
      <c r="E1435" t="s">
        <v>1032</v>
      </c>
      <c r="G1435" t="s">
        <v>24</v>
      </c>
      <c r="H1435" t="s">
        <v>26</v>
      </c>
      <c r="I1435" t="s">
        <v>3167</v>
      </c>
      <c r="J1435" t="s">
        <v>1048</v>
      </c>
      <c r="K1435" t="s">
        <v>3195</v>
      </c>
      <c r="L1435" t="s">
        <v>1048</v>
      </c>
      <c r="M1435" t="s">
        <v>1000</v>
      </c>
      <c r="N1435" t="s">
        <v>1047</v>
      </c>
      <c r="O1435" t="s">
        <v>1047</v>
      </c>
      <c r="P1435" t="s">
        <v>1089</v>
      </c>
      <c r="Q1435" t="s">
        <v>3169</v>
      </c>
      <c r="R1435" t="s">
        <v>446</v>
      </c>
      <c r="S1435" t="s">
        <v>446</v>
      </c>
      <c r="T1435" t="s">
        <v>1965</v>
      </c>
      <c r="U1435" t="b">
        <v>0</v>
      </c>
      <c r="V1435" t="s">
        <v>446</v>
      </c>
    </row>
    <row r="1436" spans="1:22" x14ac:dyDescent="0.25">
      <c r="A1436" t="s">
        <v>42</v>
      </c>
      <c r="B1436">
        <v>182</v>
      </c>
      <c r="C1436" t="s">
        <v>1052</v>
      </c>
      <c r="D1436" t="s">
        <v>4567</v>
      </c>
      <c r="E1436" t="s">
        <v>1051</v>
      </c>
      <c r="G1436" t="s">
        <v>24</v>
      </c>
      <c r="H1436" t="s">
        <v>26</v>
      </c>
      <c r="I1436" t="s">
        <v>3167</v>
      </c>
      <c r="J1436" t="s">
        <v>1055</v>
      </c>
      <c r="K1436" t="s">
        <v>3199</v>
      </c>
      <c r="L1436" t="s">
        <v>1055</v>
      </c>
      <c r="M1436" t="s">
        <v>980</v>
      </c>
      <c r="N1436" t="s">
        <v>1053</v>
      </c>
      <c r="O1436" t="s">
        <v>1053</v>
      </c>
      <c r="P1436" t="s">
        <v>1089</v>
      </c>
      <c r="Q1436" t="s">
        <v>3169</v>
      </c>
      <c r="R1436" t="s">
        <v>446</v>
      </c>
      <c r="S1436" t="s">
        <v>446</v>
      </c>
      <c r="T1436" t="s">
        <v>1965</v>
      </c>
      <c r="U1436" t="b">
        <v>0</v>
      </c>
      <c r="V1436" t="s">
        <v>446</v>
      </c>
    </row>
    <row r="1437" spans="1:22" x14ac:dyDescent="0.25">
      <c r="A1437" t="s">
        <v>42</v>
      </c>
      <c r="B1437">
        <v>183</v>
      </c>
      <c r="C1437" t="s">
        <v>987</v>
      </c>
      <c r="D1437" t="s">
        <v>4568</v>
      </c>
      <c r="E1437" t="s">
        <v>986</v>
      </c>
      <c r="F1437" t="s">
        <v>4569</v>
      </c>
      <c r="G1437" t="s">
        <v>24</v>
      </c>
      <c r="H1437" t="s">
        <v>26</v>
      </c>
      <c r="I1437" t="s">
        <v>3167</v>
      </c>
      <c r="J1437" t="s">
        <v>990</v>
      </c>
      <c r="K1437" t="s">
        <v>3171</v>
      </c>
      <c r="L1437" t="s">
        <v>990</v>
      </c>
      <c r="M1437" t="s">
        <v>980</v>
      </c>
      <c r="N1437" t="s">
        <v>988</v>
      </c>
      <c r="O1437" t="s">
        <v>988</v>
      </c>
      <c r="P1437" t="s">
        <v>1089</v>
      </c>
      <c r="Q1437" t="s">
        <v>3169</v>
      </c>
      <c r="R1437" t="s">
        <v>446</v>
      </c>
      <c r="S1437" t="s">
        <v>446</v>
      </c>
      <c r="T1437" t="s">
        <v>1965</v>
      </c>
      <c r="U1437" t="b">
        <v>0</v>
      </c>
      <c r="V1437" t="s">
        <v>446</v>
      </c>
    </row>
    <row r="1438" spans="1:22" x14ac:dyDescent="0.25">
      <c r="A1438" t="s">
        <v>42</v>
      </c>
      <c r="B1438">
        <v>183</v>
      </c>
      <c r="C1438" t="s">
        <v>993</v>
      </c>
      <c r="D1438" t="s">
        <v>4570</v>
      </c>
      <c r="E1438" t="s">
        <v>992</v>
      </c>
      <c r="F1438" t="s">
        <v>4571</v>
      </c>
      <c r="G1438" t="s">
        <v>24</v>
      </c>
      <c r="H1438" t="s">
        <v>26</v>
      </c>
      <c r="I1438" t="s">
        <v>3167</v>
      </c>
      <c r="J1438" t="s">
        <v>996</v>
      </c>
      <c r="K1438" t="s">
        <v>3173</v>
      </c>
      <c r="L1438" t="s">
        <v>996</v>
      </c>
      <c r="M1438" t="s">
        <v>980</v>
      </c>
      <c r="N1438" t="s">
        <v>994</v>
      </c>
      <c r="O1438" t="s">
        <v>994</v>
      </c>
      <c r="P1438" t="s">
        <v>1089</v>
      </c>
      <c r="Q1438" t="s">
        <v>3169</v>
      </c>
      <c r="R1438" t="s">
        <v>446</v>
      </c>
      <c r="S1438" t="s">
        <v>446</v>
      </c>
      <c r="T1438" t="s">
        <v>1965</v>
      </c>
      <c r="U1438" t="b">
        <v>0</v>
      </c>
      <c r="V1438" t="s">
        <v>446</v>
      </c>
    </row>
    <row r="1439" spans="1:22" x14ac:dyDescent="0.25">
      <c r="A1439" t="s">
        <v>42</v>
      </c>
      <c r="B1439">
        <v>183</v>
      </c>
      <c r="C1439" t="s">
        <v>999</v>
      </c>
      <c r="D1439" t="s">
        <v>4572</v>
      </c>
      <c r="E1439" t="s">
        <v>998</v>
      </c>
      <c r="F1439" t="s">
        <v>4573</v>
      </c>
      <c r="G1439" t="s">
        <v>24</v>
      </c>
      <c r="H1439" t="s">
        <v>26</v>
      </c>
      <c r="I1439" t="s">
        <v>3167</v>
      </c>
      <c r="J1439" t="s">
        <v>1003</v>
      </c>
      <c r="K1439" t="s">
        <v>3175</v>
      </c>
      <c r="L1439" t="s">
        <v>1003</v>
      </c>
      <c r="M1439" t="s">
        <v>1000</v>
      </c>
      <c r="N1439" t="s">
        <v>1001</v>
      </c>
      <c r="O1439" t="s">
        <v>1001</v>
      </c>
      <c r="P1439" t="s">
        <v>1089</v>
      </c>
      <c r="Q1439" t="s">
        <v>3169</v>
      </c>
      <c r="R1439" t="s">
        <v>446</v>
      </c>
      <c r="S1439" t="s">
        <v>446</v>
      </c>
      <c r="T1439" t="s">
        <v>1965</v>
      </c>
      <c r="U1439" t="b">
        <v>0</v>
      </c>
      <c r="V1439" t="s">
        <v>446</v>
      </c>
    </row>
    <row r="1440" spans="1:22" x14ac:dyDescent="0.25">
      <c r="A1440" t="s">
        <v>42</v>
      </c>
      <c r="B1440">
        <v>183</v>
      </c>
      <c r="C1440" t="s">
        <v>1005</v>
      </c>
      <c r="D1440" t="s">
        <v>4574</v>
      </c>
      <c r="E1440" t="s">
        <v>982</v>
      </c>
      <c r="F1440" t="s">
        <v>4575</v>
      </c>
      <c r="G1440" t="s">
        <v>24</v>
      </c>
      <c r="H1440" t="s">
        <v>26</v>
      </c>
      <c r="I1440" t="s">
        <v>3167</v>
      </c>
      <c r="J1440" t="s">
        <v>1003</v>
      </c>
      <c r="K1440" t="s">
        <v>3175</v>
      </c>
      <c r="L1440" t="s">
        <v>1003</v>
      </c>
      <c r="M1440" t="s">
        <v>1000</v>
      </c>
      <c r="N1440" t="s">
        <v>1001</v>
      </c>
      <c r="O1440" t="s">
        <v>1001</v>
      </c>
      <c r="P1440" t="s">
        <v>1089</v>
      </c>
      <c r="Q1440" t="s">
        <v>3169</v>
      </c>
      <c r="R1440" t="s">
        <v>446</v>
      </c>
      <c r="S1440" t="s">
        <v>446</v>
      </c>
      <c r="T1440" t="s">
        <v>1965</v>
      </c>
      <c r="U1440" t="b">
        <v>0</v>
      </c>
      <c r="V1440" t="s">
        <v>446</v>
      </c>
    </row>
    <row r="1441" spans="1:22" x14ac:dyDescent="0.25">
      <c r="A1441" t="s">
        <v>42</v>
      </c>
      <c r="B1441">
        <v>183</v>
      </c>
      <c r="C1441" t="s">
        <v>1007</v>
      </c>
      <c r="D1441" t="s">
        <v>4576</v>
      </c>
      <c r="E1441" t="s">
        <v>1006</v>
      </c>
      <c r="F1441" t="s">
        <v>4577</v>
      </c>
      <c r="G1441" t="s">
        <v>24</v>
      </c>
      <c r="H1441" t="s">
        <v>26</v>
      </c>
      <c r="I1441" t="s">
        <v>3167</v>
      </c>
      <c r="J1441" t="s">
        <v>1011</v>
      </c>
      <c r="K1441" t="s">
        <v>3179</v>
      </c>
      <c r="L1441" t="s">
        <v>1011</v>
      </c>
      <c r="M1441" t="s">
        <v>1008</v>
      </c>
      <c r="N1441" t="s">
        <v>1009</v>
      </c>
      <c r="O1441" t="s">
        <v>1009</v>
      </c>
      <c r="P1441" t="s">
        <v>1089</v>
      </c>
      <c r="Q1441" t="s">
        <v>3169</v>
      </c>
      <c r="R1441" t="s">
        <v>446</v>
      </c>
      <c r="S1441" t="s">
        <v>446</v>
      </c>
      <c r="T1441" t="s">
        <v>1965</v>
      </c>
      <c r="U1441" t="b">
        <v>0</v>
      </c>
      <c r="V1441" t="s">
        <v>446</v>
      </c>
    </row>
    <row r="1442" spans="1:22" x14ac:dyDescent="0.25">
      <c r="A1442" t="s">
        <v>42</v>
      </c>
      <c r="B1442">
        <v>183</v>
      </c>
      <c r="C1442" t="s">
        <v>1014</v>
      </c>
      <c r="D1442" t="s">
        <v>4578</v>
      </c>
      <c r="E1442" t="s">
        <v>1013</v>
      </c>
      <c r="F1442" t="s">
        <v>4579</v>
      </c>
      <c r="G1442" t="s">
        <v>24</v>
      </c>
      <c r="H1442" t="s">
        <v>26</v>
      </c>
      <c r="I1442" t="s">
        <v>3167</v>
      </c>
      <c r="J1442" t="s">
        <v>1016</v>
      </c>
      <c r="K1442" t="s">
        <v>3181</v>
      </c>
      <c r="L1442" t="s">
        <v>1016</v>
      </c>
      <c r="M1442" t="s">
        <v>980</v>
      </c>
      <c r="N1442" t="s">
        <v>1015</v>
      </c>
      <c r="O1442" t="s">
        <v>1015</v>
      </c>
      <c r="P1442" t="s">
        <v>1089</v>
      </c>
      <c r="Q1442" t="s">
        <v>3169</v>
      </c>
      <c r="R1442" t="s">
        <v>446</v>
      </c>
      <c r="S1442" t="s">
        <v>446</v>
      </c>
      <c r="T1442" t="s">
        <v>1965</v>
      </c>
      <c r="U1442" t="b">
        <v>0</v>
      </c>
      <c r="V1442" t="s">
        <v>446</v>
      </c>
    </row>
    <row r="1443" spans="1:22" x14ac:dyDescent="0.25">
      <c r="A1443" t="s">
        <v>42</v>
      </c>
      <c r="B1443">
        <v>183</v>
      </c>
      <c r="C1443" t="s">
        <v>1019</v>
      </c>
      <c r="D1443" t="s">
        <v>4580</v>
      </c>
      <c r="E1443" t="s">
        <v>1018</v>
      </c>
      <c r="F1443" t="s">
        <v>4581</v>
      </c>
      <c r="G1443" t="s">
        <v>24</v>
      </c>
      <c r="H1443" t="s">
        <v>26</v>
      </c>
      <c r="I1443" t="s">
        <v>3167</v>
      </c>
      <c r="J1443" t="s">
        <v>1021</v>
      </c>
      <c r="K1443" t="s">
        <v>3183</v>
      </c>
      <c r="L1443" t="s">
        <v>1021</v>
      </c>
      <c r="M1443" t="s">
        <v>980</v>
      </c>
      <c r="N1443" t="s">
        <v>1020</v>
      </c>
      <c r="O1443" t="s">
        <v>1020</v>
      </c>
      <c r="P1443" t="s">
        <v>1089</v>
      </c>
      <c r="Q1443" t="s">
        <v>3169</v>
      </c>
      <c r="R1443" t="s">
        <v>446</v>
      </c>
      <c r="S1443" t="s">
        <v>446</v>
      </c>
      <c r="T1443" t="s">
        <v>1965</v>
      </c>
      <c r="U1443" t="b">
        <v>0</v>
      </c>
      <c r="V1443" t="s">
        <v>446</v>
      </c>
    </row>
    <row r="1444" spans="1:22" x14ac:dyDescent="0.25">
      <c r="A1444" t="s">
        <v>42</v>
      </c>
      <c r="B1444">
        <v>183</v>
      </c>
      <c r="C1444" t="s">
        <v>1024</v>
      </c>
      <c r="D1444" t="s">
        <v>4582</v>
      </c>
      <c r="E1444" t="s">
        <v>1023</v>
      </c>
      <c r="F1444" t="s">
        <v>4583</v>
      </c>
      <c r="G1444" t="s">
        <v>24</v>
      </c>
      <c r="H1444" t="s">
        <v>26</v>
      </c>
      <c r="I1444" t="s">
        <v>3167</v>
      </c>
      <c r="J1444" t="s">
        <v>1026</v>
      </c>
      <c r="K1444" t="s">
        <v>3185</v>
      </c>
      <c r="L1444" t="s">
        <v>1026</v>
      </c>
      <c r="M1444" t="s">
        <v>1000</v>
      </c>
      <c r="N1444" t="s">
        <v>1025</v>
      </c>
      <c r="O1444" t="s">
        <v>1025</v>
      </c>
      <c r="P1444" t="s">
        <v>1089</v>
      </c>
      <c r="Q1444" t="s">
        <v>3169</v>
      </c>
      <c r="R1444" t="s">
        <v>446</v>
      </c>
      <c r="S1444" t="s">
        <v>446</v>
      </c>
      <c r="T1444" t="s">
        <v>1965</v>
      </c>
      <c r="U1444" t="b">
        <v>0</v>
      </c>
      <c r="V1444" t="s">
        <v>446</v>
      </c>
    </row>
    <row r="1445" spans="1:22" x14ac:dyDescent="0.25">
      <c r="A1445" t="s">
        <v>42</v>
      </c>
      <c r="B1445">
        <v>183</v>
      </c>
      <c r="C1445" t="s">
        <v>1028</v>
      </c>
      <c r="D1445" t="s">
        <v>4584</v>
      </c>
      <c r="E1445" t="s">
        <v>1010</v>
      </c>
      <c r="F1445" t="s">
        <v>4585</v>
      </c>
      <c r="G1445" t="s">
        <v>24</v>
      </c>
      <c r="H1445" t="s">
        <v>26</v>
      </c>
      <c r="I1445" t="s">
        <v>3167</v>
      </c>
      <c r="J1445" t="s">
        <v>1026</v>
      </c>
      <c r="K1445" t="s">
        <v>3185</v>
      </c>
      <c r="L1445" t="s">
        <v>1026</v>
      </c>
      <c r="M1445" t="s">
        <v>1000</v>
      </c>
      <c r="N1445" t="s">
        <v>1025</v>
      </c>
      <c r="O1445" t="s">
        <v>1025</v>
      </c>
      <c r="P1445" t="s">
        <v>1089</v>
      </c>
      <c r="Q1445" t="s">
        <v>3169</v>
      </c>
      <c r="R1445" t="s">
        <v>446</v>
      </c>
      <c r="S1445" t="s">
        <v>446</v>
      </c>
      <c r="T1445" t="s">
        <v>1965</v>
      </c>
      <c r="U1445" t="b">
        <v>0</v>
      </c>
      <c r="V1445" t="s">
        <v>446</v>
      </c>
    </row>
    <row r="1446" spans="1:22" x14ac:dyDescent="0.25">
      <c r="A1446" t="s">
        <v>42</v>
      </c>
      <c r="B1446">
        <v>183</v>
      </c>
      <c r="C1446" t="s">
        <v>1030</v>
      </c>
      <c r="D1446" t="s">
        <v>4586</v>
      </c>
      <c r="E1446" t="s">
        <v>1029</v>
      </c>
      <c r="F1446" t="s">
        <v>4587</v>
      </c>
      <c r="G1446" t="s">
        <v>24</v>
      </c>
      <c r="H1446" t="s">
        <v>26</v>
      </c>
      <c r="I1446" t="s">
        <v>3167</v>
      </c>
      <c r="J1446" t="s">
        <v>1033</v>
      </c>
      <c r="K1446" t="s">
        <v>3189</v>
      </c>
      <c r="L1446" t="s">
        <v>1033</v>
      </c>
      <c r="M1446" t="s">
        <v>980</v>
      </c>
      <c r="N1446" t="s">
        <v>1031</v>
      </c>
      <c r="O1446" t="s">
        <v>1031</v>
      </c>
      <c r="P1446" t="s">
        <v>1089</v>
      </c>
      <c r="Q1446" t="s">
        <v>3169</v>
      </c>
      <c r="R1446" t="s">
        <v>446</v>
      </c>
      <c r="S1446" t="s">
        <v>446</v>
      </c>
      <c r="T1446" t="s">
        <v>1965</v>
      </c>
      <c r="U1446" t="b">
        <v>0</v>
      </c>
      <c r="V1446" t="s">
        <v>446</v>
      </c>
    </row>
    <row r="1447" spans="1:22" x14ac:dyDescent="0.25">
      <c r="A1447" t="s">
        <v>42</v>
      </c>
      <c r="B1447">
        <v>183</v>
      </c>
      <c r="C1447" t="s">
        <v>1036</v>
      </c>
      <c r="D1447" t="s">
        <v>4588</v>
      </c>
      <c r="E1447" t="s">
        <v>1035</v>
      </c>
      <c r="F1447" t="s">
        <v>4589</v>
      </c>
      <c r="G1447" t="s">
        <v>24</v>
      </c>
      <c r="H1447" t="s">
        <v>26</v>
      </c>
      <c r="I1447" t="s">
        <v>3167</v>
      </c>
      <c r="J1447" t="s">
        <v>1038</v>
      </c>
      <c r="K1447" t="s">
        <v>3191</v>
      </c>
      <c r="L1447" t="s">
        <v>1038</v>
      </c>
      <c r="M1447" t="s">
        <v>980</v>
      </c>
      <c r="N1447" t="s">
        <v>1037</v>
      </c>
      <c r="O1447" t="s">
        <v>1037</v>
      </c>
      <c r="P1447" t="s">
        <v>1089</v>
      </c>
      <c r="Q1447" t="s">
        <v>3169</v>
      </c>
      <c r="R1447" t="s">
        <v>446</v>
      </c>
      <c r="S1447" t="s">
        <v>446</v>
      </c>
      <c r="T1447" t="s">
        <v>1965</v>
      </c>
      <c r="U1447" t="b">
        <v>0</v>
      </c>
      <c r="V1447" t="s">
        <v>446</v>
      </c>
    </row>
    <row r="1448" spans="1:22" x14ac:dyDescent="0.25">
      <c r="A1448" t="s">
        <v>42</v>
      </c>
      <c r="B1448">
        <v>183</v>
      </c>
      <c r="C1448" t="s">
        <v>1041</v>
      </c>
      <c r="D1448" t="s">
        <v>4590</v>
      </c>
      <c r="E1448" t="s">
        <v>1040</v>
      </c>
      <c r="F1448" t="s">
        <v>4591</v>
      </c>
      <c r="G1448" t="s">
        <v>24</v>
      </c>
      <c r="H1448" t="s">
        <v>26</v>
      </c>
      <c r="I1448" t="s">
        <v>3167</v>
      </c>
      <c r="J1448" t="s">
        <v>1043</v>
      </c>
      <c r="K1448" t="s">
        <v>3193</v>
      </c>
      <c r="L1448" t="s">
        <v>1043</v>
      </c>
      <c r="M1448" t="s">
        <v>980</v>
      </c>
      <c r="N1448" t="s">
        <v>1042</v>
      </c>
      <c r="O1448" t="s">
        <v>1042</v>
      </c>
      <c r="P1448" t="s">
        <v>1089</v>
      </c>
      <c r="Q1448" t="s">
        <v>3169</v>
      </c>
      <c r="R1448" t="s">
        <v>446</v>
      </c>
      <c r="S1448" t="s">
        <v>446</v>
      </c>
      <c r="T1448" t="s">
        <v>1965</v>
      </c>
      <c r="U1448" t="b">
        <v>0</v>
      </c>
      <c r="V1448" t="s">
        <v>446</v>
      </c>
    </row>
    <row r="1449" spans="1:22" x14ac:dyDescent="0.25">
      <c r="A1449" t="s">
        <v>42</v>
      </c>
      <c r="B1449">
        <v>183</v>
      </c>
      <c r="C1449" t="s">
        <v>1046</v>
      </c>
      <c r="D1449" t="s">
        <v>4592</v>
      </c>
      <c r="E1449" t="s">
        <v>1045</v>
      </c>
      <c r="F1449" t="s">
        <v>4593</v>
      </c>
      <c r="G1449" t="s">
        <v>24</v>
      </c>
      <c r="H1449" t="s">
        <v>26</v>
      </c>
      <c r="I1449" t="s">
        <v>3167</v>
      </c>
      <c r="J1449" t="s">
        <v>1048</v>
      </c>
      <c r="K1449" t="s">
        <v>3195</v>
      </c>
      <c r="L1449" t="s">
        <v>1048</v>
      </c>
      <c r="M1449" t="s">
        <v>1000</v>
      </c>
      <c r="N1449" t="s">
        <v>1047</v>
      </c>
      <c r="O1449" t="s">
        <v>1047</v>
      </c>
      <c r="P1449" t="s">
        <v>1089</v>
      </c>
      <c r="Q1449" t="s">
        <v>3169</v>
      </c>
      <c r="R1449" t="s">
        <v>446</v>
      </c>
      <c r="S1449" t="s">
        <v>446</v>
      </c>
      <c r="T1449" t="s">
        <v>1965</v>
      </c>
      <c r="U1449" t="b">
        <v>0</v>
      </c>
      <c r="V1449" t="s">
        <v>446</v>
      </c>
    </row>
    <row r="1450" spans="1:22" x14ac:dyDescent="0.25">
      <c r="A1450" t="s">
        <v>42</v>
      </c>
      <c r="B1450">
        <v>183</v>
      </c>
      <c r="C1450" t="s">
        <v>1050</v>
      </c>
      <c r="D1450" t="s">
        <v>4594</v>
      </c>
      <c r="E1450" t="s">
        <v>1032</v>
      </c>
      <c r="F1450" t="s">
        <v>4595</v>
      </c>
      <c r="G1450" t="s">
        <v>24</v>
      </c>
      <c r="H1450" t="s">
        <v>26</v>
      </c>
      <c r="I1450" t="s">
        <v>3167</v>
      </c>
      <c r="J1450" t="s">
        <v>1048</v>
      </c>
      <c r="K1450" t="s">
        <v>3195</v>
      </c>
      <c r="L1450" t="s">
        <v>1048</v>
      </c>
      <c r="M1450" t="s">
        <v>1000</v>
      </c>
      <c r="N1450" t="s">
        <v>1047</v>
      </c>
      <c r="O1450" t="s">
        <v>1047</v>
      </c>
      <c r="P1450" t="s">
        <v>1089</v>
      </c>
      <c r="Q1450" t="s">
        <v>3169</v>
      </c>
      <c r="R1450" t="s">
        <v>446</v>
      </c>
      <c r="S1450" t="s">
        <v>446</v>
      </c>
      <c r="T1450" t="s">
        <v>1965</v>
      </c>
      <c r="U1450" t="b">
        <v>0</v>
      </c>
      <c r="V1450" t="s">
        <v>446</v>
      </c>
    </row>
    <row r="1451" spans="1:22" x14ac:dyDescent="0.25">
      <c r="A1451" t="s">
        <v>42</v>
      </c>
      <c r="B1451">
        <v>183</v>
      </c>
      <c r="C1451" t="s">
        <v>1052</v>
      </c>
      <c r="D1451" t="s">
        <v>4596</v>
      </c>
      <c r="E1451" t="s">
        <v>1051</v>
      </c>
      <c r="F1451" t="s">
        <v>4597</v>
      </c>
      <c r="G1451" t="s">
        <v>24</v>
      </c>
      <c r="H1451" t="s">
        <v>26</v>
      </c>
      <c r="I1451" t="s">
        <v>3167</v>
      </c>
      <c r="J1451" t="s">
        <v>1055</v>
      </c>
      <c r="K1451" t="s">
        <v>3199</v>
      </c>
      <c r="L1451" t="s">
        <v>1055</v>
      </c>
      <c r="M1451" t="s">
        <v>980</v>
      </c>
      <c r="N1451" t="s">
        <v>1053</v>
      </c>
      <c r="O1451" t="s">
        <v>1053</v>
      </c>
      <c r="P1451" t="s">
        <v>1089</v>
      </c>
      <c r="Q1451" t="s">
        <v>3169</v>
      </c>
      <c r="R1451" t="s">
        <v>446</v>
      </c>
      <c r="S1451" t="s">
        <v>446</v>
      </c>
      <c r="T1451" t="s">
        <v>1965</v>
      </c>
      <c r="U1451" t="b">
        <v>0</v>
      </c>
      <c r="V1451" t="s">
        <v>446</v>
      </c>
    </row>
    <row r="1452" spans="1:22" x14ac:dyDescent="0.25">
      <c r="A1452" t="s">
        <v>42</v>
      </c>
      <c r="B1452">
        <v>184</v>
      </c>
      <c r="C1452" t="s">
        <v>987</v>
      </c>
      <c r="D1452" t="s">
        <v>4598</v>
      </c>
      <c r="E1452" t="s">
        <v>986</v>
      </c>
      <c r="F1452" t="s">
        <v>4599</v>
      </c>
      <c r="G1452" t="s">
        <v>24</v>
      </c>
      <c r="H1452" t="s">
        <v>26</v>
      </c>
      <c r="I1452" t="s">
        <v>3167</v>
      </c>
      <c r="J1452" t="s">
        <v>990</v>
      </c>
      <c r="K1452" t="s">
        <v>3171</v>
      </c>
      <c r="L1452" t="s">
        <v>990</v>
      </c>
      <c r="M1452" t="s">
        <v>980</v>
      </c>
      <c r="N1452" t="s">
        <v>988</v>
      </c>
      <c r="O1452" t="s">
        <v>988</v>
      </c>
      <c r="P1452" t="s">
        <v>1089</v>
      </c>
      <c r="Q1452" t="s">
        <v>3169</v>
      </c>
      <c r="R1452" t="s">
        <v>446</v>
      </c>
      <c r="S1452" t="s">
        <v>446</v>
      </c>
      <c r="T1452" t="s">
        <v>1965</v>
      </c>
      <c r="U1452" t="b">
        <v>0</v>
      </c>
      <c r="V1452" t="s">
        <v>446</v>
      </c>
    </row>
    <row r="1453" spans="1:22" x14ac:dyDescent="0.25">
      <c r="A1453" t="s">
        <v>42</v>
      </c>
      <c r="B1453">
        <v>184</v>
      </c>
      <c r="C1453" t="s">
        <v>993</v>
      </c>
      <c r="D1453" t="s">
        <v>4600</v>
      </c>
      <c r="E1453" t="s">
        <v>992</v>
      </c>
      <c r="F1453" t="s">
        <v>4601</v>
      </c>
      <c r="G1453" t="s">
        <v>24</v>
      </c>
      <c r="H1453" t="s">
        <v>26</v>
      </c>
      <c r="I1453" t="s">
        <v>3167</v>
      </c>
      <c r="J1453" t="s">
        <v>996</v>
      </c>
      <c r="K1453" t="s">
        <v>3173</v>
      </c>
      <c r="L1453" t="s">
        <v>996</v>
      </c>
      <c r="M1453" t="s">
        <v>980</v>
      </c>
      <c r="N1453" t="s">
        <v>994</v>
      </c>
      <c r="O1453" t="s">
        <v>994</v>
      </c>
      <c r="P1453" t="s">
        <v>1089</v>
      </c>
      <c r="Q1453" t="s">
        <v>3169</v>
      </c>
      <c r="R1453" t="s">
        <v>446</v>
      </c>
      <c r="S1453" t="s">
        <v>446</v>
      </c>
      <c r="T1453" t="s">
        <v>1965</v>
      </c>
      <c r="U1453" t="b">
        <v>0</v>
      </c>
      <c r="V1453" t="s">
        <v>446</v>
      </c>
    </row>
    <row r="1454" spans="1:22" x14ac:dyDescent="0.25">
      <c r="A1454" t="s">
        <v>42</v>
      </c>
      <c r="B1454">
        <v>184</v>
      </c>
      <c r="C1454" t="s">
        <v>999</v>
      </c>
      <c r="D1454" t="s">
        <v>4602</v>
      </c>
      <c r="E1454" t="s">
        <v>998</v>
      </c>
      <c r="F1454" t="s">
        <v>4603</v>
      </c>
      <c r="G1454" t="s">
        <v>24</v>
      </c>
      <c r="H1454" t="s">
        <v>26</v>
      </c>
      <c r="I1454" t="s">
        <v>3167</v>
      </c>
      <c r="J1454" t="s">
        <v>1003</v>
      </c>
      <c r="K1454" t="s">
        <v>3175</v>
      </c>
      <c r="L1454" t="s">
        <v>1003</v>
      </c>
      <c r="M1454" t="s">
        <v>1000</v>
      </c>
      <c r="N1454" t="s">
        <v>1001</v>
      </c>
      <c r="O1454" t="s">
        <v>1001</v>
      </c>
      <c r="P1454" t="s">
        <v>1089</v>
      </c>
      <c r="Q1454" t="s">
        <v>3169</v>
      </c>
      <c r="R1454" t="s">
        <v>446</v>
      </c>
      <c r="S1454" t="s">
        <v>446</v>
      </c>
      <c r="T1454" t="s">
        <v>1965</v>
      </c>
      <c r="U1454" t="b">
        <v>0</v>
      </c>
      <c r="V1454" t="s">
        <v>446</v>
      </c>
    </row>
    <row r="1455" spans="1:22" x14ac:dyDescent="0.25">
      <c r="A1455" t="s">
        <v>42</v>
      </c>
      <c r="B1455">
        <v>184</v>
      </c>
      <c r="C1455" t="s">
        <v>1005</v>
      </c>
      <c r="D1455" t="s">
        <v>4604</v>
      </c>
      <c r="E1455" t="s">
        <v>982</v>
      </c>
      <c r="F1455" t="s">
        <v>4605</v>
      </c>
      <c r="G1455" t="s">
        <v>24</v>
      </c>
      <c r="H1455" t="s">
        <v>26</v>
      </c>
      <c r="I1455" t="s">
        <v>3167</v>
      </c>
      <c r="J1455" t="s">
        <v>1003</v>
      </c>
      <c r="K1455" t="s">
        <v>3175</v>
      </c>
      <c r="L1455" t="s">
        <v>1003</v>
      </c>
      <c r="M1455" t="s">
        <v>1000</v>
      </c>
      <c r="N1455" t="s">
        <v>1001</v>
      </c>
      <c r="O1455" t="s">
        <v>1001</v>
      </c>
      <c r="P1455" t="s">
        <v>1089</v>
      </c>
      <c r="Q1455" t="s">
        <v>3169</v>
      </c>
      <c r="R1455" t="s">
        <v>446</v>
      </c>
      <c r="S1455" t="s">
        <v>446</v>
      </c>
      <c r="T1455" t="s">
        <v>1965</v>
      </c>
      <c r="U1455" t="b">
        <v>0</v>
      </c>
      <c r="V1455" t="s">
        <v>446</v>
      </c>
    </row>
    <row r="1456" spans="1:22" x14ac:dyDescent="0.25">
      <c r="A1456" t="s">
        <v>42</v>
      </c>
      <c r="B1456">
        <v>184</v>
      </c>
      <c r="C1456" t="s">
        <v>1007</v>
      </c>
      <c r="D1456" t="s">
        <v>4606</v>
      </c>
      <c r="E1456" t="s">
        <v>1006</v>
      </c>
      <c r="F1456" t="s">
        <v>4607</v>
      </c>
      <c r="G1456" t="s">
        <v>24</v>
      </c>
      <c r="H1456" t="s">
        <v>26</v>
      </c>
      <c r="I1456" t="s">
        <v>3167</v>
      </c>
      <c r="J1456" t="s">
        <v>1011</v>
      </c>
      <c r="K1456" t="s">
        <v>3179</v>
      </c>
      <c r="L1456" t="s">
        <v>1011</v>
      </c>
      <c r="M1456" t="s">
        <v>1008</v>
      </c>
      <c r="N1456" t="s">
        <v>1009</v>
      </c>
      <c r="O1456" t="s">
        <v>1009</v>
      </c>
      <c r="P1456" t="s">
        <v>1089</v>
      </c>
      <c r="Q1456" t="s">
        <v>3169</v>
      </c>
      <c r="R1456" t="s">
        <v>446</v>
      </c>
      <c r="S1456" t="s">
        <v>446</v>
      </c>
      <c r="T1456" t="s">
        <v>1965</v>
      </c>
      <c r="U1456" t="b">
        <v>0</v>
      </c>
      <c r="V1456" t="s">
        <v>446</v>
      </c>
    </row>
    <row r="1457" spans="1:22" x14ac:dyDescent="0.25">
      <c r="A1457" t="s">
        <v>42</v>
      </c>
      <c r="B1457">
        <v>184</v>
      </c>
      <c r="C1457" t="s">
        <v>1014</v>
      </c>
      <c r="D1457" t="s">
        <v>4608</v>
      </c>
      <c r="E1457" t="s">
        <v>1013</v>
      </c>
      <c r="F1457" t="s">
        <v>4609</v>
      </c>
      <c r="G1457" t="s">
        <v>24</v>
      </c>
      <c r="H1457" t="s">
        <v>26</v>
      </c>
      <c r="I1457" t="s">
        <v>3167</v>
      </c>
      <c r="J1457" t="s">
        <v>1016</v>
      </c>
      <c r="K1457" t="s">
        <v>3181</v>
      </c>
      <c r="L1457" t="s">
        <v>1016</v>
      </c>
      <c r="M1457" t="s">
        <v>980</v>
      </c>
      <c r="N1457" t="s">
        <v>1015</v>
      </c>
      <c r="O1457" t="s">
        <v>1015</v>
      </c>
      <c r="P1457" t="s">
        <v>1089</v>
      </c>
      <c r="Q1457" t="s">
        <v>3169</v>
      </c>
      <c r="R1457" t="s">
        <v>446</v>
      </c>
      <c r="S1457" t="s">
        <v>446</v>
      </c>
      <c r="T1457" t="s">
        <v>1965</v>
      </c>
      <c r="U1457" t="b">
        <v>0</v>
      </c>
      <c r="V1457" t="s">
        <v>446</v>
      </c>
    </row>
    <row r="1458" spans="1:22" x14ac:dyDescent="0.25">
      <c r="A1458" t="s">
        <v>42</v>
      </c>
      <c r="B1458">
        <v>184</v>
      </c>
      <c r="C1458" t="s">
        <v>1019</v>
      </c>
      <c r="D1458" t="s">
        <v>4610</v>
      </c>
      <c r="E1458" t="s">
        <v>1018</v>
      </c>
      <c r="F1458" t="s">
        <v>4611</v>
      </c>
      <c r="G1458" t="s">
        <v>24</v>
      </c>
      <c r="H1458" t="s">
        <v>26</v>
      </c>
      <c r="I1458" t="s">
        <v>3167</v>
      </c>
      <c r="J1458" t="s">
        <v>1021</v>
      </c>
      <c r="K1458" t="s">
        <v>3183</v>
      </c>
      <c r="L1458" t="s">
        <v>1021</v>
      </c>
      <c r="M1458" t="s">
        <v>980</v>
      </c>
      <c r="N1458" t="s">
        <v>1020</v>
      </c>
      <c r="O1458" t="s">
        <v>1020</v>
      </c>
      <c r="P1458" t="s">
        <v>1089</v>
      </c>
      <c r="Q1458" t="s">
        <v>3169</v>
      </c>
      <c r="R1458" t="s">
        <v>446</v>
      </c>
      <c r="S1458" t="s">
        <v>446</v>
      </c>
      <c r="T1458" t="s">
        <v>1965</v>
      </c>
      <c r="U1458" t="b">
        <v>0</v>
      </c>
      <c r="V1458" t="s">
        <v>446</v>
      </c>
    </row>
    <row r="1459" spans="1:22" x14ac:dyDescent="0.25">
      <c r="A1459" t="s">
        <v>42</v>
      </c>
      <c r="B1459">
        <v>184</v>
      </c>
      <c r="C1459" t="s">
        <v>1024</v>
      </c>
      <c r="D1459" t="s">
        <v>4612</v>
      </c>
      <c r="E1459" t="s">
        <v>1023</v>
      </c>
      <c r="F1459" t="s">
        <v>4613</v>
      </c>
      <c r="G1459" t="s">
        <v>24</v>
      </c>
      <c r="H1459" t="s">
        <v>26</v>
      </c>
      <c r="I1459" t="s">
        <v>3167</v>
      </c>
      <c r="J1459" t="s">
        <v>1026</v>
      </c>
      <c r="K1459" t="s">
        <v>3185</v>
      </c>
      <c r="L1459" t="s">
        <v>1026</v>
      </c>
      <c r="M1459" t="s">
        <v>1000</v>
      </c>
      <c r="N1459" t="s">
        <v>1025</v>
      </c>
      <c r="O1459" t="s">
        <v>1025</v>
      </c>
      <c r="P1459" t="s">
        <v>1089</v>
      </c>
      <c r="Q1459" t="s">
        <v>3169</v>
      </c>
      <c r="R1459" t="s">
        <v>446</v>
      </c>
      <c r="S1459" t="s">
        <v>446</v>
      </c>
      <c r="T1459" t="s">
        <v>1965</v>
      </c>
      <c r="U1459" t="b">
        <v>0</v>
      </c>
      <c r="V1459" t="s">
        <v>446</v>
      </c>
    </row>
    <row r="1460" spans="1:22" x14ac:dyDescent="0.25">
      <c r="A1460" t="s">
        <v>42</v>
      </c>
      <c r="B1460">
        <v>184</v>
      </c>
      <c r="C1460" t="s">
        <v>1028</v>
      </c>
      <c r="D1460" t="s">
        <v>4614</v>
      </c>
      <c r="E1460" t="s">
        <v>1010</v>
      </c>
      <c r="F1460" t="s">
        <v>4615</v>
      </c>
      <c r="G1460" t="s">
        <v>24</v>
      </c>
      <c r="H1460" t="s">
        <v>26</v>
      </c>
      <c r="I1460" t="s">
        <v>3167</v>
      </c>
      <c r="J1460" t="s">
        <v>1026</v>
      </c>
      <c r="K1460" t="s">
        <v>3185</v>
      </c>
      <c r="L1460" t="s">
        <v>1026</v>
      </c>
      <c r="M1460" t="s">
        <v>1000</v>
      </c>
      <c r="N1460" t="s">
        <v>1025</v>
      </c>
      <c r="O1460" t="s">
        <v>1025</v>
      </c>
      <c r="P1460" t="s">
        <v>1089</v>
      </c>
      <c r="Q1460" t="s">
        <v>3169</v>
      </c>
      <c r="R1460" t="s">
        <v>446</v>
      </c>
      <c r="S1460" t="s">
        <v>446</v>
      </c>
      <c r="T1460" t="s">
        <v>1965</v>
      </c>
      <c r="U1460" t="b">
        <v>0</v>
      </c>
      <c r="V1460" t="s">
        <v>446</v>
      </c>
    </row>
    <row r="1461" spans="1:22" x14ac:dyDescent="0.25">
      <c r="A1461" t="s">
        <v>42</v>
      </c>
      <c r="B1461">
        <v>184</v>
      </c>
      <c r="C1461" t="s">
        <v>1030</v>
      </c>
      <c r="D1461" t="s">
        <v>4616</v>
      </c>
      <c r="E1461" t="s">
        <v>1029</v>
      </c>
      <c r="F1461" t="s">
        <v>4617</v>
      </c>
      <c r="G1461" t="s">
        <v>24</v>
      </c>
      <c r="H1461" t="s">
        <v>26</v>
      </c>
      <c r="I1461" t="s">
        <v>3167</v>
      </c>
      <c r="J1461" t="s">
        <v>1033</v>
      </c>
      <c r="K1461" t="s">
        <v>3189</v>
      </c>
      <c r="L1461" t="s">
        <v>1033</v>
      </c>
      <c r="M1461" t="s">
        <v>980</v>
      </c>
      <c r="N1461" t="s">
        <v>1031</v>
      </c>
      <c r="O1461" t="s">
        <v>1031</v>
      </c>
      <c r="P1461" t="s">
        <v>1089</v>
      </c>
      <c r="Q1461" t="s">
        <v>3169</v>
      </c>
      <c r="R1461" t="s">
        <v>446</v>
      </c>
      <c r="S1461" t="s">
        <v>446</v>
      </c>
      <c r="T1461" t="s">
        <v>1965</v>
      </c>
      <c r="U1461" t="b">
        <v>0</v>
      </c>
      <c r="V1461" t="s">
        <v>446</v>
      </c>
    </row>
    <row r="1462" spans="1:22" x14ac:dyDescent="0.25">
      <c r="A1462" t="s">
        <v>42</v>
      </c>
      <c r="B1462">
        <v>184</v>
      </c>
      <c r="C1462" t="s">
        <v>1036</v>
      </c>
      <c r="D1462" t="s">
        <v>4618</v>
      </c>
      <c r="E1462" t="s">
        <v>1035</v>
      </c>
      <c r="F1462" t="s">
        <v>4619</v>
      </c>
      <c r="G1462" t="s">
        <v>24</v>
      </c>
      <c r="H1462" t="s">
        <v>26</v>
      </c>
      <c r="I1462" t="s">
        <v>3167</v>
      </c>
      <c r="J1462" t="s">
        <v>1038</v>
      </c>
      <c r="K1462" t="s">
        <v>3191</v>
      </c>
      <c r="L1462" t="s">
        <v>1038</v>
      </c>
      <c r="M1462" t="s">
        <v>980</v>
      </c>
      <c r="N1462" t="s">
        <v>1037</v>
      </c>
      <c r="O1462" t="s">
        <v>1037</v>
      </c>
      <c r="P1462" t="s">
        <v>1089</v>
      </c>
      <c r="Q1462" t="s">
        <v>3169</v>
      </c>
      <c r="R1462" t="s">
        <v>446</v>
      </c>
      <c r="S1462" t="s">
        <v>446</v>
      </c>
      <c r="T1462" t="s">
        <v>1965</v>
      </c>
      <c r="U1462" t="b">
        <v>0</v>
      </c>
      <c r="V1462" t="s">
        <v>446</v>
      </c>
    </row>
    <row r="1463" spans="1:22" x14ac:dyDescent="0.25">
      <c r="A1463" t="s">
        <v>42</v>
      </c>
      <c r="B1463">
        <v>184</v>
      </c>
      <c r="C1463" t="s">
        <v>1041</v>
      </c>
      <c r="D1463" t="s">
        <v>4620</v>
      </c>
      <c r="E1463" t="s">
        <v>1040</v>
      </c>
      <c r="F1463" t="s">
        <v>4621</v>
      </c>
      <c r="G1463" t="s">
        <v>24</v>
      </c>
      <c r="H1463" t="s">
        <v>26</v>
      </c>
      <c r="I1463" t="s">
        <v>3167</v>
      </c>
      <c r="J1463" t="s">
        <v>1043</v>
      </c>
      <c r="K1463" t="s">
        <v>3193</v>
      </c>
      <c r="L1463" t="s">
        <v>1043</v>
      </c>
      <c r="M1463" t="s">
        <v>980</v>
      </c>
      <c r="N1463" t="s">
        <v>1042</v>
      </c>
      <c r="O1463" t="s">
        <v>1042</v>
      </c>
      <c r="P1463" t="s">
        <v>1089</v>
      </c>
      <c r="Q1463" t="s">
        <v>3169</v>
      </c>
      <c r="R1463" t="s">
        <v>446</v>
      </c>
      <c r="S1463" t="s">
        <v>446</v>
      </c>
      <c r="T1463" t="s">
        <v>1965</v>
      </c>
      <c r="U1463" t="b">
        <v>0</v>
      </c>
      <c r="V1463" t="s">
        <v>446</v>
      </c>
    </row>
    <row r="1464" spans="1:22" x14ac:dyDescent="0.25">
      <c r="A1464" t="s">
        <v>42</v>
      </c>
      <c r="B1464">
        <v>184</v>
      </c>
      <c r="C1464" t="s">
        <v>1046</v>
      </c>
      <c r="D1464" t="s">
        <v>4622</v>
      </c>
      <c r="E1464" t="s">
        <v>1045</v>
      </c>
      <c r="F1464" t="s">
        <v>4623</v>
      </c>
      <c r="G1464" t="s">
        <v>24</v>
      </c>
      <c r="H1464" t="s">
        <v>26</v>
      </c>
      <c r="I1464" t="s">
        <v>3167</v>
      </c>
      <c r="J1464" t="s">
        <v>1048</v>
      </c>
      <c r="K1464" t="s">
        <v>3195</v>
      </c>
      <c r="L1464" t="s">
        <v>1048</v>
      </c>
      <c r="M1464" t="s">
        <v>1000</v>
      </c>
      <c r="N1464" t="s">
        <v>1047</v>
      </c>
      <c r="O1464" t="s">
        <v>1047</v>
      </c>
      <c r="P1464" t="s">
        <v>1089</v>
      </c>
      <c r="Q1464" t="s">
        <v>3169</v>
      </c>
      <c r="R1464" t="s">
        <v>446</v>
      </c>
      <c r="S1464" t="s">
        <v>446</v>
      </c>
      <c r="T1464" t="s">
        <v>1965</v>
      </c>
      <c r="U1464" t="b">
        <v>0</v>
      </c>
      <c r="V1464" t="s">
        <v>446</v>
      </c>
    </row>
    <row r="1465" spans="1:22" x14ac:dyDescent="0.25">
      <c r="A1465" t="s">
        <v>42</v>
      </c>
      <c r="B1465">
        <v>184</v>
      </c>
      <c r="C1465" t="s">
        <v>1050</v>
      </c>
      <c r="D1465" t="s">
        <v>4624</v>
      </c>
      <c r="E1465" t="s">
        <v>1032</v>
      </c>
      <c r="F1465" t="s">
        <v>4625</v>
      </c>
      <c r="G1465" t="s">
        <v>24</v>
      </c>
      <c r="H1465" t="s">
        <v>26</v>
      </c>
      <c r="I1465" t="s">
        <v>3167</v>
      </c>
      <c r="J1465" t="s">
        <v>1048</v>
      </c>
      <c r="K1465" t="s">
        <v>3195</v>
      </c>
      <c r="L1465" t="s">
        <v>1048</v>
      </c>
      <c r="M1465" t="s">
        <v>1000</v>
      </c>
      <c r="N1465" t="s">
        <v>1047</v>
      </c>
      <c r="O1465" t="s">
        <v>1047</v>
      </c>
      <c r="P1465" t="s">
        <v>1089</v>
      </c>
      <c r="Q1465" t="s">
        <v>3169</v>
      </c>
      <c r="R1465" t="s">
        <v>446</v>
      </c>
      <c r="S1465" t="s">
        <v>446</v>
      </c>
      <c r="T1465" t="s">
        <v>1965</v>
      </c>
      <c r="U1465" t="b">
        <v>0</v>
      </c>
      <c r="V1465" t="s">
        <v>446</v>
      </c>
    </row>
    <row r="1466" spans="1:22" x14ac:dyDescent="0.25">
      <c r="A1466" t="s">
        <v>42</v>
      </c>
      <c r="B1466">
        <v>184</v>
      </c>
      <c r="C1466" t="s">
        <v>1052</v>
      </c>
      <c r="D1466" t="s">
        <v>4626</v>
      </c>
      <c r="E1466" t="s">
        <v>1051</v>
      </c>
      <c r="F1466" t="s">
        <v>4627</v>
      </c>
      <c r="G1466" t="s">
        <v>24</v>
      </c>
      <c r="H1466" t="s">
        <v>26</v>
      </c>
      <c r="I1466" t="s">
        <v>3167</v>
      </c>
      <c r="J1466" t="s">
        <v>1055</v>
      </c>
      <c r="K1466" t="s">
        <v>3199</v>
      </c>
      <c r="L1466" t="s">
        <v>1055</v>
      </c>
      <c r="M1466" t="s">
        <v>980</v>
      </c>
      <c r="N1466" t="s">
        <v>1053</v>
      </c>
      <c r="O1466" t="s">
        <v>1053</v>
      </c>
      <c r="P1466" t="s">
        <v>1089</v>
      </c>
      <c r="Q1466" t="s">
        <v>3169</v>
      </c>
      <c r="R1466" t="s">
        <v>446</v>
      </c>
      <c r="S1466" t="s">
        <v>446</v>
      </c>
      <c r="T1466" t="s">
        <v>1965</v>
      </c>
      <c r="U1466" t="b">
        <v>0</v>
      </c>
      <c r="V1466" t="s">
        <v>446</v>
      </c>
    </row>
    <row r="1467" spans="1:22" x14ac:dyDescent="0.25">
      <c r="A1467" t="s">
        <v>42</v>
      </c>
      <c r="B1467">
        <v>185</v>
      </c>
      <c r="C1467" t="s">
        <v>987</v>
      </c>
      <c r="D1467" t="s">
        <v>4628</v>
      </c>
      <c r="E1467" t="s">
        <v>986</v>
      </c>
      <c r="F1467" t="s">
        <v>4629</v>
      </c>
      <c r="G1467" t="s">
        <v>24</v>
      </c>
      <c r="H1467" t="s">
        <v>26</v>
      </c>
      <c r="I1467" t="s">
        <v>3167</v>
      </c>
      <c r="J1467" t="s">
        <v>990</v>
      </c>
      <c r="K1467" t="s">
        <v>3171</v>
      </c>
      <c r="L1467" t="s">
        <v>990</v>
      </c>
      <c r="M1467" t="s">
        <v>980</v>
      </c>
      <c r="N1467" t="s">
        <v>988</v>
      </c>
      <c r="O1467" t="s">
        <v>988</v>
      </c>
      <c r="P1467" t="s">
        <v>1089</v>
      </c>
      <c r="Q1467" t="s">
        <v>3169</v>
      </c>
      <c r="R1467" t="s">
        <v>446</v>
      </c>
      <c r="S1467" t="s">
        <v>446</v>
      </c>
      <c r="T1467" t="s">
        <v>1965</v>
      </c>
      <c r="U1467" t="b">
        <v>0</v>
      </c>
      <c r="V1467" t="s">
        <v>446</v>
      </c>
    </row>
    <row r="1468" spans="1:22" x14ac:dyDescent="0.25">
      <c r="A1468" t="s">
        <v>42</v>
      </c>
      <c r="B1468">
        <v>185</v>
      </c>
      <c r="C1468" t="s">
        <v>993</v>
      </c>
      <c r="D1468" t="s">
        <v>4630</v>
      </c>
      <c r="E1468" t="s">
        <v>992</v>
      </c>
      <c r="F1468" t="s">
        <v>4631</v>
      </c>
      <c r="G1468" t="s">
        <v>24</v>
      </c>
      <c r="H1468" t="s">
        <v>26</v>
      </c>
      <c r="I1468" t="s">
        <v>3167</v>
      </c>
      <c r="J1468" t="s">
        <v>996</v>
      </c>
      <c r="K1468" t="s">
        <v>3173</v>
      </c>
      <c r="L1468" t="s">
        <v>996</v>
      </c>
      <c r="M1468" t="s">
        <v>980</v>
      </c>
      <c r="N1468" t="s">
        <v>994</v>
      </c>
      <c r="O1468" t="s">
        <v>994</v>
      </c>
      <c r="P1468" t="s">
        <v>1089</v>
      </c>
      <c r="Q1468" t="s">
        <v>3169</v>
      </c>
      <c r="R1468" t="s">
        <v>446</v>
      </c>
      <c r="S1468" t="s">
        <v>446</v>
      </c>
      <c r="T1468" t="s">
        <v>1965</v>
      </c>
      <c r="U1468" t="b">
        <v>0</v>
      </c>
      <c r="V1468" t="s">
        <v>446</v>
      </c>
    </row>
    <row r="1469" spans="1:22" x14ac:dyDescent="0.25">
      <c r="A1469" t="s">
        <v>42</v>
      </c>
      <c r="B1469">
        <v>185</v>
      </c>
      <c r="C1469" t="s">
        <v>999</v>
      </c>
      <c r="D1469" t="s">
        <v>4632</v>
      </c>
      <c r="E1469" t="s">
        <v>998</v>
      </c>
      <c r="F1469" t="s">
        <v>4633</v>
      </c>
      <c r="G1469" t="s">
        <v>24</v>
      </c>
      <c r="H1469" t="s">
        <v>26</v>
      </c>
      <c r="I1469" t="s">
        <v>3167</v>
      </c>
      <c r="J1469" t="s">
        <v>1003</v>
      </c>
      <c r="K1469" t="s">
        <v>3175</v>
      </c>
      <c r="L1469" t="s">
        <v>1003</v>
      </c>
      <c r="M1469" t="s">
        <v>1000</v>
      </c>
      <c r="N1469" t="s">
        <v>1001</v>
      </c>
      <c r="O1469" t="s">
        <v>1001</v>
      </c>
      <c r="P1469" t="s">
        <v>1089</v>
      </c>
      <c r="Q1469" t="s">
        <v>3169</v>
      </c>
      <c r="R1469" t="s">
        <v>446</v>
      </c>
      <c r="S1469" t="s">
        <v>446</v>
      </c>
      <c r="T1469" t="s">
        <v>1965</v>
      </c>
      <c r="U1469" t="b">
        <v>0</v>
      </c>
      <c r="V1469" t="s">
        <v>446</v>
      </c>
    </row>
    <row r="1470" spans="1:22" x14ac:dyDescent="0.25">
      <c r="A1470" t="s">
        <v>42</v>
      </c>
      <c r="B1470">
        <v>185</v>
      </c>
      <c r="C1470" t="s">
        <v>1005</v>
      </c>
      <c r="D1470" t="s">
        <v>4634</v>
      </c>
      <c r="E1470" t="s">
        <v>982</v>
      </c>
      <c r="F1470" t="s">
        <v>4635</v>
      </c>
      <c r="G1470" t="s">
        <v>24</v>
      </c>
      <c r="H1470" t="s">
        <v>26</v>
      </c>
      <c r="I1470" t="s">
        <v>3167</v>
      </c>
      <c r="J1470" t="s">
        <v>1003</v>
      </c>
      <c r="K1470" t="s">
        <v>3175</v>
      </c>
      <c r="L1470" t="s">
        <v>1003</v>
      </c>
      <c r="M1470" t="s">
        <v>1000</v>
      </c>
      <c r="N1470" t="s">
        <v>1001</v>
      </c>
      <c r="O1470" t="s">
        <v>1001</v>
      </c>
      <c r="P1470" t="s">
        <v>1089</v>
      </c>
      <c r="Q1470" t="s">
        <v>3169</v>
      </c>
      <c r="R1470" t="s">
        <v>446</v>
      </c>
      <c r="S1470" t="s">
        <v>446</v>
      </c>
      <c r="T1470" t="s">
        <v>1965</v>
      </c>
      <c r="U1470" t="b">
        <v>0</v>
      </c>
      <c r="V1470" t="s">
        <v>446</v>
      </c>
    </row>
    <row r="1471" spans="1:22" x14ac:dyDescent="0.25">
      <c r="A1471" t="s">
        <v>42</v>
      </c>
      <c r="B1471">
        <v>185</v>
      </c>
      <c r="C1471" t="s">
        <v>1007</v>
      </c>
      <c r="D1471" t="s">
        <v>4636</v>
      </c>
      <c r="E1471" t="s">
        <v>1006</v>
      </c>
      <c r="F1471" t="s">
        <v>4637</v>
      </c>
      <c r="G1471" t="s">
        <v>24</v>
      </c>
      <c r="H1471" t="s">
        <v>26</v>
      </c>
      <c r="I1471" t="s">
        <v>3167</v>
      </c>
      <c r="J1471" t="s">
        <v>1011</v>
      </c>
      <c r="K1471" t="s">
        <v>3179</v>
      </c>
      <c r="L1471" t="s">
        <v>1011</v>
      </c>
      <c r="M1471" t="s">
        <v>1008</v>
      </c>
      <c r="N1471" t="s">
        <v>1009</v>
      </c>
      <c r="O1471" t="s">
        <v>1009</v>
      </c>
      <c r="P1471" t="s">
        <v>1089</v>
      </c>
      <c r="Q1471" t="s">
        <v>3169</v>
      </c>
      <c r="R1471" t="s">
        <v>446</v>
      </c>
      <c r="S1471" t="s">
        <v>446</v>
      </c>
      <c r="T1471" t="s">
        <v>1965</v>
      </c>
      <c r="U1471" t="b">
        <v>0</v>
      </c>
      <c r="V1471" t="s">
        <v>446</v>
      </c>
    </row>
    <row r="1472" spans="1:22" x14ac:dyDescent="0.25">
      <c r="A1472" t="s">
        <v>42</v>
      </c>
      <c r="B1472">
        <v>185</v>
      </c>
      <c r="C1472" t="s">
        <v>1014</v>
      </c>
      <c r="D1472" t="s">
        <v>4638</v>
      </c>
      <c r="E1472" t="s">
        <v>1013</v>
      </c>
      <c r="F1472" t="s">
        <v>4639</v>
      </c>
      <c r="G1472" t="s">
        <v>24</v>
      </c>
      <c r="H1472" t="s">
        <v>26</v>
      </c>
      <c r="I1472" t="s">
        <v>3167</v>
      </c>
      <c r="J1472" t="s">
        <v>1016</v>
      </c>
      <c r="K1472" t="s">
        <v>3181</v>
      </c>
      <c r="L1472" t="s">
        <v>1016</v>
      </c>
      <c r="M1472" t="s">
        <v>980</v>
      </c>
      <c r="N1472" t="s">
        <v>1015</v>
      </c>
      <c r="O1472" t="s">
        <v>1015</v>
      </c>
      <c r="P1472" t="s">
        <v>1089</v>
      </c>
      <c r="Q1472" t="s">
        <v>3169</v>
      </c>
      <c r="R1472" t="s">
        <v>446</v>
      </c>
      <c r="S1472" t="s">
        <v>446</v>
      </c>
      <c r="T1472" t="s">
        <v>1965</v>
      </c>
      <c r="U1472" t="b">
        <v>0</v>
      </c>
      <c r="V1472" t="s">
        <v>446</v>
      </c>
    </row>
    <row r="1473" spans="1:22" x14ac:dyDescent="0.25">
      <c r="A1473" t="s">
        <v>42</v>
      </c>
      <c r="B1473">
        <v>185</v>
      </c>
      <c r="C1473" t="s">
        <v>1019</v>
      </c>
      <c r="D1473" t="s">
        <v>4640</v>
      </c>
      <c r="E1473" t="s">
        <v>1018</v>
      </c>
      <c r="F1473" t="s">
        <v>4641</v>
      </c>
      <c r="G1473" t="s">
        <v>24</v>
      </c>
      <c r="H1473" t="s">
        <v>26</v>
      </c>
      <c r="I1473" t="s">
        <v>3167</v>
      </c>
      <c r="J1473" t="s">
        <v>1021</v>
      </c>
      <c r="K1473" t="s">
        <v>3183</v>
      </c>
      <c r="L1473" t="s">
        <v>1021</v>
      </c>
      <c r="M1473" t="s">
        <v>980</v>
      </c>
      <c r="N1473" t="s">
        <v>1020</v>
      </c>
      <c r="O1473" t="s">
        <v>1020</v>
      </c>
      <c r="P1473" t="s">
        <v>1089</v>
      </c>
      <c r="Q1473" t="s">
        <v>3169</v>
      </c>
      <c r="R1473" t="s">
        <v>446</v>
      </c>
      <c r="S1473" t="s">
        <v>446</v>
      </c>
      <c r="T1473" t="s">
        <v>1965</v>
      </c>
      <c r="U1473" t="b">
        <v>0</v>
      </c>
      <c r="V1473" t="s">
        <v>446</v>
      </c>
    </row>
    <row r="1474" spans="1:22" x14ac:dyDescent="0.25">
      <c r="A1474" t="s">
        <v>42</v>
      </c>
      <c r="B1474">
        <v>185</v>
      </c>
      <c r="C1474" t="s">
        <v>1024</v>
      </c>
      <c r="D1474" t="s">
        <v>4642</v>
      </c>
      <c r="E1474" t="s">
        <v>1023</v>
      </c>
      <c r="F1474" t="s">
        <v>4643</v>
      </c>
      <c r="G1474" t="s">
        <v>24</v>
      </c>
      <c r="H1474" t="s">
        <v>26</v>
      </c>
      <c r="I1474" t="s">
        <v>3167</v>
      </c>
      <c r="J1474" t="s">
        <v>1026</v>
      </c>
      <c r="K1474" t="s">
        <v>3185</v>
      </c>
      <c r="L1474" t="s">
        <v>1026</v>
      </c>
      <c r="M1474" t="s">
        <v>1000</v>
      </c>
      <c r="N1474" t="s">
        <v>1025</v>
      </c>
      <c r="O1474" t="s">
        <v>1025</v>
      </c>
      <c r="P1474" t="s">
        <v>1089</v>
      </c>
      <c r="Q1474" t="s">
        <v>3169</v>
      </c>
      <c r="R1474" t="s">
        <v>446</v>
      </c>
      <c r="S1474" t="s">
        <v>446</v>
      </c>
      <c r="T1474" t="s">
        <v>1965</v>
      </c>
      <c r="U1474" t="b">
        <v>0</v>
      </c>
      <c r="V1474" t="s">
        <v>446</v>
      </c>
    </row>
    <row r="1475" spans="1:22" x14ac:dyDescent="0.25">
      <c r="A1475" t="s">
        <v>42</v>
      </c>
      <c r="B1475">
        <v>185</v>
      </c>
      <c r="C1475" t="s">
        <v>1028</v>
      </c>
      <c r="D1475" t="s">
        <v>4644</v>
      </c>
      <c r="E1475" t="s">
        <v>1010</v>
      </c>
      <c r="F1475" t="s">
        <v>4645</v>
      </c>
      <c r="G1475" t="s">
        <v>24</v>
      </c>
      <c r="H1475" t="s">
        <v>26</v>
      </c>
      <c r="I1475" t="s">
        <v>3167</v>
      </c>
      <c r="J1475" t="s">
        <v>1026</v>
      </c>
      <c r="K1475" t="s">
        <v>3185</v>
      </c>
      <c r="L1475" t="s">
        <v>1026</v>
      </c>
      <c r="M1475" t="s">
        <v>1000</v>
      </c>
      <c r="N1475" t="s">
        <v>1025</v>
      </c>
      <c r="O1475" t="s">
        <v>1025</v>
      </c>
      <c r="P1475" t="s">
        <v>1089</v>
      </c>
      <c r="Q1475" t="s">
        <v>3169</v>
      </c>
      <c r="R1475" t="s">
        <v>446</v>
      </c>
      <c r="S1475" t="s">
        <v>446</v>
      </c>
      <c r="T1475" t="s">
        <v>1965</v>
      </c>
      <c r="U1475" t="b">
        <v>0</v>
      </c>
      <c r="V1475" t="s">
        <v>446</v>
      </c>
    </row>
    <row r="1476" spans="1:22" x14ac:dyDescent="0.25">
      <c r="A1476" t="s">
        <v>42</v>
      </c>
      <c r="B1476">
        <v>185</v>
      </c>
      <c r="C1476" t="s">
        <v>1030</v>
      </c>
      <c r="D1476" t="s">
        <v>4646</v>
      </c>
      <c r="E1476" t="s">
        <v>1029</v>
      </c>
      <c r="F1476" t="s">
        <v>4647</v>
      </c>
      <c r="G1476" t="s">
        <v>24</v>
      </c>
      <c r="H1476" t="s">
        <v>26</v>
      </c>
      <c r="I1476" t="s">
        <v>3167</v>
      </c>
      <c r="J1476" t="s">
        <v>1033</v>
      </c>
      <c r="K1476" t="s">
        <v>3189</v>
      </c>
      <c r="L1476" t="s">
        <v>1033</v>
      </c>
      <c r="M1476" t="s">
        <v>980</v>
      </c>
      <c r="N1476" t="s">
        <v>1031</v>
      </c>
      <c r="O1476" t="s">
        <v>1031</v>
      </c>
      <c r="P1476" t="s">
        <v>1089</v>
      </c>
      <c r="Q1476" t="s">
        <v>3169</v>
      </c>
      <c r="R1476" t="s">
        <v>446</v>
      </c>
      <c r="S1476" t="s">
        <v>446</v>
      </c>
      <c r="T1476" t="s">
        <v>1965</v>
      </c>
      <c r="U1476" t="b">
        <v>0</v>
      </c>
      <c r="V1476" t="s">
        <v>446</v>
      </c>
    </row>
    <row r="1477" spans="1:22" x14ac:dyDescent="0.25">
      <c r="A1477" t="s">
        <v>42</v>
      </c>
      <c r="B1477">
        <v>185</v>
      </c>
      <c r="C1477" t="s">
        <v>1036</v>
      </c>
      <c r="D1477" t="s">
        <v>4648</v>
      </c>
      <c r="E1477" t="s">
        <v>1035</v>
      </c>
      <c r="F1477" t="s">
        <v>4649</v>
      </c>
      <c r="G1477" t="s">
        <v>24</v>
      </c>
      <c r="H1477" t="s">
        <v>26</v>
      </c>
      <c r="I1477" t="s">
        <v>3167</v>
      </c>
      <c r="J1477" t="s">
        <v>1038</v>
      </c>
      <c r="K1477" t="s">
        <v>3191</v>
      </c>
      <c r="L1477" t="s">
        <v>1038</v>
      </c>
      <c r="M1477" t="s">
        <v>980</v>
      </c>
      <c r="N1477" t="s">
        <v>1037</v>
      </c>
      <c r="O1477" t="s">
        <v>1037</v>
      </c>
      <c r="P1477" t="s">
        <v>1089</v>
      </c>
      <c r="Q1477" t="s">
        <v>3169</v>
      </c>
      <c r="R1477" t="s">
        <v>446</v>
      </c>
      <c r="S1477" t="s">
        <v>446</v>
      </c>
      <c r="T1477" t="s">
        <v>1965</v>
      </c>
      <c r="U1477" t="b">
        <v>0</v>
      </c>
      <c r="V1477" t="s">
        <v>446</v>
      </c>
    </row>
    <row r="1478" spans="1:22" x14ac:dyDescent="0.25">
      <c r="A1478" t="s">
        <v>42</v>
      </c>
      <c r="B1478">
        <v>185</v>
      </c>
      <c r="C1478" t="s">
        <v>1041</v>
      </c>
      <c r="D1478" t="s">
        <v>4650</v>
      </c>
      <c r="E1478" t="s">
        <v>1040</v>
      </c>
      <c r="F1478" t="s">
        <v>4651</v>
      </c>
      <c r="G1478" t="s">
        <v>24</v>
      </c>
      <c r="H1478" t="s">
        <v>26</v>
      </c>
      <c r="I1478" t="s">
        <v>3167</v>
      </c>
      <c r="J1478" t="s">
        <v>1043</v>
      </c>
      <c r="K1478" t="s">
        <v>3193</v>
      </c>
      <c r="L1478" t="s">
        <v>1043</v>
      </c>
      <c r="M1478" t="s">
        <v>980</v>
      </c>
      <c r="N1478" t="s">
        <v>1042</v>
      </c>
      <c r="O1478" t="s">
        <v>1042</v>
      </c>
      <c r="P1478" t="s">
        <v>1089</v>
      </c>
      <c r="Q1478" t="s">
        <v>3169</v>
      </c>
      <c r="R1478" t="s">
        <v>446</v>
      </c>
      <c r="S1478" t="s">
        <v>446</v>
      </c>
      <c r="T1478" t="s">
        <v>1965</v>
      </c>
      <c r="U1478" t="b">
        <v>0</v>
      </c>
      <c r="V1478" t="s">
        <v>446</v>
      </c>
    </row>
    <row r="1479" spans="1:22" x14ac:dyDescent="0.25">
      <c r="A1479" t="s">
        <v>42</v>
      </c>
      <c r="B1479">
        <v>185</v>
      </c>
      <c r="C1479" t="s">
        <v>1046</v>
      </c>
      <c r="D1479" t="s">
        <v>4652</v>
      </c>
      <c r="E1479" t="s">
        <v>1045</v>
      </c>
      <c r="F1479" t="s">
        <v>4653</v>
      </c>
      <c r="G1479" t="s">
        <v>24</v>
      </c>
      <c r="H1479" t="s">
        <v>26</v>
      </c>
      <c r="I1479" t="s">
        <v>3167</v>
      </c>
      <c r="J1479" t="s">
        <v>1048</v>
      </c>
      <c r="K1479" t="s">
        <v>3195</v>
      </c>
      <c r="L1479" t="s">
        <v>1048</v>
      </c>
      <c r="M1479" t="s">
        <v>1000</v>
      </c>
      <c r="N1479" t="s">
        <v>1047</v>
      </c>
      <c r="O1479" t="s">
        <v>1047</v>
      </c>
      <c r="P1479" t="s">
        <v>1089</v>
      </c>
      <c r="Q1479" t="s">
        <v>3169</v>
      </c>
      <c r="R1479" t="s">
        <v>446</v>
      </c>
      <c r="S1479" t="s">
        <v>446</v>
      </c>
      <c r="T1479" t="s">
        <v>1965</v>
      </c>
      <c r="U1479" t="b">
        <v>0</v>
      </c>
      <c r="V1479" t="s">
        <v>446</v>
      </c>
    </row>
    <row r="1480" spans="1:22" x14ac:dyDescent="0.25">
      <c r="A1480" t="s">
        <v>42</v>
      </c>
      <c r="B1480">
        <v>185</v>
      </c>
      <c r="C1480" t="s">
        <v>1050</v>
      </c>
      <c r="D1480" t="s">
        <v>4654</v>
      </c>
      <c r="E1480" t="s">
        <v>1032</v>
      </c>
      <c r="F1480" t="s">
        <v>4655</v>
      </c>
      <c r="G1480" t="s">
        <v>24</v>
      </c>
      <c r="H1480" t="s">
        <v>26</v>
      </c>
      <c r="I1480" t="s">
        <v>3167</v>
      </c>
      <c r="J1480" t="s">
        <v>1048</v>
      </c>
      <c r="K1480" t="s">
        <v>3195</v>
      </c>
      <c r="L1480" t="s">
        <v>1048</v>
      </c>
      <c r="M1480" t="s">
        <v>1000</v>
      </c>
      <c r="N1480" t="s">
        <v>1047</v>
      </c>
      <c r="O1480" t="s">
        <v>1047</v>
      </c>
      <c r="P1480" t="s">
        <v>1089</v>
      </c>
      <c r="Q1480" t="s">
        <v>3169</v>
      </c>
      <c r="R1480" t="s">
        <v>446</v>
      </c>
      <c r="S1480" t="s">
        <v>446</v>
      </c>
      <c r="T1480" t="s">
        <v>1965</v>
      </c>
      <c r="U1480" t="b">
        <v>0</v>
      </c>
      <c r="V1480" t="s">
        <v>446</v>
      </c>
    </row>
    <row r="1481" spans="1:22" x14ac:dyDescent="0.25">
      <c r="A1481" t="s">
        <v>42</v>
      </c>
      <c r="B1481">
        <v>185</v>
      </c>
      <c r="C1481" t="s">
        <v>1052</v>
      </c>
      <c r="D1481" t="s">
        <v>4656</v>
      </c>
      <c r="E1481" t="s">
        <v>1051</v>
      </c>
      <c r="F1481" t="s">
        <v>4657</v>
      </c>
      <c r="G1481" t="s">
        <v>24</v>
      </c>
      <c r="H1481" t="s">
        <v>26</v>
      </c>
      <c r="I1481" t="s">
        <v>3167</v>
      </c>
      <c r="J1481" t="s">
        <v>1055</v>
      </c>
      <c r="K1481" t="s">
        <v>3199</v>
      </c>
      <c r="L1481" t="s">
        <v>1055</v>
      </c>
      <c r="M1481" t="s">
        <v>980</v>
      </c>
      <c r="N1481" t="s">
        <v>1053</v>
      </c>
      <c r="O1481" t="s">
        <v>1053</v>
      </c>
      <c r="P1481" t="s">
        <v>1089</v>
      </c>
      <c r="Q1481" t="s">
        <v>3169</v>
      </c>
      <c r="R1481" t="s">
        <v>446</v>
      </c>
      <c r="S1481" t="s">
        <v>446</v>
      </c>
      <c r="T1481" t="s">
        <v>1965</v>
      </c>
      <c r="U1481" t="b">
        <v>0</v>
      </c>
      <c r="V1481" t="s">
        <v>446</v>
      </c>
    </row>
    <row r="1482" spans="1:22" x14ac:dyDescent="0.25">
      <c r="A1482" t="s">
        <v>42</v>
      </c>
      <c r="B1482">
        <v>186</v>
      </c>
      <c r="C1482" t="s">
        <v>979</v>
      </c>
      <c r="D1482" t="s">
        <v>4658</v>
      </c>
      <c r="E1482" t="s">
        <v>978</v>
      </c>
      <c r="F1482" t="s">
        <v>4659</v>
      </c>
      <c r="G1482" t="s">
        <v>24</v>
      </c>
      <c r="H1482" t="s">
        <v>26</v>
      </c>
      <c r="I1482" t="s">
        <v>3167</v>
      </c>
      <c r="J1482" t="s">
        <v>984</v>
      </c>
      <c r="K1482" t="s">
        <v>3168</v>
      </c>
      <c r="L1482" t="s">
        <v>984</v>
      </c>
      <c r="M1482" t="s">
        <v>980</v>
      </c>
      <c r="N1482" t="s">
        <v>981</v>
      </c>
      <c r="O1482" t="s">
        <v>981</v>
      </c>
      <c r="P1482" t="s">
        <v>1089</v>
      </c>
      <c r="Q1482" t="s">
        <v>3169</v>
      </c>
      <c r="R1482" t="s">
        <v>446</v>
      </c>
      <c r="S1482" t="s">
        <v>446</v>
      </c>
      <c r="T1482" t="s">
        <v>1965</v>
      </c>
      <c r="U1482" t="b">
        <v>0</v>
      </c>
      <c r="V1482" t="s">
        <v>446</v>
      </c>
    </row>
    <row r="1483" spans="1:22" x14ac:dyDescent="0.25">
      <c r="A1483" t="s">
        <v>42</v>
      </c>
      <c r="B1483">
        <v>186</v>
      </c>
      <c r="C1483" t="s">
        <v>987</v>
      </c>
      <c r="D1483" t="s">
        <v>4660</v>
      </c>
      <c r="E1483" t="s">
        <v>986</v>
      </c>
      <c r="F1483" t="s">
        <v>4661</v>
      </c>
      <c r="G1483" t="s">
        <v>24</v>
      </c>
      <c r="H1483" t="s">
        <v>26</v>
      </c>
      <c r="I1483" t="s">
        <v>3167</v>
      </c>
      <c r="J1483" t="s">
        <v>990</v>
      </c>
      <c r="K1483" t="s">
        <v>3171</v>
      </c>
      <c r="L1483" t="s">
        <v>990</v>
      </c>
      <c r="M1483" t="s">
        <v>980</v>
      </c>
      <c r="N1483" t="s">
        <v>988</v>
      </c>
      <c r="O1483" t="s">
        <v>988</v>
      </c>
      <c r="P1483" t="s">
        <v>1089</v>
      </c>
      <c r="Q1483" t="s">
        <v>3169</v>
      </c>
      <c r="R1483" t="s">
        <v>446</v>
      </c>
      <c r="S1483" t="s">
        <v>446</v>
      </c>
      <c r="T1483" t="s">
        <v>1965</v>
      </c>
      <c r="U1483" t="b">
        <v>0</v>
      </c>
      <c r="V1483" t="s">
        <v>446</v>
      </c>
    </row>
    <row r="1484" spans="1:22" x14ac:dyDescent="0.25">
      <c r="A1484" t="s">
        <v>42</v>
      </c>
      <c r="B1484">
        <v>186</v>
      </c>
      <c r="C1484" t="s">
        <v>993</v>
      </c>
      <c r="D1484" t="s">
        <v>4662</v>
      </c>
      <c r="E1484" t="s">
        <v>992</v>
      </c>
      <c r="F1484" t="s">
        <v>4663</v>
      </c>
      <c r="G1484" t="s">
        <v>24</v>
      </c>
      <c r="H1484" t="s">
        <v>26</v>
      </c>
      <c r="I1484" t="s">
        <v>3167</v>
      </c>
      <c r="J1484" t="s">
        <v>996</v>
      </c>
      <c r="K1484" t="s">
        <v>3173</v>
      </c>
      <c r="L1484" t="s">
        <v>996</v>
      </c>
      <c r="M1484" t="s">
        <v>980</v>
      </c>
      <c r="N1484" t="s">
        <v>994</v>
      </c>
      <c r="O1484" t="s">
        <v>994</v>
      </c>
      <c r="P1484" t="s">
        <v>1089</v>
      </c>
      <c r="Q1484" t="s">
        <v>3169</v>
      </c>
      <c r="R1484" t="s">
        <v>446</v>
      </c>
      <c r="S1484" t="s">
        <v>446</v>
      </c>
      <c r="T1484" t="s">
        <v>1965</v>
      </c>
      <c r="U1484" t="b">
        <v>0</v>
      </c>
      <c r="V1484" t="s">
        <v>446</v>
      </c>
    </row>
    <row r="1485" spans="1:22" x14ac:dyDescent="0.25">
      <c r="A1485" t="s">
        <v>42</v>
      </c>
      <c r="B1485">
        <v>186</v>
      </c>
      <c r="C1485" t="s">
        <v>999</v>
      </c>
      <c r="D1485" t="s">
        <v>4664</v>
      </c>
      <c r="E1485" t="s">
        <v>998</v>
      </c>
      <c r="F1485" t="s">
        <v>4665</v>
      </c>
      <c r="G1485" t="s">
        <v>24</v>
      </c>
      <c r="H1485" t="s">
        <v>26</v>
      </c>
      <c r="I1485" t="s">
        <v>3167</v>
      </c>
      <c r="J1485" t="s">
        <v>1003</v>
      </c>
      <c r="K1485" t="s">
        <v>3175</v>
      </c>
      <c r="L1485" t="s">
        <v>1003</v>
      </c>
      <c r="M1485" t="s">
        <v>1000</v>
      </c>
      <c r="N1485" t="s">
        <v>1001</v>
      </c>
      <c r="O1485" t="s">
        <v>1001</v>
      </c>
      <c r="P1485" t="s">
        <v>1089</v>
      </c>
      <c r="Q1485" t="s">
        <v>3169</v>
      </c>
      <c r="R1485" t="s">
        <v>446</v>
      </c>
      <c r="S1485" t="s">
        <v>446</v>
      </c>
      <c r="T1485" t="s">
        <v>1965</v>
      </c>
      <c r="U1485" t="b">
        <v>0</v>
      </c>
      <c r="V1485" t="s">
        <v>446</v>
      </c>
    </row>
    <row r="1486" spans="1:22" x14ac:dyDescent="0.25">
      <c r="A1486" t="s">
        <v>42</v>
      </c>
      <c r="B1486">
        <v>186</v>
      </c>
      <c r="C1486" t="s">
        <v>1005</v>
      </c>
      <c r="D1486" t="s">
        <v>4666</v>
      </c>
      <c r="E1486" t="s">
        <v>982</v>
      </c>
      <c r="F1486" t="s">
        <v>4667</v>
      </c>
      <c r="G1486" t="s">
        <v>24</v>
      </c>
      <c r="H1486" t="s">
        <v>26</v>
      </c>
      <c r="I1486" t="s">
        <v>3167</v>
      </c>
      <c r="J1486" t="s">
        <v>1003</v>
      </c>
      <c r="K1486" t="s">
        <v>3175</v>
      </c>
      <c r="L1486" t="s">
        <v>1003</v>
      </c>
      <c r="M1486" t="s">
        <v>1000</v>
      </c>
      <c r="N1486" t="s">
        <v>1001</v>
      </c>
      <c r="O1486" t="s">
        <v>1001</v>
      </c>
      <c r="P1486" t="s">
        <v>1089</v>
      </c>
      <c r="Q1486" t="s">
        <v>3169</v>
      </c>
      <c r="R1486" t="s">
        <v>446</v>
      </c>
      <c r="S1486" t="s">
        <v>446</v>
      </c>
      <c r="T1486" t="s">
        <v>1965</v>
      </c>
      <c r="U1486" t="b">
        <v>0</v>
      </c>
      <c r="V1486" t="s">
        <v>446</v>
      </c>
    </row>
    <row r="1487" spans="1:22" x14ac:dyDescent="0.25">
      <c r="A1487" t="s">
        <v>42</v>
      </c>
      <c r="B1487">
        <v>186</v>
      </c>
      <c r="C1487" t="s">
        <v>1007</v>
      </c>
      <c r="D1487" t="s">
        <v>4668</v>
      </c>
      <c r="E1487" t="s">
        <v>1006</v>
      </c>
      <c r="F1487" t="s">
        <v>4669</v>
      </c>
      <c r="G1487" t="s">
        <v>24</v>
      </c>
      <c r="H1487" t="s">
        <v>26</v>
      </c>
      <c r="I1487" t="s">
        <v>3167</v>
      </c>
      <c r="J1487" t="s">
        <v>1011</v>
      </c>
      <c r="K1487" t="s">
        <v>3179</v>
      </c>
      <c r="L1487" t="s">
        <v>1011</v>
      </c>
      <c r="M1487" t="s">
        <v>1008</v>
      </c>
      <c r="N1487" t="s">
        <v>1009</v>
      </c>
      <c r="O1487" t="s">
        <v>1009</v>
      </c>
      <c r="P1487" t="s">
        <v>1089</v>
      </c>
      <c r="Q1487" t="s">
        <v>3169</v>
      </c>
      <c r="R1487" t="s">
        <v>446</v>
      </c>
      <c r="S1487" t="s">
        <v>446</v>
      </c>
      <c r="T1487" t="s">
        <v>1965</v>
      </c>
      <c r="U1487" t="b">
        <v>0</v>
      </c>
      <c r="V1487" t="s">
        <v>446</v>
      </c>
    </row>
    <row r="1488" spans="1:22" x14ac:dyDescent="0.25">
      <c r="A1488" t="s">
        <v>42</v>
      </c>
      <c r="B1488">
        <v>186</v>
      </c>
      <c r="C1488" t="s">
        <v>1014</v>
      </c>
      <c r="D1488" t="s">
        <v>4670</v>
      </c>
      <c r="E1488" t="s">
        <v>1013</v>
      </c>
      <c r="F1488" t="s">
        <v>4671</v>
      </c>
      <c r="G1488" t="s">
        <v>24</v>
      </c>
      <c r="H1488" t="s">
        <v>26</v>
      </c>
      <c r="I1488" t="s">
        <v>3167</v>
      </c>
      <c r="J1488" t="s">
        <v>1016</v>
      </c>
      <c r="K1488" t="s">
        <v>3181</v>
      </c>
      <c r="L1488" t="s">
        <v>1016</v>
      </c>
      <c r="M1488" t="s">
        <v>980</v>
      </c>
      <c r="N1488" t="s">
        <v>1015</v>
      </c>
      <c r="O1488" t="s">
        <v>1015</v>
      </c>
      <c r="P1488" t="s">
        <v>1089</v>
      </c>
      <c r="Q1488" t="s">
        <v>3169</v>
      </c>
      <c r="R1488" t="s">
        <v>446</v>
      </c>
      <c r="S1488" t="s">
        <v>446</v>
      </c>
      <c r="T1488" t="s">
        <v>1965</v>
      </c>
      <c r="U1488" t="b">
        <v>0</v>
      </c>
      <c r="V1488" t="s">
        <v>446</v>
      </c>
    </row>
    <row r="1489" spans="1:22" x14ac:dyDescent="0.25">
      <c r="A1489" t="s">
        <v>42</v>
      </c>
      <c r="B1489">
        <v>186</v>
      </c>
      <c r="C1489" t="s">
        <v>1019</v>
      </c>
      <c r="D1489" t="s">
        <v>4672</v>
      </c>
      <c r="E1489" t="s">
        <v>1018</v>
      </c>
      <c r="F1489" t="s">
        <v>4673</v>
      </c>
      <c r="G1489" t="s">
        <v>24</v>
      </c>
      <c r="H1489" t="s">
        <v>26</v>
      </c>
      <c r="I1489" t="s">
        <v>3167</v>
      </c>
      <c r="J1489" t="s">
        <v>1021</v>
      </c>
      <c r="K1489" t="s">
        <v>3183</v>
      </c>
      <c r="L1489" t="s">
        <v>1021</v>
      </c>
      <c r="M1489" t="s">
        <v>980</v>
      </c>
      <c r="N1489" t="s">
        <v>1020</v>
      </c>
      <c r="O1489" t="s">
        <v>1020</v>
      </c>
      <c r="P1489" t="s">
        <v>1089</v>
      </c>
      <c r="Q1489" t="s">
        <v>3169</v>
      </c>
      <c r="R1489" t="s">
        <v>446</v>
      </c>
      <c r="S1489" t="s">
        <v>446</v>
      </c>
      <c r="T1489" t="s">
        <v>1965</v>
      </c>
      <c r="U1489" t="b">
        <v>0</v>
      </c>
      <c r="V1489" t="s">
        <v>446</v>
      </c>
    </row>
    <row r="1490" spans="1:22" x14ac:dyDescent="0.25">
      <c r="A1490" t="s">
        <v>42</v>
      </c>
      <c r="B1490">
        <v>186</v>
      </c>
      <c r="C1490" t="s">
        <v>1024</v>
      </c>
      <c r="D1490" t="s">
        <v>4674</v>
      </c>
      <c r="E1490" t="s">
        <v>1023</v>
      </c>
      <c r="F1490" t="s">
        <v>4675</v>
      </c>
      <c r="G1490" t="s">
        <v>24</v>
      </c>
      <c r="H1490" t="s">
        <v>26</v>
      </c>
      <c r="I1490" t="s">
        <v>3167</v>
      </c>
      <c r="J1490" t="s">
        <v>1026</v>
      </c>
      <c r="K1490" t="s">
        <v>3185</v>
      </c>
      <c r="L1490" t="s">
        <v>1026</v>
      </c>
      <c r="M1490" t="s">
        <v>1000</v>
      </c>
      <c r="N1490" t="s">
        <v>1025</v>
      </c>
      <c r="O1490" t="s">
        <v>1025</v>
      </c>
      <c r="P1490" t="s">
        <v>1089</v>
      </c>
      <c r="Q1490" t="s">
        <v>3169</v>
      </c>
      <c r="R1490" t="s">
        <v>446</v>
      </c>
      <c r="S1490" t="s">
        <v>446</v>
      </c>
      <c r="T1490" t="s">
        <v>1965</v>
      </c>
      <c r="U1490" t="b">
        <v>0</v>
      </c>
      <c r="V1490" t="s">
        <v>446</v>
      </c>
    </row>
    <row r="1491" spans="1:22" x14ac:dyDescent="0.25">
      <c r="A1491" t="s">
        <v>42</v>
      </c>
      <c r="B1491">
        <v>186</v>
      </c>
      <c r="C1491" t="s">
        <v>1028</v>
      </c>
      <c r="D1491" t="s">
        <v>4676</v>
      </c>
      <c r="E1491" t="s">
        <v>1010</v>
      </c>
      <c r="F1491" t="s">
        <v>4677</v>
      </c>
      <c r="G1491" t="s">
        <v>24</v>
      </c>
      <c r="H1491" t="s">
        <v>26</v>
      </c>
      <c r="I1491" t="s">
        <v>3167</v>
      </c>
      <c r="J1491" t="s">
        <v>1026</v>
      </c>
      <c r="K1491" t="s">
        <v>3185</v>
      </c>
      <c r="L1491" t="s">
        <v>1026</v>
      </c>
      <c r="M1491" t="s">
        <v>1000</v>
      </c>
      <c r="N1491" t="s">
        <v>1025</v>
      </c>
      <c r="O1491" t="s">
        <v>1025</v>
      </c>
      <c r="P1491" t="s">
        <v>1089</v>
      </c>
      <c r="Q1491" t="s">
        <v>3169</v>
      </c>
      <c r="R1491" t="s">
        <v>446</v>
      </c>
      <c r="S1491" t="s">
        <v>446</v>
      </c>
      <c r="T1491" t="s">
        <v>1965</v>
      </c>
      <c r="U1491" t="b">
        <v>0</v>
      </c>
      <c r="V1491" t="s">
        <v>446</v>
      </c>
    </row>
    <row r="1492" spans="1:22" x14ac:dyDescent="0.25">
      <c r="A1492" t="s">
        <v>42</v>
      </c>
      <c r="B1492">
        <v>186</v>
      </c>
      <c r="C1492" t="s">
        <v>1030</v>
      </c>
      <c r="D1492" t="s">
        <v>4678</v>
      </c>
      <c r="E1492" t="s">
        <v>1029</v>
      </c>
      <c r="F1492" t="s">
        <v>4679</v>
      </c>
      <c r="G1492" t="s">
        <v>24</v>
      </c>
      <c r="H1492" t="s">
        <v>26</v>
      </c>
      <c r="I1492" t="s">
        <v>3167</v>
      </c>
      <c r="J1492" t="s">
        <v>1033</v>
      </c>
      <c r="K1492" t="s">
        <v>3189</v>
      </c>
      <c r="L1492" t="s">
        <v>1033</v>
      </c>
      <c r="M1492" t="s">
        <v>980</v>
      </c>
      <c r="N1492" t="s">
        <v>1031</v>
      </c>
      <c r="O1492" t="s">
        <v>1031</v>
      </c>
      <c r="P1492" t="s">
        <v>1089</v>
      </c>
      <c r="Q1492" t="s">
        <v>3169</v>
      </c>
      <c r="R1492" t="s">
        <v>446</v>
      </c>
      <c r="S1492" t="s">
        <v>446</v>
      </c>
      <c r="T1492" t="s">
        <v>1965</v>
      </c>
      <c r="U1492" t="b">
        <v>0</v>
      </c>
      <c r="V1492" t="s">
        <v>446</v>
      </c>
    </row>
    <row r="1493" spans="1:22" x14ac:dyDescent="0.25">
      <c r="A1493" t="s">
        <v>42</v>
      </c>
      <c r="B1493">
        <v>186</v>
      </c>
      <c r="C1493" t="s">
        <v>1036</v>
      </c>
      <c r="D1493" t="s">
        <v>4680</v>
      </c>
      <c r="E1493" t="s">
        <v>1035</v>
      </c>
      <c r="F1493" t="s">
        <v>4681</v>
      </c>
      <c r="G1493" t="s">
        <v>24</v>
      </c>
      <c r="H1493" t="s">
        <v>26</v>
      </c>
      <c r="I1493" t="s">
        <v>3167</v>
      </c>
      <c r="J1493" t="s">
        <v>1038</v>
      </c>
      <c r="K1493" t="s">
        <v>3191</v>
      </c>
      <c r="L1493" t="s">
        <v>1038</v>
      </c>
      <c r="M1493" t="s">
        <v>980</v>
      </c>
      <c r="N1493" t="s">
        <v>1037</v>
      </c>
      <c r="O1493" t="s">
        <v>1037</v>
      </c>
      <c r="P1493" t="s">
        <v>1089</v>
      </c>
      <c r="Q1493" t="s">
        <v>3169</v>
      </c>
      <c r="R1493" t="s">
        <v>446</v>
      </c>
      <c r="S1493" t="s">
        <v>446</v>
      </c>
      <c r="T1493" t="s">
        <v>1965</v>
      </c>
      <c r="U1493" t="b">
        <v>0</v>
      </c>
      <c r="V1493" t="s">
        <v>446</v>
      </c>
    </row>
    <row r="1494" spans="1:22" x14ac:dyDescent="0.25">
      <c r="A1494" t="s">
        <v>42</v>
      </c>
      <c r="B1494">
        <v>186</v>
      </c>
      <c r="C1494" t="s">
        <v>1041</v>
      </c>
      <c r="D1494" t="s">
        <v>4682</v>
      </c>
      <c r="E1494" t="s">
        <v>1040</v>
      </c>
      <c r="F1494" t="s">
        <v>4683</v>
      </c>
      <c r="G1494" t="s">
        <v>24</v>
      </c>
      <c r="H1494" t="s">
        <v>26</v>
      </c>
      <c r="I1494" t="s">
        <v>3167</v>
      </c>
      <c r="J1494" t="s">
        <v>1043</v>
      </c>
      <c r="K1494" t="s">
        <v>3193</v>
      </c>
      <c r="L1494" t="s">
        <v>1043</v>
      </c>
      <c r="M1494" t="s">
        <v>980</v>
      </c>
      <c r="N1494" t="s">
        <v>1042</v>
      </c>
      <c r="O1494" t="s">
        <v>1042</v>
      </c>
      <c r="P1494" t="s">
        <v>1089</v>
      </c>
      <c r="Q1494" t="s">
        <v>3169</v>
      </c>
      <c r="R1494" t="s">
        <v>446</v>
      </c>
      <c r="S1494" t="s">
        <v>446</v>
      </c>
      <c r="T1494" t="s">
        <v>1965</v>
      </c>
      <c r="U1494" t="b">
        <v>0</v>
      </c>
      <c r="V1494" t="s">
        <v>446</v>
      </c>
    </row>
    <row r="1495" spans="1:22" x14ac:dyDescent="0.25">
      <c r="A1495" t="s">
        <v>42</v>
      </c>
      <c r="B1495">
        <v>186</v>
      </c>
      <c r="C1495" t="s">
        <v>1046</v>
      </c>
      <c r="D1495" t="s">
        <v>4684</v>
      </c>
      <c r="E1495" t="s">
        <v>1045</v>
      </c>
      <c r="F1495" t="s">
        <v>4685</v>
      </c>
      <c r="G1495" t="s">
        <v>24</v>
      </c>
      <c r="H1495" t="s">
        <v>26</v>
      </c>
      <c r="I1495" t="s">
        <v>3167</v>
      </c>
      <c r="J1495" t="s">
        <v>1048</v>
      </c>
      <c r="K1495" t="s">
        <v>3195</v>
      </c>
      <c r="L1495" t="s">
        <v>1048</v>
      </c>
      <c r="M1495" t="s">
        <v>1000</v>
      </c>
      <c r="N1495" t="s">
        <v>1047</v>
      </c>
      <c r="O1495" t="s">
        <v>1047</v>
      </c>
      <c r="P1495" t="s">
        <v>1089</v>
      </c>
      <c r="Q1495" t="s">
        <v>3169</v>
      </c>
      <c r="R1495" t="s">
        <v>446</v>
      </c>
      <c r="S1495" t="s">
        <v>446</v>
      </c>
      <c r="T1495" t="s">
        <v>1965</v>
      </c>
      <c r="U1495" t="b">
        <v>0</v>
      </c>
      <c r="V1495" t="s">
        <v>446</v>
      </c>
    </row>
    <row r="1496" spans="1:22" x14ac:dyDescent="0.25">
      <c r="A1496" t="s">
        <v>42</v>
      </c>
      <c r="B1496">
        <v>186</v>
      </c>
      <c r="C1496" t="s">
        <v>1050</v>
      </c>
      <c r="D1496" t="s">
        <v>4686</v>
      </c>
      <c r="E1496" t="s">
        <v>1032</v>
      </c>
      <c r="F1496" t="s">
        <v>4687</v>
      </c>
      <c r="G1496" t="s">
        <v>24</v>
      </c>
      <c r="H1496" t="s">
        <v>26</v>
      </c>
      <c r="I1496" t="s">
        <v>3167</v>
      </c>
      <c r="J1496" t="s">
        <v>1048</v>
      </c>
      <c r="K1496" t="s">
        <v>3195</v>
      </c>
      <c r="L1496" t="s">
        <v>1048</v>
      </c>
      <c r="M1496" t="s">
        <v>1000</v>
      </c>
      <c r="N1496" t="s">
        <v>1047</v>
      </c>
      <c r="O1496" t="s">
        <v>1047</v>
      </c>
      <c r="P1496" t="s">
        <v>1089</v>
      </c>
      <c r="Q1496" t="s">
        <v>3169</v>
      </c>
      <c r="R1496" t="s">
        <v>446</v>
      </c>
      <c r="S1496" t="s">
        <v>446</v>
      </c>
      <c r="T1496" t="s">
        <v>1965</v>
      </c>
      <c r="U1496" t="b">
        <v>0</v>
      </c>
      <c r="V1496" t="s">
        <v>446</v>
      </c>
    </row>
    <row r="1497" spans="1:22" x14ac:dyDescent="0.25">
      <c r="A1497" t="s">
        <v>42</v>
      </c>
      <c r="B1497">
        <v>186</v>
      </c>
      <c r="C1497" t="s">
        <v>1052</v>
      </c>
      <c r="D1497" t="s">
        <v>4688</v>
      </c>
      <c r="E1497" t="s">
        <v>1051</v>
      </c>
      <c r="F1497" t="s">
        <v>4689</v>
      </c>
      <c r="G1497" t="s">
        <v>24</v>
      </c>
      <c r="H1497" t="s">
        <v>26</v>
      </c>
      <c r="I1497" t="s">
        <v>3167</v>
      </c>
      <c r="J1497" t="s">
        <v>1055</v>
      </c>
      <c r="K1497" t="s">
        <v>3199</v>
      </c>
      <c r="L1497" t="s">
        <v>1055</v>
      </c>
      <c r="M1497" t="s">
        <v>980</v>
      </c>
      <c r="N1497" t="s">
        <v>1053</v>
      </c>
      <c r="O1497" t="s">
        <v>1053</v>
      </c>
      <c r="P1497" t="s">
        <v>1089</v>
      </c>
      <c r="Q1497" t="s">
        <v>3169</v>
      </c>
      <c r="R1497" t="s">
        <v>446</v>
      </c>
      <c r="S1497" t="s">
        <v>446</v>
      </c>
      <c r="T1497" t="s">
        <v>1965</v>
      </c>
      <c r="U1497" t="b">
        <v>0</v>
      </c>
      <c r="V1497" t="s">
        <v>446</v>
      </c>
    </row>
    <row r="1498" spans="1:22" x14ac:dyDescent="0.25">
      <c r="A1498" t="s">
        <v>42</v>
      </c>
      <c r="B1498">
        <v>187</v>
      </c>
      <c r="C1498" t="s">
        <v>979</v>
      </c>
      <c r="D1498" t="s">
        <v>4690</v>
      </c>
      <c r="E1498" t="s">
        <v>978</v>
      </c>
      <c r="F1498" t="s">
        <v>4691</v>
      </c>
      <c r="G1498" t="s">
        <v>24</v>
      </c>
      <c r="H1498" t="s">
        <v>26</v>
      </c>
      <c r="I1498" t="s">
        <v>3167</v>
      </c>
      <c r="J1498" t="s">
        <v>984</v>
      </c>
      <c r="K1498" t="s">
        <v>3168</v>
      </c>
      <c r="L1498" t="s">
        <v>984</v>
      </c>
      <c r="M1498" t="s">
        <v>980</v>
      </c>
      <c r="N1498" t="s">
        <v>981</v>
      </c>
      <c r="O1498" t="s">
        <v>981</v>
      </c>
      <c r="P1498" t="s">
        <v>1089</v>
      </c>
      <c r="Q1498" t="s">
        <v>3169</v>
      </c>
      <c r="R1498" t="s">
        <v>446</v>
      </c>
      <c r="S1498" t="s">
        <v>446</v>
      </c>
      <c r="T1498" t="s">
        <v>1965</v>
      </c>
      <c r="U1498" t="b">
        <v>0</v>
      </c>
      <c r="V1498" t="s">
        <v>446</v>
      </c>
    </row>
    <row r="1499" spans="1:22" x14ac:dyDescent="0.25">
      <c r="A1499" t="s">
        <v>42</v>
      </c>
      <c r="B1499">
        <v>187</v>
      </c>
      <c r="C1499" t="s">
        <v>987</v>
      </c>
      <c r="D1499" t="s">
        <v>4692</v>
      </c>
      <c r="E1499" t="s">
        <v>986</v>
      </c>
      <c r="F1499" t="s">
        <v>4693</v>
      </c>
      <c r="G1499" t="s">
        <v>24</v>
      </c>
      <c r="H1499" t="s">
        <v>26</v>
      </c>
      <c r="I1499" t="s">
        <v>3167</v>
      </c>
      <c r="J1499" t="s">
        <v>990</v>
      </c>
      <c r="K1499" t="s">
        <v>3171</v>
      </c>
      <c r="L1499" t="s">
        <v>990</v>
      </c>
      <c r="M1499" t="s">
        <v>980</v>
      </c>
      <c r="N1499" t="s">
        <v>988</v>
      </c>
      <c r="O1499" t="s">
        <v>988</v>
      </c>
      <c r="P1499" t="s">
        <v>1089</v>
      </c>
      <c r="Q1499" t="s">
        <v>3169</v>
      </c>
      <c r="R1499" t="s">
        <v>446</v>
      </c>
      <c r="S1499" t="s">
        <v>446</v>
      </c>
      <c r="T1499" t="s">
        <v>1965</v>
      </c>
      <c r="U1499" t="b">
        <v>0</v>
      </c>
      <c r="V1499" t="s">
        <v>446</v>
      </c>
    </row>
    <row r="1500" spans="1:22" x14ac:dyDescent="0.25">
      <c r="A1500" t="s">
        <v>42</v>
      </c>
      <c r="B1500">
        <v>187</v>
      </c>
      <c r="C1500" t="s">
        <v>993</v>
      </c>
      <c r="D1500" t="s">
        <v>4694</v>
      </c>
      <c r="E1500" t="s">
        <v>992</v>
      </c>
      <c r="F1500" t="s">
        <v>4695</v>
      </c>
      <c r="G1500" t="s">
        <v>24</v>
      </c>
      <c r="H1500" t="s">
        <v>26</v>
      </c>
      <c r="I1500" t="s">
        <v>3167</v>
      </c>
      <c r="J1500" t="s">
        <v>996</v>
      </c>
      <c r="K1500" t="s">
        <v>3173</v>
      </c>
      <c r="L1500" t="s">
        <v>996</v>
      </c>
      <c r="M1500" t="s">
        <v>980</v>
      </c>
      <c r="N1500" t="s">
        <v>994</v>
      </c>
      <c r="O1500" t="s">
        <v>994</v>
      </c>
      <c r="P1500" t="s">
        <v>1089</v>
      </c>
      <c r="Q1500" t="s">
        <v>3169</v>
      </c>
      <c r="R1500" t="s">
        <v>446</v>
      </c>
      <c r="S1500" t="s">
        <v>446</v>
      </c>
      <c r="T1500" t="s">
        <v>1965</v>
      </c>
      <c r="U1500" t="b">
        <v>0</v>
      </c>
      <c r="V1500" t="s">
        <v>446</v>
      </c>
    </row>
    <row r="1501" spans="1:22" x14ac:dyDescent="0.25">
      <c r="A1501" t="s">
        <v>42</v>
      </c>
      <c r="B1501">
        <v>187</v>
      </c>
      <c r="C1501" t="s">
        <v>999</v>
      </c>
      <c r="D1501" t="s">
        <v>4696</v>
      </c>
      <c r="E1501" t="s">
        <v>998</v>
      </c>
      <c r="F1501" t="s">
        <v>4697</v>
      </c>
      <c r="G1501" t="s">
        <v>24</v>
      </c>
      <c r="H1501" t="s">
        <v>26</v>
      </c>
      <c r="I1501" t="s">
        <v>3167</v>
      </c>
      <c r="J1501" t="s">
        <v>1003</v>
      </c>
      <c r="K1501" t="s">
        <v>3175</v>
      </c>
      <c r="L1501" t="s">
        <v>1003</v>
      </c>
      <c r="M1501" t="s">
        <v>1000</v>
      </c>
      <c r="N1501" t="s">
        <v>1001</v>
      </c>
      <c r="O1501" t="s">
        <v>1001</v>
      </c>
      <c r="P1501" t="s">
        <v>1089</v>
      </c>
      <c r="Q1501" t="s">
        <v>3169</v>
      </c>
      <c r="R1501" t="s">
        <v>446</v>
      </c>
      <c r="S1501" t="s">
        <v>446</v>
      </c>
      <c r="T1501" t="s">
        <v>1965</v>
      </c>
      <c r="U1501" t="b">
        <v>0</v>
      </c>
      <c r="V1501" t="s">
        <v>446</v>
      </c>
    </row>
    <row r="1502" spans="1:22" x14ac:dyDescent="0.25">
      <c r="A1502" t="s">
        <v>42</v>
      </c>
      <c r="B1502">
        <v>187</v>
      </c>
      <c r="C1502" t="s">
        <v>1005</v>
      </c>
      <c r="D1502" t="s">
        <v>4698</v>
      </c>
      <c r="E1502" t="s">
        <v>982</v>
      </c>
      <c r="F1502" t="s">
        <v>4699</v>
      </c>
      <c r="G1502" t="s">
        <v>24</v>
      </c>
      <c r="H1502" t="s">
        <v>26</v>
      </c>
      <c r="I1502" t="s">
        <v>3167</v>
      </c>
      <c r="J1502" t="s">
        <v>1003</v>
      </c>
      <c r="K1502" t="s">
        <v>3175</v>
      </c>
      <c r="L1502" t="s">
        <v>1003</v>
      </c>
      <c r="M1502" t="s">
        <v>1000</v>
      </c>
      <c r="N1502" t="s">
        <v>1001</v>
      </c>
      <c r="O1502" t="s">
        <v>1001</v>
      </c>
      <c r="P1502" t="s">
        <v>1089</v>
      </c>
      <c r="Q1502" t="s">
        <v>3169</v>
      </c>
      <c r="R1502" t="s">
        <v>446</v>
      </c>
      <c r="S1502" t="s">
        <v>446</v>
      </c>
      <c r="T1502" t="s">
        <v>1965</v>
      </c>
      <c r="U1502" t="b">
        <v>0</v>
      </c>
      <c r="V1502" t="s">
        <v>446</v>
      </c>
    </row>
    <row r="1503" spans="1:22" x14ac:dyDescent="0.25">
      <c r="A1503" t="s">
        <v>42</v>
      </c>
      <c r="B1503">
        <v>187</v>
      </c>
      <c r="C1503" t="s">
        <v>1007</v>
      </c>
      <c r="D1503" t="s">
        <v>4700</v>
      </c>
      <c r="E1503" t="s">
        <v>1006</v>
      </c>
      <c r="F1503" t="s">
        <v>4701</v>
      </c>
      <c r="G1503" t="s">
        <v>24</v>
      </c>
      <c r="H1503" t="s">
        <v>26</v>
      </c>
      <c r="I1503" t="s">
        <v>3167</v>
      </c>
      <c r="J1503" t="s">
        <v>1011</v>
      </c>
      <c r="K1503" t="s">
        <v>3179</v>
      </c>
      <c r="L1503" t="s">
        <v>1011</v>
      </c>
      <c r="M1503" t="s">
        <v>1008</v>
      </c>
      <c r="N1503" t="s">
        <v>1009</v>
      </c>
      <c r="O1503" t="s">
        <v>1009</v>
      </c>
      <c r="P1503" t="s">
        <v>1089</v>
      </c>
      <c r="Q1503" t="s">
        <v>3169</v>
      </c>
      <c r="R1503" t="s">
        <v>446</v>
      </c>
      <c r="S1503" t="s">
        <v>446</v>
      </c>
      <c r="T1503" t="s">
        <v>1965</v>
      </c>
      <c r="U1503" t="b">
        <v>0</v>
      </c>
      <c r="V1503" t="s">
        <v>446</v>
      </c>
    </row>
    <row r="1504" spans="1:22" x14ac:dyDescent="0.25">
      <c r="A1504" t="s">
        <v>42</v>
      </c>
      <c r="B1504">
        <v>187</v>
      </c>
      <c r="C1504" t="s">
        <v>1014</v>
      </c>
      <c r="D1504" t="s">
        <v>4702</v>
      </c>
      <c r="E1504" t="s">
        <v>1013</v>
      </c>
      <c r="F1504" t="s">
        <v>4703</v>
      </c>
      <c r="G1504" t="s">
        <v>24</v>
      </c>
      <c r="H1504" t="s">
        <v>26</v>
      </c>
      <c r="I1504" t="s">
        <v>3167</v>
      </c>
      <c r="J1504" t="s">
        <v>1016</v>
      </c>
      <c r="K1504" t="s">
        <v>3181</v>
      </c>
      <c r="L1504" t="s">
        <v>1016</v>
      </c>
      <c r="M1504" t="s">
        <v>980</v>
      </c>
      <c r="N1504" t="s">
        <v>1015</v>
      </c>
      <c r="O1504" t="s">
        <v>1015</v>
      </c>
      <c r="P1504" t="s">
        <v>1089</v>
      </c>
      <c r="Q1504" t="s">
        <v>3169</v>
      </c>
      <c r="R1504" t="s">
        <v>446</v>
      </c>
      <c r="S1504" t="s">
        <v>446</v>
      </c>
      <c r="T1504" t="s">
        <v>1965</v>
      </c>
      <c r="U1504" t="b">
        <v>0</v>
      </c>
      <c r="V1504" t="s">
        <v>446</v>
      </c>
    </row>
    <row r="1505" spans="1:22" x14ac:dyDescent="0.25">
      <c r="A1505" t="s">
        <v>42</v>
      </c>
      <c r="B1505">
        <v>187</v>
      </c>
      <c r="C1505" t="s">
        <v>1019</v>
      </c>
      <c r="D1505" t="s">
        <v>4704</v>
      </c>
      <c r="E1505" t="s">
        <v>1018</v>
      </c>
      <c r="F1505" t="s">
        <v>4705</v>
      </c>
      <c r="G1505" t="s">
        <v>24</v>
      </c>
      <c r="H1505" t="s">
        <v>26</v>
      </c>
      <c r="I1505" t="s">
        <v>3167</v>
      </c>
      <c r="J1505" t="s">
        <v>1021</v>
      </c>
      <c r="K1505" t="s">
        <v>3183</v>
      </c>
      <c r="L1505" t="s">
        <v>1021</v>
      </c>
      <c r="M1505" t="s">
        <v>980</v>
      </c>
      <c r="N1505" t="s">
        <v>1020</v>
      </c>
      <c r="O1505" t="s">
        <v>1020</v>
      </c>
      <c r="P1505" t="s">
        <v>1089</v>
      </c>
      <c r="Q1505" t="s">
        <v>3169</v>
      </c>
      <c r="R1505" t="s">
        <v>446</v>
      </c>
      <c r="S1505" t="s">
        <v>446</v>
      </c>
      <c r="T1505" t="s">
        <v>1965</v>
      </c>
      <c r="U1505" t="b">
        <v>0</v>
      </c>
      <c r="V1505" t="s">
        <v>446</v>
      </c>
    </row>
    <row r="1506" spans="1:22" x14ac:dyDescent="0.25">
      <c r="A1506" t="s">
        <v>42</v>
      </c>
      <c r="B1506">
        <v>187</v>
      </c>
      <c r="C1506" t="s">
        <v>1024</v>
      </c>
      <c r="D1506" t="s">
        <v>4706</v>
      </c>
      <c r="E1506" t="s">
        <v>1023</v>
      </c>
      <c r="F1506" t="s">
        <v>4707</v>
      </c>
      <c r="G1506" t="s">
        <v>24</v>
      </c>
      <c r="H1506" t="s">
        <v>26</v>
      </c>
      <c r="I1506" t="s">
        <v>3167</v>
      </c>
      <c r="J1506" t="s">
        <v>1026</v>
      </c>
      <c r="K1506" t="s">
        <v>3185</v>
      </c>
      <c r="L1506" t="s">
        <v>1026</v>
      </c>
      <c r="M1506" t="s">
        <v>1000</v>
      </c>
      <c r="N1506" t="s">
        <v>1025</v>
      </c>
      <c r="O1506" t="s">
        <v>1025</v>
      </c>
      <c r="P1506" t="s">
        <v>1089</v>
      </c>
      <c r="Q1506" t="s">
        <v>3169</v>
      </c>
      <c r="R1506" t="s">
        <v>446</v>
      </c>
      <c r="S1506" t="s">
        <v>446</v>
      </c>
      <c r="T1506" t="s">
        <v>1965</v>
      </c>
      <c r="U1506" t="b">
        <v>0</v>
      </c>
      <c r="V1506" t="s">
        <v>446</v>
      </c>
    </row>
    <row r="1507" spans="1:22" x14ac:dyDescent="0.25">
      <c r="A1507" t="s">
        <v>42</v>
      </c>
      <c r="B1507">
        <v>187</v>
      </c>
      <c r="C1507" t="s">
        <v>1028</v>
      </c>
      <c r="D1507" t="s">
        <v>4708</v>
      </c>
      <c r="E1507" t="s">
        <v>1010</v>
      </c>
      <c r="F1507" t="s">
        <v>4709</v>
      </c>
      <c r="G1507" t="s">
        <v>24</v>
      </c>
      <c r="H1507" t="s">
        <v>26</v>
      </c>
      <c r="I1507" t="s">
        <v>3167</v>
      </c>
      <c r="J1507" t="s">
        <v>1026</v>
      </c>
      <c r="K1507" t="s">
        <v>3185</v>
      </c>
      <c r="L1507" t="s">
        <v>1026</v>
      </c>
      <c r="M1507" t="s">
        <v>1000</v>
      </c>
      <c r="N1507" t="s">
        <v>1025</v>
      </c>
      <c r="O1507" t="s">
        <v>1025</v>
      </c>
      <c r="P1507" t="s">
        <v>1089</v>
      </c>
      <c r="Q1507" t="s">
        <v>3169</v>
      </c>
      <c r="R1507" t="s">
        <v>446</v>
      </c>
      <c r="S1507" t="s">
        <v>446</v>
      </c>
      <c r="T1507" t="s">
        <v>1965</v>
      </c>
      <c r="U1507" t="b">
        <v>0</v>
      </c>
      <c r="V1507" t="s">
        <v>446</v>
      </c>
    </row>
    <row r="1508" spans="1:22" x14ac:dyDescent="0.25">
      <c r="A1508" t="s">
        <v>42</v>
      </c>
      <c r="B1508">
        <v>187</v>
      </c>
      <c r="C1508" t="s">
        <v>1030</v>
      </c>
      <c r="D1508" t="s">
        <v>4710</v>
      </c>
      <c r="E1508" t="s">
        <v>1029</v>
      </c>
      <c r="F1508" t="s">
        <v>4711</v>
      </c>
      <c r="G1508" t="s">
        <v>24</v>
      </c>
      <c r="H1508" t="s">
        <v>26</v>
      </c>
      <c r="I1508" t="s">
        <v>3167</v>
      </c>
      <c r="J1508" t="s">
        <v>1033</v>
      </c>
      <c r="K1508" t="s">
        <v>3189</v>
      </c>
      <c r="L1508" t="s">
        <v>1033</v>
      </c>
      <c r="M1508" t="s">
        <v>980</v>
      </c>
      <c r="N1508" t="s">
        <v>1031</v>
      </c>
      <c r="O1508" t="s">
        <v>1031</v>
      </c>
      <c r="P1508" t="s">
        <v>1089</v>
      </c>
      <c r="Q1508" t="s">
        <v>3169</v>
      </c>
      <c r="R1508" t="s">
        <v>446</v>
      </c>
      <c r="S1508" t="s">
        <v>446</v>
      </c>
      <c r="T1508" t="s">
        <v>1965</v>
      </c>
      <c r="U1508" t="b">
        <v>0</v>
      </c>
      <c r="V1508" t="s">
        <v>446</v>
      </c>
    </row>
    <row r="1509" spans="1:22" x14ac:dyDescent="0.25">
      <c r="A1509" t="s">
        <v>42</v>
      </c>
      <c r="B1509">
        <v>187</v>
      </c>
      <c r="C1509" t="s">
        <v>1036</v>
      </c>
      <c r="D1509" t="s">
        <v>4712</v>
      </c>
      <c r="E1509" t="s">
        <v>1035</v>
      </c>
      <c r="F1509" t="s">
        <v>4713</v>
      </c>
      <c r="G1509" t="s">
        <v>24</v>
      </c>
      <c r="H1509" t="s">
        <v>26</v>
      </c>
      <c r="I1509" t="s">
        <v>3167</v>
      </c>
      <c r="J1509" t="s">
        <v>1038</v>
      </c>
      <c r="K1509" t="s">
        <v>3191</v>
      </c>
      <c r="L1509" t="s">
        <v>1038</v>
      </c>
      <c r="M1509" t="s">
        <v>980</v>
      </c>
      <c r="N1509" t="s">
        <v>1037</v>
      </c>
      <c r="O1509" t="s">
        <v>1037</v>
      </c>
      <c r="P1509" t="s">
        <v>1089</v>
      </c>
      <c r="Q1509" t="s">
        <v>3169</v>
      </c>
      <c r="R1509" t="s">
        <v>446</v>
      </c>
      <c r="S1509" t="s">
        <v>446</v>
      </c>
      <c r="T1509" t="s">
        <v>1965</v>
      </c>
      <c r="U1509" t="b">
        <v>0</v>
      </c>
      <c r="V1509" t="s">
        <v>446</v>
      </c>
    </row>
    <row r="1510" spans="1:22" x14ac:dyDescent="0.25">
      <c r="A1510" t="s">
        <v>42</v>
      </c>
      <c r="B1510">
        <v>187</v>
      </c>
      <c r="C1510" t="s">
        <v>1041</v>
      </c>
      <c r="D1510" t="s">
        <v>4714</v>
      </c>
      <c r="E1510" t="s">
        <v>1040</v>
      </c>
      <c r="F1510" t="s">
        <v>4715</v>
      </c>
      <c r="G1510" t="s">
        <v>24</v>
      </c>
      <c r="H1510" t="s">
        <v>26</v>
      </c>
      <c r="I1510" t="s">
        <v>3167</v>
      </c>
      <c r="J1510" t="s">
        <v>1043</v>
      </c>
      <c r="K1510" t="s">
        <v>3193</v>
      </c>
      <c r="L1510" t="s">
        <v>1043</v>
      </c>
      <c r="M1510" t="s">
        <v>980</v>
      </c>
      <c r="N1510" t="s">
        <v>1042</v>
      </c>
      <c r="O1510" t="s">
        <v>1042</v>
      </c>
      <c r="P1510" t="s">
        <v>1089</v>
      </c>
      <c r="Q1510" t="s">
        <v>3169</v>
      </c>
      <c r="R1510" t="s">
        <v>446</v>
      </c>
      <c r="S1510" t="s">
        <v>446</v>
      </c>
      <c r="T1510" t="s">
        <v>1965</v>
      </c>
      <c r="U1510" t="b">
        <v>0</v>
      </c>
      <c r="V1510" t="s">
        <v>446</v>
      </c>
    </row>
    <row r="1511" spans="1:22" x14ac:dyDescent="0.25">
      <c r="A1511" t="s">
        <v>42</v>
      </c>
      <c r="B1511">
        <v>187</v>
      </c>
      <c r="C1511" t="s">
        <v>1046</v>
      </c>
      <c r="D1511" t="s">
        <v>4716</v>
      </c>
      <c r="E1511" t="s">
        <v>1045</v>
      </c>
      <c r="F1511" t="s">
        <v>4717</v>
      </c>
      <c r="G1511" t="s">
        <v>24</v>
      </c>
      <c r="H1511" t="s">
        <v>26</v>
      </c>
      <c r="I1511" t="s">
        <v>3167</v>
      </c>
      <c r="J1511" t="s">
        <v>1048</v>
      </c>
      <c r="K1511" t="s">
        <v>3195</v>
      </c>
      <c r="L1511" t="s">
        <v>1048</v>
      </c>
      <c r="M1511" t="s">
        <v>1000</v>
      </c>
      <c r="N1511" t="s">
        <v>1047</v>
      </c>
      <c r="O1511" t="s">
        <v>1047</v>
      </c>
      <c r="P1511" t="s">
        <v>1089</v>
      </c>
      <c r="Q1511" t="s">
        <v>3169</v>
      </c>
      <c r="R1511" t="s">
        <v>446</v>
      </c>
      <c r="S1511" t="s">
        <v>446</v>
      </c>
      <c r="T1511" t="s">
        <v>1965</v>
      </c>
      <c r="U1511" t="b">
        <v>0</v>
      </c>
      <c r="V1511" t="s">
        <v>446</v>
      </c>
    </row>
    <row r="1512" spans="1:22" x14ac:dyDescent="0.25">
      <c r="A1512" t="s">
        <v>42</v>
      </c>
      <c r="B1512">
        <v>187</v>
      </c>
      <c r="C1512" t="s">
        <v>1050</v>
      </c>
      <c r="D1512" t="s">
        <v>4718</v>
      </c>
      <c r="E1512" t="s">
        <v>1032</v>
      </c>
      <c r="F1512" t="s">
        <v>4719</v>
      </c>
      <c r="G1512" t="s">
        <v>24</v>
      </c>
      <c r="H1512" t="s">
        <v>26</v>
      </c>
      <c r="I1512" t="s">
        <v>3167</v>
      </c>
      <c r="J1512" t="s">
        <v>1048</v>
      </c>
      <c r="K1512" t="s">
        <v>3195</v>
      </c>
      <c r="L1512" t="s">
        <v>1048</v>
      </c>
      <c r="M1512" t="s">
        <v>1000</v>
      </c>
      <c r="N1512" t="s">
        <v>1047</v>
      </c>
      <c r="O1512" t="s">
        <v>1047</v>
      </c>
      <c r="P1512" t="s">
        <v>1089</v>
      </c>
      <c r="Q1512" t="s">
        <v>3169</v>
      </c>
      <c r="R1512" t="s">
        <v>446</v>
      </c>
      <c r="S1512" t="s">
        <v>446</v>
      </c>
      <c r="T1512" t="s">
        <v>1965</v>
      </c>
      <c r="U1512" t="b">
        <v>0</v>
      </c>
      <c r="V1512" t="s">
        <v>446</v>
      </c>
    </row>
    <row r="1513" spans="1:22" x14ac:dyDescent="0.25">
      <c r="A1513" t="s">
        <v>42</v>
      </c>
      <c r="B1513">
        <v>187</v>
      </c>
      <c r="C1513" t="s">
        <v>1052</v>
      </c>
      <c r="D1513" t="s">
        <v>4720</v>
      </c>
      <c r="E1513" t="s">
        <v>1051</v>
      </c>
      <c r="F1513" t="s">
        <v>4721</v>
      </c>
      <c r="G1513" t="s">
        <v>24</v>
      </c>
      <c r="H1513" t="s">
        <v>26</v>
      </c>
      <c r="I1513" t="s">
        <v>3167</v>
      </c>
      <c r="J1513" t="s">
        <v>1055</v>
      </c>
      <c r="K1513" t="s">
        <v>3199</v>
      </c>
      <c r="L1513" t="s">
        <v>1055</v>
      </c>
      <c r="M1513" t="s">
        <v>980</v>
      </c>
      <c r="N1513" t="s">
        <v>1053</v>
      </c>
      <c r="O1513" t="s">
        <v>1053</v>
      </c>
      <c r="P1513" t="s">
        <v>1089</v>
      </c>
      <c r="Q1513" t="s">
        <v>3169</v>
      </c>
      <c r="R1513" t="s">
        <v>446</v>
      </c>
      <c r="S1513" t="s">
        <v>446</v>
      </c>
      <c r="T1513" t="s">
        <v>1965</v>
      </c>
      <c r="U1513" t="b">
        <v>0</v>
      </c>
      <c r="V1513" t="s">
        <v>446</v>
      </c>
    </row>
    <row r="1514" spans="1:22" x14ac:dyDescent="0.25">
      <c r="A1514" t="s">
        <v>42</v>
      </c>
      <c r="B1514">
        <v>188</v>
      </c>
      <c r="C1514" t="s">
        <v>979</v>
      </c>
      <c r="D1514" t="s">
        <v>4722</v>
      </c>
      <c r="E1514" t="s">
        <v>978</v>
      </c>
      <c r="F1514" t="s">
        <v>4723</v>
      </c>
      <c r="G1514" t="s">
        <v>24</v>
      </c>
      <c r="H1514" t="s">
        <v>26</v>
      </c>
      <c r="I1514" t="s">
        <v>3167</v>
      </c>
      <c r="J1514" t="s">
        <v>984</v>
      </c>
      <c r="K1514" t="s">
        <v>3168</v>
      </c>
      <c r="L1514" t="s">
        <v>984</v>
      </c>
      <c r="M1514" t="s">
        <v>980</v>
      </c>
      <c r="N1514" t="s">
        <v>981</v>
      </c>
      <c r="O1514" t="s">
        <v>981</v>
      </c>
      <c r="P1514" t="s">
        <v>1089</v>
      </c>
      <c r="Q1514" t="s">
        <v>3169</v>
      </c>
      <c r="R1514" t="s">
        <v>446</v>
      </c>
      <c r="S1514" t="s">
        <v>446</v>
      </c>
      <c r="T1514" t="s">
        <v>1965</v>
      </c>
      <c r="U1514" t="b">
        <v>0</v>
      </c>
      <c r="V1514" t="s">
        <v>446</v>
      </c>
    </row>
    <row r="1515" spans="1:22" x14ac:dyDescent="0.25">
      <c r="A1515" t="s">
        <v>42</v>
      </c>
      <c r="B1515">
        <v>188</v>
      </c>
      <c r="C1515" t="s">
        <v>987</v>
      </c>
      <c r="D1515" t="s">
        <v>4724</v>
      </c>
      <c r="E1515" t="s">
        <v>986</v>
      </c>
      <c r="F1515" t="s">
        <v>4725</v>
      </c>
      <c r="G1515" t="s">
        <v>24</v>
      </c>
      <c r="H1515" t="s">
        <v>26</v>
      </c>
      <c r="I1515" t="s">
        <v>3167</v>
      </c>
      <c r="J1515" t="s">
        <v>990</v>
      </c>
      <c r="K1515" t="s">
        <v>3171</v>
      </c>
      <c r="L1515" t="s">
        <v>990</v>
      </c>
      <c r="M1515" t="s">
        <v>980</v>
      </c>
      <c r="N1515" t="s">
        <v>988</v>
      </c>
      <c r="O1515" t="s">
        <v>988</v>
      </c>
      <c r="P1515" t="s">
        <v>1089</v>
      </c>
      <c r="Q1515" t="s">
        <v>3169</v>
      </c>
      <c r="R1515" t="s">
        <v>446</v>
      </c>
      <c r="S1515" t="s">
        <v>446</v>
      </c>
      <c r="T1515" t="s">
        <v>1965</v>
      </c>
      <c r="U1515" t="b">
        <v>0</v>
      </c>
      <c r="V1515" t="s">
        <v>446</v>
      </c>
    </row>
    <row r="1516" spans="1:22" x14ac:dyDescent="0.25">
      <c r="A1516" t="s">
        <v>42</v>
      </c>
      <c r="B1516">
        <v>188</v>
      </c>
      <c r="C1516" t="s">
        <v>993</v>
      </c>
      <c r="D1516" t="s">
        <v>4726</v>
      </c>
      <c r="E1516" t="s">
        <v>992</v>
      </c>
      <c r="F1516" t="s">
        <v>4727</v>
      </c>
      <c r="G1516" t="s">
        <v>24</v>
      </c>
      <c r="H1516" t="s">
        <v>26</v>
      </c>
      <c r="I1516" t="s">
        <v>3167</v>
      </c>
      <c r="J1516" t="s">
        <v>996</v>
      </c>
      <c r="K1516" t="s">
        <v>3173</v>
      </c>
      <c r="L1516" t="s">
        <v>996</v>
      </c>
      <c r="M1516" t="s">
        <v>980</v>
      </c>
      <c r="N1516" t="s">
        <v>994</v>
      </c>
      <c r="O1516" t="s">
        <v>994</v>
      </c>
      <c r="P1516" t="s">
        <v>1089</v>
      </c>
      <c r="Q1516" t="s">
        <v>3169</v>
      </c>
      <c r="R1516" t="s">
        <v>446</v>
      </c>
      <c r="S1516" t="s">
        <v>446</v>
      </c>
      <c r="T1516" t="s">
        <v>1965</v>
      </c>
      <c r="U1516" t="b">
        <v>0</v>
      </c>
      <c r="V1516" t="s">
        <v>446</v>
      </c>
    </row>
    <row r="1517" spans="1:22" x14ac:dyDescent="0.25">
      <c r="A1517" t="s">
        <v>42</v>
      </c>
      <c r="B1517">
        <v>188</v>
      </c>
      <c r="C1517" t="s">
        <v>999</v>
      </c>
      <c r="D1517" t="s">
        <v>4728</v>
      </c>
      <c r="E1517" t="s">
        <v>998</v>
      </c>
      <c r="F1517" t="s">
        <v>4729</v>
      </c>
      <c r="G1517" t="s">
        <v>24</v>
      </c>
      <c r="H1517" t="s">
        <v>26</v>
      </c>
      <c r="I1517" t="s">
        <v>3167</v>
      </c>
      <c r="J1517" t="s">
        <v>1003</v>
      </c>
      <c r="K1517" t="s">
        <v>3175</v>
      </c>
      <c r="L1517" t="s">
        <v>1003</v>
      </c>
      <c r="M1517" t="s">
        <v>1000</v>
      </c>
      <c r="N1517" t="s">
        <v>1001</v>
      </c>
      <c r="O1517" t="s">
        <v>1001</v>
      </c>
      <c r="P1517" t="s">
        <v>1089</v>
      </c>
      <c r="Q1517" t="s">
        <v>3169</v>
      </c>
      <c r="R1517" t="s">
        <v>446</v>
      </c>
      <c r="S1517" t="s">
        <v>446</v>
      </c>
      <c r="T1517" t="s">
        <v>1965</v>
      </c>
      <c r="U1517" t="b">
        <v>0</v>
      </c>
      <c r="V1517" t="s">
        <v>446</v>
      </c>
    </row>
    <row r="1518" spans="1:22" x14ac:dyDescent="0.25">
      <c r="A1518" t="s">
        <v>42</v>
      </c>
      <c r="B1518">
        <v>188</v>
      </c>
      <c r="C1518" t="s">
        <v>1005</v>
      </c>
      <c r="D1518" t="s">
        <v>4730</v>
      </c>
      <c r="E1518" t="s">
        <v>982</v>
      </c>
      <c r="F1518" t="s">
        <v>4731</v>
      </c>
      <c r="G1518" t="s">
        <v>24</v>
      </c>
      <c r="H1518" t="s">
        <v>26</v>
      </c>
      <c r="I1518" t="s">
        <v>3167</v>
      </c>
      <c r="J1518" t="s">
        <v>1003</v>
      </c>
      <c r="K1518" t="s">
        <v>3175</v>
      </c>
      <c r="L1518" t="s">
        <v>1003</v>
      </c>
      <c r="M1518" t="s">
        <v>1000</v>
      </c>
      <c r="N1518" t="s">
        <v>1001</v>
      </c>
      <c r="O1518" t="s">
        <v>1001</v>
      </c>
      <c r="P1518" t="s">
        <v>1089</v>
      </c>
      <c r="Q1518" t="s">
        <v>3169</v>
      </c>
      <c r="R1518" t="s">
        <v>446</v>
      </c>
      <c r="S1518" t="s">
        <v>446</v>
      </c>
      <c r="T1518" t="s">
        <v>1965</v>
      </c>
      <c r="U1518" t="b">
        <v>0</v>
      </c>
      <c r="V1518" t="s">
        <v>446</v>
      </c>
    </row>
    <row r="1519" spans="1:22" x14ac:dyDescent="0.25">
      <c r="A1519" t="s">
        <v>42</v>
      </c>
      <c r="B1519">
        <v>188</v>
      </c>
      <c r="C1519" t="s">
        <v>1007</v>
      </c>
      <c r="D1519" t="s">
        <v>4732</v>
      </c>
      <c r="E1519" t="s">
        <v>1006</v>
      </c>
      <c r="F1519" t="s">
        <v>4733</v>
      </c>
      <c r="G1519" t="s">
        <v>24</v>
      </c>
      <c r="H1519" t="s">
        <v>26</v>
      </c>
      <c r="I1519" t="s">
        <v>3167</v>
      </c>
      <c r="J1519" t="s">
        <v>1011</v>
      </c>
      <c r="K1519" t="s">
        <v>3179</v>
      </c>
      <c r="L1519" t="s">
        <v>1011</v>
      </c>
      <c r="M1519" t="s">
        <v>1008</v>
      </c>
      <c r="N1519" t="s">
        <v>1009</v>
      </c>
      <c r="O1519" t="s">
        <v>1009</v>
      </c>
      <c r="P1519" t="s">
        <v>1089</v>
      </c>
      <c r="Q1519" t="s">
        <v>3169</v>
      </c>
      <c r="R1519" t="s">
        <v>446</v>
      </c>
      <c r="S1519" t="s">
        <v>446</v>
      </c>
      <c r="T1519" t="s">
        <v>1965</v>
      </c>
      <c r="U1519" t="b">
        <v>0</v>
      </c>
      <c r="V1519" t="s">
        <v>446</v>
      </c>
    </row>
    <row r="1520" spans="1:22" x14ac:dyDescent="0.25">
      <c r="A1520" t="s">
        <v>42</v>
      </c>
      <c r="B1520">
        <v>188</v>
      </c>
      <c r="C1520" t="s">
        <v>1014</v>
      </c>
      <c r="D1520" t="s">
        <v>4734</v>
      </c>
      <c r="E1520" t="s">
        <v>1013</v>
      </c>
      <c r="F1520" t="s">
        <v>4735</v>
      </c>
      <c r="G1520" t="s">
        <v>24</v>
      </c>
      <c r="H1520" t="s">
        <v>26</v>
      </c>
      <c r="I1520" t="s">
        <v>3167</v>
      </c>
      <c r="J1520" t="s">
        <v>1016</v>
      </c>
      <c r="K1520" t="s">
        <v>3181</v>
      </c>
      <c r="L1520" t="s">
        <v>1016</v>
      </c>
      <c r="M1520" t="s">
        <v>980</v>
      </c>
      <c r="N1520" t="s">
        <v>1015</v>
      </c>
      <c r="O1520" t="s">
        <v>1015</v>
      </c>
      <c r="P1520" t="s">
        <v>1089</v>
      </c>
      <c r="Q1520" t="s">
        <v>3169</v>
      </c>
      <c r="R1520" t="s">
        <v>446</v>
      </c>
      <c r="S1520" t="s">
        <v>446</v>
      </c>
      <c r="T1520" t="s">
        <v>1965</v>
      </c>
      <c r="U1520" t="b">
        <v>0</v>
      </c>
      <c r="V1520" t="s">
        <v>446</v>
      </c>
    </row>
    <row r="1521" spans="1:22" x14ac:dyDescent="0.25">
      <c r="A1521" t="s">
        <v>42</v>
      </c>
      <c r="B1521">
        <v>188</v>
      </c>
      <c r="C1521" t="s">
        <v>1019</v>
      </c>
      <c r="D1521" t="s">
        <v>4736</v>
      </c>
      <c r="E1521" t="s">
        <v>1018</v>
      </c>
      <c r="F1521" t="s">
        <v>4737</v>
      </c>
      <c r="G1521" t="s">
        <v>24</v>
      </c>
      <c r="H1521" t="s">
        <v>26</v>
      </c>
      <c r="I1521" t="s">
        <v>3167</v>
      </c>
      <c r="J1521" t="s">
        <v>1021</v>
      </c>
      <c r="K1521" t="s">
        <v>3183</v>
      </c>
      <c r="L1521" t="s">
        <v>1021</v>
      </c>
      <c r="M1521" t="s">
        <v>980</v>
      </c>
      <c r="N1521" t="s">
        <v>1020</v>
      </c>
      <c r="O1521" t="s">
        <v>1020</v>
      </c>
      <c r="P1521" t="s">
        <v>1089</v>
      </c>
      <c r="Q1521" t="s">
        <v>3169</v>
      </c>
      <c r="R1521" t="s">
        <v>446</v>
      </c>
      <c r="S1521" t="s">
        <v>446</v>
      </c>
      <c r="T1521" t="s">
        <v>1965</v>
      </c>
      <c r="U1521" t="b">
        <v>0</v>
      </c>
      <c r="V1521" t="s">
        <v>446</v>
      </c>
    </row>
    <row r="1522" spans="1:22" x14ac:dyDescent="0.25">
      <c r="A1522" t="s">
        <v>42</v>
      </c>
      <c r="B1522">
        <v>188</v>
      </c>
      <c r="C1522" t="s">
        <v>1024</v>
      </c>
      <c r="D1522" t="s">
        <v>4738</v>
      </c>
      <c r="E1522" t="s">
        <v>1023</v>
      </c>
      <c r="F1522" t="s">
        <v>4739</v>
      </c>
      <c r="G1522" t="s">
        <v>24</v>
      </c>
      <c r="H1522" t="s">
        <v>26</v>
      </c>
      <c r="I1522" t="s">
        <v>3167</v>
      </c>
      <c r="J1522" t="s">
        <v>1026</v>
      </c>
      <c r="K1522" t="s">
        <v>3185</v>
      </c>
      <c r="L1522" t="s">
        <v>1026</v>
      </c>
      <c r="M1522" t="s">
        <v>1000</v>
      </c>
      <c r="N1522" t="s">
        <v>1025</v>
      </c>
      <c r="O1522" t="s">
        <v>1025</v>
      </c>
      <c r="P1522" t="s">
        <v>1089</v>
      </c>
      <c r="Q1522" t="s">
        <v>3169</v>
      </c>
      <c r="R1522" t="s">
        <v>446</v>
      </c>
      <c r="S1522" t="s">
        <v>446</v>
      </c>
      <c r="T1522" t="s">
        <v>1965</v>
      </c>
      <c r="U1522" t="b">
        <v>0</v>
      </c>
      <c r="V1522" t="s">
        <v>446</v>
      </c>
    </row>
    <row r="1523" spans="1:22" x14ac:dyDescent="0.25">
      <c r="A1523" t="s">
        <v>42</v>
      </c>
      <c r="B1523">
        <v>188</v>
      </c>
      <c r="C1523" t="s">
        <v>1028</v>
      </c>
      <c r="D1523" t="s">
        <v>4740</v>
      </c>
      <c r="E1523" t="s">
        <v>1010</v>
      </c>
      <c r="F1523" t="s">
        <v>4741</v>
      </c>
      <c r="G1523" t="s">
        <v>24</v>
      </c>
      <c r="H1523" t="s">
        <v>26</v>
      </c>
      <c r="I1523" t="s">
        <v>3167</v>
      </c>
      <c r="J1523" t="s">
        <v>1026</v>
      </c>
      <c r="K1523" t="s">
        <v>3185</v>
      </c>
      <c r="L1523" t="s">
        <v>1026</v>
      </c>
      <c r="M1523" t="s">
        <v>1000</v>
      </c>
      <c r="N1523" t="s">
        <v>1025</v>
      </c>
      <c r="O1523" t="s">
        <v>1025</v>
      </c>
      <c r="P1523" t="s">
        <v>1089</v>
      </c>
      <c r="Q1523" t="s">
        <v>3169</v>
      </c>
      <c r="R1523" t="s">
        <v>446</v>
      </c>
      <c r="S1523" t="s">
        <v>446</v>
      </c>
      <c r="T1523" t="s">
        <v>1965</v>
      </c>
      <c r="U1523" t="b">
        <v>0</v>
      </c>
      <c r="V1523" t="s">
        <v>446</v>
      </c>
    </row>
    <row r="1524" spans="1:22" x14ac:dyDescent="0.25">
      <c r="A1524" t="s">
        <v>42</v>
      </c>
      <c r="B1524">
        <v>188</v>
      </c>
      <c r="C1524" t="s">
        <v>1030</v>
      </c>
      <c r="D1524" t="s">
        <v>4742</v>
      </c>
      <c r="E1524" t="s">
        <v>1029</v>
      </c>
      <c r="F1524" t="s">
        <v>4743</v>
      </c>
      <c r="G1524" t="s">
        <v>24</v>
      </c>
      <c r="H1524" t="s">
        <v>26</v>
      </c>
      <c r="I1524" t="s">
        <v>3167</v>
      </c>
      <c r="J1524" t="s">
        <v>1033</v>
      </c>
      <c r="K1524" t="s">
        <v>3189</v>
      </c>
      <c r="L1524" t="s">
        <v>1033</v>
      </c>
      <c r="M1524" t="s">
        <v>980</v>
      </c>
      <c r="N1524" t="s">
        <v>1031</v>
      </c>
      <c r="O1524" t="s">
        <v>1031</v>
      </c>
      <c r="P1524" t="s">
        <v>1089</v>
      </c>
      <c r="Q1524" t="s">
        <v>3169</v>
      </c>
      <c r="R1524" t="s">
        <v>446</v>
      </c>
      <c r="S1524" t="s">
        <v>446</v>
      </c>
      <c r="T1524" t="s">
        <v>1965</v>
      </c>
      <c r="U1524" t="b">
        <v>0</v>
      </c>
      <c r="V1524" t="s">
        <v>446</v>
      </c>
    </row>
    <row r="1525" spans="1:22" x14ac:dyDescent="0.25">
      <c r="A1525" t="s">
        <v>42</v>
      </c>
      <c r="B1525">
        <v>188</v>
      </c>
      <c r="C1525" t="s">
        <v>1036</v>
      </c>
      <c r="D1525" t="s">
        <v>4744</v>
      </c>
      <c r="E1525" t="s">
        <v>1035</v>
      </c>
      <c r="F1525" t="s">
        <v>4745</v>
      </c>
      <c r="G1525" t="s">
        <v>24</v>
      </c>
      <c r="H1525" t="s">
        <v>26</v>
      </c>
      <c r="I1525" t="s">
        <v>3167</v>
      </c>
      <c r="J1525" t="s">
        <v>1038</v>
      </c>
      <c r="K1525" t="s">
        <v>3191</v>
      </c>
      <c r="L1525" t="s">
        <v>1038</v>
      </c>
      <c r="M1525" t="s">
        <v>980</v>
      </c>
      <c r="N1525" t="s">
        <v>1037</v>
      </c>
      <c r="O1525" t="s">
        <v>1037</v>
      </c>
      <c r="P1525" t="s">
        <v>1089</v>
      </c>
      <c r="Q1525" t="s">
        <v>3169</v>
      </c>
      <c r="R1525" t="s">
        <v>446</v>
      </c>
      <c r="S1525" t="s">
        <v>446</v>
      </c>
      <c r="T1525" t="s">
        <v>1965</v>
      </c>
      <c r="U1525" t="b">
        <v>0</v>
      </c>
      <c r="V1525" t="s">
        <v>446</v>
      </c>
    </row>
    <row r="1526" spans="1:22" x14ac:dyDescent="0.25">
      <c r="A1526" t="s">
        <v>42</v>
      </c>
      <c r="B1526">
        <v>188</v>
      </c>
      <c r="C1526" t="s">
        <v>1041</v>
      </c>
      <c r="D1526" t="s">
        <v>4746</v>
      </c>
      <c r="E1526" t="s">
        <v>1040</v>
      </c>
      <c r="F1526" t="s">
        <v>4747</v>
      </c>
      <c r="G1526" t="s">
        <v>24</v>
      </c>
      <c r="H1526" t="s">
        <v>26</v>
      </c>
      <c r="I1526" t="s">
        <v>3167</v>
      </c>
      <c r="J1526" t="s">
        <v>1043</v>
      </c>
      <c r="K1526" t="s">
        <v>3193</v>
      </c>
      <c r="L1526" t="s">
        <v>1043</v>
      </c>
      <c r="M1526" t="s">
        <v>980</v>
      </c>
      <c r="N1526" t="s">
        <v>1042</v>
      </c>
      <c r="O1526" t="s">
        <v>1042</v>
      </c>
      <c r="P1526" t="s">
        <v>1089</v>
      </c>
      <c r="Q1526" t="s">
        <v>3169</v>
      </c>
      <c r="R1526" t="s">
        <v>446</v>
      </c>
      <c r="S1526" t="s">
        <v>446</v>
      </c>
      <c r="T1526" t="s">
        <v>1965</v>
      </c>
      <c r="U1526" t="b">
        <v>0</v>
      </c>
      <c r="V1526" t="s">
        <v>446</v>
      </c>
    </row>
    <row r="1527" spans="1:22" x14ac:dyDescent="0.25">
      <c r="A1527" t="s">
        <v>42</v>
      </c>
      <c r="B1527">
        <v>188</v>
      </c>
      <c r="C1527" t="s">
        <v>1046</v>
      </c>
      <c r="D1527" t="s">
        <v>4748</v>
      </c>
      <c r="E1527" t="s">
        <v>1045</v>
      </c>
      <c r="F1527" t="s">
        <v>4749</v>
      </c>
      <c r="G1527" t="s">
        <v>24</v>
      </c>
      <c r="H1527" t="s">
        <v>26</v>
      </c>
      <c r="I1527" t="s">
        <v>3167</v>
      </c>
      <c r="J1527" t="s">
        <v>1048</v>
      </c>
      <c r="K1527" t="s">
        <v>3195</v>
      </c>
      <c r="L1527" t="s">
        <v>1048</v>
      </c>
      <c r="M1527" t="s">
        <v>1000</v>
      </c>
      <c r="N1527" t="s">
        <v>1047</v>
      </c>
      <c r="O1527" t="s">
        <v>1047</v>
      </c>
      <c r="P1527" t="s">
        <v>1089</v>
      </c>
      <c r="Q1527" t="s">
        <v>3169</v>
      </c>
      <c r="R1527" t="s">
        <v>446</v>
      </c>
      <c r="S1527" t="s">
        <v>446</v>
      </c>
      <c r="T1527" t="s">
        <v>1965</v>
      </c>
      <c r="U1527" t="b">
        <v>0</v>
      </c>
      <c r="V1527" t="s">
        <v>446</v>
      </c>
    </row>
    <row r="1528" spans="1:22" x14ac:dyDescent="0.25">
      <c r="A1528" t="s">
        <v>42</v>
      </c>
      <c r="B1528">
        <v>188</v>
      </c>
      <c r="C1528" t="s">
        <v>1050</v>
      </c>
      <c r="D1528" t="s">
        <v>4750</v>
      </c>
      <c r="E1528" t="s">
        <v>1032</v>
      </c>
      <c r="F1528" t="s">
        <v>4751</v>
      </c>
      <c r="G1528" t="s">
        <v>24</v>
      </c>
      <c r="H1528" t="s">
        <v>26</v>
      </c>
      <c r="I1528" t="s">
        <v>3167</v>
      </c>
      <c r="J1528" t="s">
        <v>1048</v>
      </c>
      <c r="K1528" t="s">
        <v>3195</v>
      </c>
      <c r="L1528" t="s">
        <v>1048</v>
      </c>
      <c r="M1528" t="s">
        <v>1000</v>
      </c>
      <c r="N1528" t="s">
        <v>1047</v>
      </c>
      <c r="O1528" t="s">
        <v>1047</v>
      </c>
      <c r="P1528" t="s">
        <v>1089</v>
      </c>
      <c r="Q1528" t="s">
        <v>3169</v>
      </c>
      <c r="R1528" t="s">
        <v>446</v>
      </c>
      <c r="S1528" t="s">
        <v>446</v>
      </c>
      <c r="T1528" t="s">
        <v>1965</v>
      </c>
      <c r="U1528" t="b">
        <v>0</v>
      </c>
      <c r="V1528" t="s">
        <v>446</v>
      </c>
    </row>
    <row r="1529" spans="1:22" x14ac:dyDescent="0.25">
      <c r="A1529" t="s">
        <v>42</v>
      </c>
      <c r="B1529">
        <v>188</v>
      </c>
      <c r="C1529" t="s">
        <v>1052</v>
      </c>
      <c r="D1529" t="s">
        <v>4752</v>
      </c>
      <c r="E1529" t="s">
        <v>1051</v>
      </c>
      <c r="F1529" t="s">
        <v>4753</v>
      </c>
      <c r="G1529" t="s">
        <v>24</v>
      </c>
      <c r="H1529" t="s">
        <v>26</v>
      </c>
      <c r="I1529" t="s">
        <v>3167</v>
      </c>
      <c r="J1529" t="s">
        <v>1055</v>
      </c>
      <c r="K1529" t="s">
        <v>3199</v>
      </c>
      <c r="L1529" t="s">
        <v>1055</v>
      </c>
      <c r="M1529" t="s">
        <v>980</v>
      </c>
      <c r="N1529" t="s">
        <v>1053</v>
      </c>
      <c r="O1529" t="s">
        <v>1053</v>
      </c>
      <c r="P1529" t="s">
        <v>1089</v>
      </c>
      <c r="Q1529" t="s">
        <v>3169</v>
      </c>
      <c r="R1529" t="s">
        <v>446</v>
      </c>
      <c r="S1529" t="s">
        <v>446</v>
      </c>
      <c r="T1529" t="s">
        <v>1965</v>
      </c>
      <c r="U1529" t="b">
        <v>0</v>
      </c>
      <c r="V1529" t="s">
        <v>446</v>
      </c>
    </row>
    <row r="1530" spans="1:22" x14ac:dyDescent="0.25">
      <c r="A1530" t="s">
        <v>42</v>
      </c>
      <c r="B1530">
        <v>190</v>
      </c>
      <c r="C1530" t="s">
        <v>979</v>
      </c>
      <c r="D1530" t="s">
        <v>4754</v>
      </c>
      <c r="E1530" t="s">
        <v>978</v>
      </c>
      <c r="F1530" t="s">
        <v>3218</v>
      </c>
      <c r="G1530" t="s">
        <v>24</v>
      </c>
      <c r="H1530" t="s">
        <v>26</v>
      </c>
      <c r="I1530" t="s">
        <v>3167</v>
      </c>
      <c r="J1530" t="s">
        <v>984</v>
      </c>
      <c r="K1530" t="s">
        <v>3168</v>
      </c>
      <c r="L1530" t="s">
        <v>984</v>
      </c>
      <c r="M1530" t="s">
        <v>980</v>
      </c>
      <c r="N1530" t="s">
        <v>981</v>
      </c>
      <c r="O1530" t="s">
        <v>981</v>
      </c>
      <c r="P1530" t="s">
        <v>1089</v>
      </c>
      <c r="Q1530" t="s">
        <v>3169</v>
      </c>
      <c r="R1530" t="s">
        <v>446</v>
      </c>
      <c r="S1530" t="s">
        <v>446</v>
      </c>
      <c r="T1530" t="s">
        <v>1965</v>
      </c>
      <c r="U1530" t="b">
        <v>0</v>
      </c>
      <c r="V1530" t="s">
        <v>446</v>
      </c>
    </row>
    <row r="1531" spans="1:22" x14ac:dyDescent="0.25">
      <c r="A1531" t="s">
        <v>42</v>
      </c>
      <c r="B1531">
        <v>190</v>
      </c>
      <c r="C1531" t="s">
        <v>987</v>
      </c>
      <c r="D1531" t="s">
        <v>4755</v>
      </c>
      <c r="E1531" t="s">
        <v>986</v>
      </c>
      <c r="F1531" t="s">
        <v>3218</v>
      </c>
      <c r="G1531" t="s">
        <v>24</v>
      </c>
      <c r="H1531" t="s">
        <v>26</v>
      </c>
      <c r="I1531" t="s">
        <v>3167</v>
      </c>
      <c r="J1531" t="s">
        <v>990</v>
      </c>
      <c r="K1531" t="s">
        <v>3171</v>
      </c>
      <c r="L1531" t="s">
        <v>990</v>
      </c>
      <c r="M1531" t="s">
        <v>980</v>
      </c>
      <c r="N1531" t="s">
        <v>988</v>
      </c>
      <c r="O1531" t="s">
        <v>988</v>
      </c>
      <c r="P1531" t="s">
        <v>1089</v>
      </c>
      <c r="Q1531" t="s">
        <v>3169</v>
      </c>
      <c r="R1531" t="s">
        <v>446</v>
      </c>
      <c r="S1531" t="s">
        <v>446</v>
      </c>
      <c r="T1531" t="s">
        <v>1965</v>
      </c>
      <c r="U1531" t="b">
        <v>0</v>
      </c>
      <c r="V1531" t="s">
        <v>446</v>
      </c>
    </row>
    <row r="1532" spans="1:22" x14ac:dyDescent="0.25">
      <c r="A1532" t="s">
        <v>42</v>
      </c>
      <c r="B1532">
        <v>190</v>
      </c>
      <c r="C1532" t="s">
        <v>993</v>
      </c>
      <c r="D1532" t="s">
        <v>4756</v>
      </c>
      <c r="E1532" t="s">
        <v>992</v>
      </c>
      <c r="F1532" t="s">
        <v>3218</v>
      </c>
      <c r="G1532" t="s">
        <v>24</v>
      </c>
      <c r="H1532" t="s">
        <v>26</v>
      </c>
      <c r="I1532" t="s">
        <v>3167</v>
      </c>
      <c r="J1532" t="s">
        <v>996</v>
      </c>
      <c r="K1532" t="s">
        <v>3173</v>
      </c>
      <c r="L1532" t="s">
        <v>996</v>
      </c>
      <c r="M1532" t="s">
        <v>980</v>
      </c>
      <c r="N1532" t="s">
        <v>994</v>
      </c>
      <c r="O1532" t="s">
        <v>994</v>
      </c>
      <c r="P1532" t="s">
        <v>1089</v>
      </c>
      <c r="Q1532" t="s">
        <v>3169</v>
      </c>
      <c r="R1532" t="s">
        <v>446</v>
      </c>
      <c r="S1532" t="s">
        <v>446</v>
      </c>
      <c r="T1532" t="s">
        <v>1965</v>
      </c>
      <c r="U1532" t="b">
        <v>0</v>
      </c>
      <c r="V1532" t="s">
        <v>446</v>
      </c>
    </row>
    <row r="1533" spans="1:22" x14ac:dyDescent="0.25">
      <c r="A1533" t="s">
        <v>42</v>
      </c>
      <c r="B1533">
        <v>190</v>
      </c>
      <c r="C1533" t="s">
        <v>999</v>
      </c>
      <c r="D1533" t="s">
        <v>4757</v>
      </c>
      <c r="E1533" t="s">
        <v>998</v>
      </c>
      <c r="F1533" t="s">
        <v>3218</v>
      </c>
      <c r="G1533" t="s">
        <v>24</v>
      </c>
      <c r="H1533" t="s">
        <v>26</v>
      </c>
      <c r="I1533" t="s">
        <v>3167</v>
      </c>
      <c r="J1533" t="s">
        <v>1003</v>
      </c>
      <c r="K1533" t="s">
        <v>3175</v>
      </c>
      <c r="L1533" t="s">
        <v>1003</v>
      </c>
      <c r="M1533" t="s">
        <v>1000</v>
      </c>
      <c r="N1533" t="s">
        <v>1001</v>
      </c>
      <c r="O1533" t="s">
        <v>1001</v>
      </c>
      <c r="P1533" t="s">
        <v>1089</v>
      </c>
      <c r="Q1533" t="s">
        <v>3169</v>
      </c>
      <c r="R1533" t="s">
        <v>446</v>
      </c>
      <c r="S1533" t="s">
        <v>446</v>
      </c>
      <c r="T1533" t="s">
        <v>1965</v>
      </c>
      <c r="U1533" t="b">
        <v>0</v>
      </c>
      <c r="V1533" t="s">
        <v>446</v>
      </c>
    </row>
    <row r="1534" spans="1:22" x14ac:dyDescent="0.25">
      <c r="A1534" t="s">
        <v>42</v>
      </c>
      <c r="B1534">
        <v>190</v>
      </c>
      <c r="C1534" t="s">
        <v>1005</v>
      </c>
      <c r="D1534" t="s">
        <v>4758</v>
      </c>
      <c r="E1534" t="s">
        <v>982</v>
      </c>
      <c r="F1534" t="s">
        <v>3166</v>
      </c>
      <c r="G1534" t="s">
        <v>24</v>
      </c>
      <c r="H1534" t="s">
        <v>26</v>
      </c>
      <c r="I1534" t="s">
        <v>3167</v>
      </c>
      <c r="J1534" t="s">
        <v>1003</v>
      </c>
      <c r="K1534" t="s">
        <v>3175</v>
      </c>
      <c r="L1534" t="s">
        <v>1003</v>
      </c>
      <c r="M1534" t="s">
        <v>1000</v>
      </c>
      <c r="N1534" t="s">
        <v>1001</v>
      </c>
      <c r="O1534" t="s">
        <v>1001</v>
      </c>
      <c r="P1534" t="s">
        <v>1089</v>
      </c>
      <c r="Q1534" t="s">
        <v>3169</v>
      </c>
      <c r="R1534" t="s">
        <v>446</v>
      </c>
      <c r="S1534" t="s">
        <v>446</v>
      </c>
      <c r="T1534" t="s">
        <v>1965</v>
      </c>
      <c r="U1534" t="b">
        <v>0</v>
      </c>
      <c r="V1534" t="s">
        <v>446</v>
      </c>
    </row>
    <row r="1535" spans="1:22" x14ac:dyDescent="0.25">
      <c r="A1535" t="s">
        <v>42</v>
      </c>
      <c r="B1535">
        <v>190</v>
      </c>
      <c r="C1535" t="s">
        <v>1007</v>
      </c>
      <c r="D1535" t="s">
        <v>4759</v>
      </c>
      <c r="E1535" t="s">
        <v>1006</v>
      </c>
      <c r="F1535" t="s">
        <v>3218</v>
      </c>
      <c r="G1535" t="s">
        <v>24</v>
      </c>
      <c r="H1535" t="s">
        <v>26</v>
      </c>
      <c r="I1535" t="s">
        <v>3167</v>
      </c>
      <c r="J1535" t="s">
        <v>1011</v>
      </c>
      <c r="K1535" t="s">
        <v>3179</v>
      </c>
      <c r="L1535" t="s">
        <v>1011</v>
      </c>
      <c r="M1535" t="s">
        <v>1008</v>
      </c>
      <c r="N1535" t="s">
        <v>1009</v>
      </c>
      <c r="O1535" t="s">
        <v>1009</v>
      </c>
      <c r="P1535" t="s">
        <v>1089</v>
      </c>
      <c r="Q1535" t="s">
        <v>3169</v>
      </c>
      <c r="R1535" t="s">
        <v>446</v>
      </c>
      <c r="S1535" t="s">
        <v>446</v>
      </c>
      <c r="T1535" t="s">
        <v>1965</v>
      </c>
      <c r="U1535" t="b">
        <v>0</v>
      </c>
      <c r="V1535" t="s">
        <v>446</v>
      </c>
    </row>
    <row r="1536" spans="1:22" x14ac:dyDescent="0.25">
      <c r="A1536" t="s">
        <v>42</v>
      </c>
      <c r="B1536">
        <v>190</v>
      </c>
      <c r="C1536" t="s">
        <v>1014</v>
      </c>
      <c r="D1536" t="s">
        <v>4760</v>
      </c>
      <c r="E1536" t="s">
        <v>1013</v>
      </c>
      <c r="F1536" t="s">
        <v>3218</v>
      </c>
      <c r="G1536" t="s">
        <v>24</v>
      </c>
      <c r="H1536" t="s">
        <v>26</v>
      </c>
      <c r="I1536" t="s">
        <v>3167</v>
      </c>
      <c r="J1536" t="s">
        <v>1016</v>
      </c>
      <c r="K1536" t="s">
        <v>3181</v>
      </c>
      <c r="L1536" t="s">
        <v>1016</v>
      </c>
      <c r="M1536" t="s">
        <v>980</v>
      </c>
      <c r="N1536" t="s">
        <v>1015</v>
      </c>
      <c r="O1536" t="s">
        <v>1015</v>
      </c>
      <c r="P1536" t="s">
        <v>1089</v>
      </c>
      <c r="Q1536" t="s">
        <v>3169</v>
      </c>
      <c r="R1536" t="s">
        <v>446</v>
      </c>
      <c r="S1536" t="s">
        <v>446</v>
      </c>
      <c r="T1536" t="s">
        <v>1965</v>
      </c>
      <c r="U1536" t="b">
        <v>0</v>
      </c>
      <c r="V1536" t="s">
        <v>446</v>
      </c>
    </row>
    <row r="1537" spans="1:22" x14ac:dyDescent="0.25">
      <c r="A1537" t="s">
        <v>42</v>
      </c>
      <c r="B1537">
        <v>190</v>
      </c>
      <c r="C1537" t="s">
        <v>1019</v>
      </c>
      <c r="D1537" t="s">
        <v>4761</v>
      </c>
      <c r="E1537" t="s">
        <v>1018</v>
      </c>
      <c r="F1537" t="s">
        <v>3218</v>
      </c>
      <c r="G1537" t="s">
        <v>24</v>
      </c>
      <c r="H1537" t="s">
        <v>26</v>
      </c>
      <c r="I1537" t="s">
        <v>3167</v>
      </c>
      <c r="J1537" t="s">
        <v>1021</v>
      </c>
      <c r="K1537" t="s">
        <v>3183</v>
      </c>
      <c r="L1537" t="s">
        <v>1021</v>
      </c>
      <c r="M1537" t="s">
        <v>980</v>
      </c>
      <c r="N1537" t="s">
        <v>1020</v>
      </c>
      <c r="O1537" t="s">
        <v>1020</v>
      </c>
      <c r="P1537" t="s">
        <v>1089</v>
      </c>
      <c r="Q1537" t="s">
        <v>3169</v>
      </c>
      <c r="R1537" t="s">
        <v>446</v>
      </c>
      <c r="S1537" t="s">
        <v>446</v>
      </c>
      <c r="T1537" t="s">
        <v>1965</v>
      </c>
      <c r="U1537" t="b">
        <v>0</v>
      </c>
      <c r="V1537" t="s">
        <v>446</v>
      </c>
    </row>
    <row r="1538" spans="1:22" x14ac:dyDescent="0.25">
      <c r="A1538" t="s">
        <v>42</v>
      </c>
      <c r="B1538">
        <v>190</v>
      </c>
      <c r="C1538" t="s">
        <v>1024</v>
      </c>
      <c r="D1538" t="s">
        <v>4762</v>
      </c>
      <c r="E1538" t="s">
        <v>1023</v>
      </c>
      <c r="F1538" t="s">
        <v>3218</v>
      </c>
      <c r="G1538" t="s">
        <v>24</v>
      </c>
      <c r="H1538" t="s">
        <v>26</v>
      </c>
      <c r="I1538" t="s">
        <v>3167</v>
      </c>
      <c r="J1538" t="s">
        <v>1026</v>
      </c>
      <c r="K1538" t="s">
        <v>3185</v>
      </c>
      <c r="L1538" t="s">
        <v>1026</v>
      </c>
      <c r="M1538" t="s">
        <v>1000</v>
      </c>
      <c r="N1538" t="s">
        <v>1025</v>
      </c>
      <c r="O1538" t="s">
        <v>1025</v>
      </c>
      <c r="P1538" t="s">
        <v>1089</v>
      </c>
      <c r="Q1538" t="s">
        <v>3169</v>
      </c>
      <c r="R1538" t="s">
        <v>446</v>
      </c>
      <c r="S1538" t="s">
        <v>446</v>
      </c>
      <c r="T1538" t="s">
        <v>1965</v>
      </c>
      <c r="U1538" t="b">
        <v>0</v>
      </c>
      <c r="V1538" t="s">
        <v>446</v>
      </c>
    </row>
    <row r="1539" spans="1:22" x14ac:dyDescent="0.25">
      <c r="A1539" t="s">
        <v>42</v>
      </c>
      <c r="B1539">
        <v>190</v>
      </c>
      <c r="C1539" t="s">
        <v>1028</v>
      </c>
      <c r="D1539" t="s">
        <v>4763</v>
      </c>
      <c r="E1539" t="s">
        <v>1010</v>
      </c>
      <c r="F1539" t="s">
        <v>3178</v>
      </c>
      <c r="G1539" t="s">
        <v>24</v>
      </c>
      <c r="H1539" t="s">
        <v>26</v>
      </c>
      <c r="I1539" t="s">
        <v>3167</v>
      </c>
      <c r="J1539" t="s">
        <v>1026</v>
      </c>
      <c r="K1539" t="s">
        <v>3185</v>
      </c>
      <c r="L1539" t="s">
        <v>1026</v>
      </c>
      <c r="M1539" t="s">
        <v>1000</v>
      </c>
      <c r="N1539" t="s">
        <v>1025</v>
      </c>
      <c r="O1539" t="s">
        <v>1025</v>
      </c>
      <c r="P1539" t="s">
        <v>1089</v>
      </c>
      <c r="Q1539" t="s">
        <v>3169</v>
      </c>
      <c r="R1539" t="s">
        <v>446</v>
      </c>
      <c r="S1539" t="s">
        <v>446</v>
      </c>
      <c r="T1539" t="s">
        <v>1965</v>
      </c>
      <c r="U1539" t="b">
        <v>0</v>
      </c>
      <c r="V1539" t="s">
        <v>446</v>
      </c>
    </row>
    <row r="1540" spans="1:22" x14ac:dyDescent="0.25">
      <c r="A1540" t="s">
        <v>42</v>
      </c>
      <c r="B1540">
        <v>190</v>
      </c>
      <c r="C1540" t="s">
        <v>1030</v>
      </c>
      <c r="D1540" t="s">
        <v>4764</v>
      </c>
      <c r="E1540" t="s">
        <v>1029</v>
      </c>
      <c r="F1540" t="s">
        <v>3218</v>
      </c>
      <c r="G1540" t="s">
        <v>24</v>
      </c>
      <c r="H1540" t="s">
        <v>26</v>
      </c>
      <c r="I1540" t="s">
        <v>3167</v>
      </c>
      <c r="J1540" t="s">
        <v>1033</v>
      </c>
      <c r="K1540" t="s">
        <v>3189</v>
      </c>
      <c r="L1540" t="s">
        <v>1033</v>
      </c>
      <c r="M1540" t="s">
        <v>980</v>
      </c>
      <c r="N1540" t="s">
        <v>1031</v>
      </c>
      <c r="O1540" t="s">
        <v>1031</v>
      </c>
      <c r="P1540" t="s">
        <v>1089</v>
      </c>
      <c r="Q1540" t="s">
        <v>3169</v>
      </c>
      <c r="R1540" t="s">
        <v>446</v>
      </c>
      <c r="S1540" t="s">
        <v>446</v>
      </c>
      <c r="T1540" t="s">
        <v>1965</v>
      </c>
      <c r="U1540" t="b">
        <v>0</v>
      </c>
      <c r="V1540" t="s">
        <v>446</v>
      </c>
    </row>
    <row r="1541" spans="1:22" x14ac:dyDescent="0.25">
      <c r="A1541" t="s">
        <v>42</v>
      </c>
      <c r="B1541">
        <v>190</v>
      </c>
      <c r="C1541" t="s">
        <v>1036</v>
      </c>
      <c r="D1541" t="s">
        <v>4765</v>
      </c>
      <c r="E1541" t="s">
        <v>1035</v>
      </c>
      <c r="F1541" t="s">
        <v>3218</v>
      </c>
      <c r="G1541" t="s">
        <v>24</v>
      </c>
      <c r="H1541" t="s">
        <v>26</v>
      </c>
      <c r="I1541" t="s">
        <v>3167</v>
      </c>
      <c r="J1541" t="s">
        <v>1038</v>
      </c>
      <c r="K1541" t="s">
        <v>3191</v>
      </c>
      <c r="L1541" t="s">
        <v>1038</v>
      </c>
      <c r="M1541" t="s">
        <v>980</v>
      </c>
      <c r="N1541" t="s">
        <v>1037</v>
      </c>
      <c r="O1541" t="s">
        <v>1037</v>
      </c>
      <c r="P1541" t="s">
        <v>1089</v>
      </c>
      <c r="Q1541" t="s">
        <v>3169</v>
      </c>
      <c r="R1541" t="s">
        <v>446</v>
      </c>
      <c r="S1541" t="s">
        <v>446</v>
      </c>
      <c r="T1541" t="s">
        <v>1965</v>
      </c>
      <c r="U1541" t="b">
        <v>0</v>
      </c>
      <c r="V1541" t="s">
        <v>446</v>
      </c>
    </row>
    <row r="1542" spans="1:22" x14ac:dyDescent="0.25">
      <c r="A1542" t="s">
        <v>42</v>
      </c>
      <c r="B1542">
        <v>190</v>
      </c>
      <c r="C1542" t="s">
        <v>1041</v>
      </c>
      <c r="D1542" t="s">
        <v>4766</v>
      </c>
      <c r="E1542" t="s">
        <v>1040</v>
      </c>
      <c r="F1542" t="s">
        <v>3218</v>
      </c>
      <c r="G1542" t="s">
        <v>24</v>
      </c>
      <c r="H1542" t="s">
        <v>26</v>
      </c>
      <c r="I1542" t="s">
        <v>3167</v>
      </c>
      <c r="J1542" t="s">
        <v>1043</v>
      </c>
      <c r="K1542" t="s">
        <v>3193</v>
      </c>
      <c r="L1542" t="s">
        <v>1043</v>
      </c>
      <c r="M1542" t="s">
        <v>980</v>
      </c>
      <c r="N1542" t="s">
        <v>1042</v>
      </c>
      <c r="O1542" t="s">
        <v>1042</v>
      </c>
      <c r="P1542" t="s">
        <v>1089</v>
      </c>
      <c r="Q1542" t="s">
        <v>3169</v>
      </c>
      <c r="R1542" t="s">
        <v>446</v>
      </c>
      <c r="S1542" t="s">
        <v>446</v>
      </c>
      <c r="T1542" t="s">
        <v>1965</v>
      </c>
      <c r="U1542" t="b">
        <v>0</v>
      </c>
      <c r="V1542" t="s">
        <v>446</v>
      </c>
    </row>
    <row r="1543" spans="1:22" x14ac:dyDescent="0.25">
      <c r="A1543" t="s">
        <v>42</v>
      </c>
      <c r="B1543">
        <v>190</v>
      </c>
      <c r="C1543" t="s">
        <v>1046</v>
      </c>
      <c r="D1543" t="s">
        <v>4767</v>
      </c>
      <c r="E1543" t="s">
        <v>1045</v>
      </c>
      <c r="F1543" t="s">
        <v>3218</v>
      </c>
      <c r="G1543" t="s">
        <v>24</v>
      </c>
      <c r="H1543" t="s">
        <v>26</v>
      </c>
      <c r="I1543" t="s">
        <v>3167</v>
      </c>
      <c r="J1543" t="s">
        <v>1048</v>
      </c>
      <c r="K1543" t="s">
        <v>3195</v>
      </c>
      <c r="L1543" t="s">
        <v>1048</v>
      </c>
      <c r="M1543" t="s">
        <v>1000</v>
      </c>
      <c r="N1543" t="s">
        <v>1047</v>
      </c>
      <c r="O1543" t="s">
        <v>1047</v>
      </c>
      <c r="P1543" t="s">
        <v>1089</v>
      </c>
      <c r="Q1543" t="s">
        <v>3169</v>
      </c>
      <c r="R1543" t="s">
        <v>446</v>
      </c>
      <c r="S1543" t="s">
        <v>446</v>
      </c>
      <c r="T1543" t="s">
        <v>1965</v>
      </c>
      <c r="U1543" t="b">
        <v>0</v>
      </c>
      <c r="V1543" t="s">
        <v>446</v>
      </c>
    </row>
    <row r="1544" spans="1:22" x14ac:dyDescent="0.25">
      <c r="A1544" t="s">
        <v>42</v>
      </c>
      <c r="B1544">
        <v>190</v>
      </c>
      <c r="C1544" t="s">
        <v>1050</v>
      </c>
      <c r="D1544" t="s">
        <v>4768</v>
      </c>
      <c r="E1544" t="s">
        <v>1032</v>
      </c>
      <c r="F1544" t="s">
        <v>3188</v>
      </c>
      <c r="G1544" t="s">
        <v>24</v>
      </c>
      <c r="H1544" t="s">
        <v>26</v>
      </c>
      <c r="I1544" t="s">
        <v>3167</v>
      </c>
      <c r="J1544" t="s">
        <v>1048</v>
      </c>
      <c r="K1544" t="s">
        <v>3195</v>
      </c>
      <c r="L1544" t="s">
        <v>1048</v>
      </c>
      <c r="M1544" t="s">
        <v>1000</v>
      </c>
      <c r="N1544" t="s">
        <v>1047</v>
      </c>
      <c r="O1544" t="s">
        <v>1047</v>
      </c>
      <c r="P1544" t="s">
        <v>1089</v>
      </c>
      <c r="Q1544" t="s">
        <v>3169</v>
      </c>
      <c r="R1544" t="s">
        <v>446</v>
      </c>
      <c r="S1544" t="s">
        <v>446</v>
      </c>
      <c r="T1544" t="s">
        <v>1965</v>
      </c>
      <c r="U1544" t="b">
        <v>0</v>
      </c>
      <c r="V1544" t="s">
        <v>446</v>
      </c>
    </row>
    <row r="1545" spans="1:22" x14ac:dyDescent="0.25">
      <c r="A1545" t="s">
        <v>42</v>
      </c>
      <c r="B1545">
        <v>190</v>
      </c>
      <c r="C1545" t="s">
        <v>1052</v>
      </c>
      <c r="D1545" t="s">
        <v>4769</v>
      </c>
      <c r="E1545" t="s">
        <v>1051</v>
      </c>
      <c r="F1545" t="s">
        <v>3218</v>
      </c>
      <c r="G1545" t="s">
        <v>24</v>
      </c>
      <c r="H1545" t="s">
        <v>26</v>
      </c>
      <c r="I1545" t="s">
        <v>3167</v>
      </c>
      <c r="J1545" t="s">
        <v>1055</v>
      </c>
      <c r="K1545" t="s">
        <v>3199</v>
      </c>
      <c r="L1545" t="s">
        <v>1055</v>
      </c>
      <c r="M1545" t="s">
        <v>980</v>
      </c>
      <c r="N1545" t="s">
        <v>1053</v>
      </c>
      <c r="O1545" t="s">
        <v>1053</v>
      </c>
      <c r="P1545" t="s">
        <v>1089</v>
      </c>
      <c r="Q1545" t="s">
        <v>3169</v>
      </c>
      <c r="R1545" t="s">
        <v>446</v>
      </c>
      <c r="S1545" t="s">
        <v>446</v>
      </c>
      <c r="T1545" t="s">
        <v>1965</v>
      </c>
      <c r="U1545" t="b">
        <v>0</v>
      </c>
      <c r="V1545" t="s">
        <v>446</v>
      </c>
    </row>
    <row r="1546" spans="1:22" x14ac:dyDescent="0.25">
      <c r="A1546" t="s">
        <v>42</v>
      </c>
      <c r="B1546">
        <v>193</v>
      </c>
      <c r="C1546" t="s">
        <v>979</v>
      </c>
      <c r="D1546" t="s">
        <v>1696</v>
      </c>
      <c r="E1546" t="s">
        <v>978</v>
      </c>
      <c r="G1546" t="s">
        <v>24</v>
      </c>
      <c r="H1546" t="s">
        <v>26</v>
      </c>
      <c r="I1546" t="s">
        <v>3167</v>
      </c>
      <c r="J1546" t="s">
        <v>984</v>
      </c>
      <c r="K1546" t="s">
        <v>3168</v>
      </c>
      <c r="L1546" t="s">
        <v>984</v>
      </c>
      <c r="M1546" t="s">
        <v>980</v>
      </c>
      <c r="N1546" t="s">
        <v>981</v>
      </c>
      <c r="O1546" t="s">
        <v>981</v>
      </c>
      <c r="P1546" t="s">
        <v>1110</v>
      </c>
      <c r="Q1546" t="s">
        <v>3169</v>
      </c>
      <c r="R1546" t="s">
        <v>446</v>
      </c>
      <c r="S1546" t="s">
        <v>446</v>
      </c>
      <c r="T1546" t="s">
        <v>3216</v>
      </c>
      <c r="U1546" t="b">
        <v>0</v>
      </c>
      <c r="V1546" t="s">
        <v>1094</v>
      </c>
    </row>
    <row r="1547" spans="1:22" x14ac:dyDescent="0.25">
      <c r="A1547" t="s">
        <v>42</v>
      </c>
      <c r="B1547">
        <v>193</v>
      </c>
      <c r="C1547" t="s">
        <v>987</v>
      </c>
      <c r="D1547" t="s">
        <v>1698</v>
      </c>
      <c r="E1547" t="s">
        <v>986</v>
      </c>
      <c r="G1547" t="s">
        <v>24</v>
      </c>
      <c r="H1547" t="s">
        <v>26</v>
      </c>
      <c r="I1547" t="s">
        <v>3167</v>
      </c>
      <c r="J1547" t="s">
        <v>990</v>
      </c>
      <c r="K1547" t="s">
        <v>3171</v>
      </c>
      <c r="L1547" t="s">
        <v>990</v>
      </c>
      <c r="M1547" t="s">
        <v>980</v>
      </c>
      <c r="N1547" t="s">
        <v>988</v>
      </c>
      <c r="O1547" t="s">
        <v>988</v>
      </c>
      <c r="P1547" t="s">
        <v>1110</v>
      </c>
      <c r="Q1547" t="s">
        <v>3169</v>
      </c>
      <c r="R1547" t="s">
        <v>446</v>
      </c>
      <c r="S1547" t="s">
        <v>446</v>
      </c>
      <c r="T1547" t="s">
        <v>3216</v>
      </c>
      <c r="U1547" t="b">
        <v>0</v>
      </c>
      <c r="V1547" t="s">
        <v>1094</v>
      </c>
    </row>
    <row r="1548" spans="1:22" x14ac:dyDescent="0.25">
      <c r="A1548" t="s">
        <v>42</v>
      </c>
      <c r="B1548">
        <v>193</v>
      </c>
      <c r="C1548" t="s">
        <v>993</v>
      </c>
      <c r="D1548" t="s">
        <v>1700</v>
      </c>
      <c r="E1548" t="s">
        <v>992</v>
      </c>
      <c r="G1548" t="s">
        <v>24</v>
      </c>
      <c r="H1548" t="s">
        <v>26</v>
      </c>
      <c r="I1548" t="s">
        <v>3167</v>
      </c>
      <c r="J1548" t="s">
        <v>996</v>
      </c>
      <c r="K1548" t="s">
        <v>3173</v>
      </c>
      <c r="L1548" t="s">
        <v>996</v>
      </c>
      <c r="M1548" t="s">
        <v>980</v>
      </c>
      <c r="N1548" t="s">
        <v>994</v>
      </c>
      <c r="O1548" t="s">
        <v>994</v>
      </c>
      <c r="P1548" t="s">
        <v>1110</v>
      </c>
      <c r="Q1548" t="s">
        <v>3169</v>
      </c>
      <c r="R1548" t="s">
        <v>446</v>
      </c>
      <c r="S1548" t="s">
        <v>446</v>
      </c>
      <c r="T1548" t="s">
        <v>3216</v>
      </c>
      <c r="U1548" t="b">
        <v>0</v>
      </c>
      <c r="V1548" t="s">
        <v>1094</v>
      </c>
    </row>
    <row r="1549" spans="1:22" x14ac:dyDescent="0.25">
      <c r="A1549" t="s">
        <v>42</v>
      </c>
      <c r="B1549">
        <v>193</v>
      </c>
      <c r="C1549" t="s">
        <v>999</v>
      </c>
      <c r="D1549" t="s">
        <v>1701</v>
      </c>
      <c r="E1549" t="s">
        <v>998</v>
      </c>
      <c r="G1549" t="s">
        <v>24</v>
      </c>
      <c r="H1549" t="s">
        <v>26</v>
      </c>
      <c r="I1549" t="s">
        <v>3167</v>
      </c>
      <c r="J1549" t="s">
        <v>1003</v>
      </c>
      <c r="K1549" t="s">
        <v>3175</v>
      </c>
      <c r="L1549" t="s">
        <v>1003</v>
      </c>
      <c r="M1549" t="s">
        <v>1000</v>
      </c>
      <c r="N1549" t="s">
        <v>1001</v>
      </c>
      <c r="O1549" t="s">
        <v>1001</v>
      </c>
      <c r="P1549" t="s">
        <v>1110</v>
      </c>
      <c r="Q1549" t="s">
        <v>3169</v>
      </c>
      <c r="R1549" t="s">
        <v>446</v>
      </c>
      <c r="S1549" t="s">
        <v>446</v>
      </c>
      <c r="T1549" t="s">
        <v>3216</v>
      </c>
      <c r="U1549" t="b">
        <v>0</v>
      </c>
      <c r="V1549" t="s">
        <v>1094</v>
      </c>
    </row>
    <row r="1550" spans="1:22" x14ac:dyDescent="0.25">
      <c r="A1550" t="s">
        <v>42</v>
      </c>
      <c r="B1550">
        <v>193</v>
      </c>
      <c r="C1550" t="s">
        <v>1005</v>
      </c>
      <c r="D1550" t="s">
        <v>4770</v>
      </c>
      <c r="E1550" t="s">
        <v>982</v>
      </c>
      <c r="F1550" t="s">
        <v>3218</v>
      </c>
      <c r="G1550" t="s">
        <v>24</v>
      </c>
      <c r="H1550" t="s">
        <v>26</v>
      </c>
      <c r="I1550" t="s">
        <v>3167</v>
      </c>
      <c r="J1550" t="s">
        <v>1003</v>
      </c>
      <c r="K1550" t="s">
        <v>3175</v>
      </c>
      <c r="L1550" t="s">
        <v>1003</v>
      </c>
      <c r="M1550" t="s">
        <v>1000</v>
      </c>
      <c r="N1550" t="s">
        <v>1001</v>
      </c>
      <c r="O1550" t="s">
        <v>1001</v>
      </c>
      <c r="P1550" t="s">
        <v>1110</v>
      </c>
      <c r="Q1550" t="s">
        <v>3169</v>
      </c>
      <c r="R1550" t="s">
        <v>446</v>
      </c>
      <c r="S1550" t="s">
        <v>446</v>
      </c>
      <c r="T1550" t="s">
        <v>1965</v>
      </c>
      <c r="U1550" t="b">
        <v>0</v>
      </c>
      <c r="V1550" t="s">
        <v>446</v>
      </c>
    </row>
    <row r="1551" spans="1:22" x14ac:dyDescent="0.25">
      <c r="A1551" t="s">
        <v>42</v>
      </c>
      <c r="B1551">
        <v>193</v>
      </c>
      <c r="C1551" t="s">
        <v>1007</v>
      </c>
      <c r="D1551" t="s">
        <v>1703</v>
      </c>
      <c r="E1551" t="s">
        <v>1006</v>
      </c>
      <c r="G1551" t="s">
        <v>24</v>
      </c>
      <c r="H1551" t="s">
        <v>26</v>
      </c>
      <c r="I1551" t="s">
        <v>3167</v>
      </c>
      <c r="J1551" t="s">
        <v>1011</v>
      </c>
      <c r="K1551" t="s">
        <v>3179</v>
      </c>
      <c r="L1551" t="s">
        <v>1011</v>
      </c>
      <c r="M1551" t="s">
        <v>1008</v>
      </c>
      <c r="N1551" t="s">
        <v>1009</v>
      </c>
      <c r="O1551" t="s">
        <v>1009</v>
      </c>
      <c r="P1551" t="s">
        <v>1110</v>
      </c>
      <c r="Q1551" t="s">
        <v>3169</v>
      </c>
      <c r="R1551" t="s">
        <v>446</v>
      </c>
      <c r="S1551" t="s">
        <v>446</v>
      </c>
      <c r="T1551" t="s">
        <v>3216</v>
      </c>
      <c r="U1551" t="b">
        <v>0</v>
      </c>
      <c r="V1551" t="s">
        <v>1094</v>
      </c>
    </row>
    <row r="1552" spans="1:22" x14ac:dyDescent="0.25">
      <c r="A1552" t="s">
        <v>42</v>
      </c>
      <c r="B1552">
        <v>193</v>
      </c>
      <c r="C1552" t="s">
        <v>1014</v>
      </c>
      <c r="D1552" t="s">
        <v>1705</v>
      </c>
      <c r="E1552" t="s">
        <v>1013</v>
      </c>
      <c r="G1552" t="s">
        <v>24</v>
      </c>
      <c r="H1552" t="s">
        <v>26</v>
      </c>
      <c r="I1552" t="s">
        <v>3167</v>
      </c>
      <c r="J1552" t="s">
        <v>1016</v>
      </c>
      <c r="K1552" t="s">
        <v>3181</v>
      </c>
      <c r="L1552" t="s">
        <v>1016</v>
      </c>
      <c r="M1552" t="s">
        <v>980</v>
      </c>
      <c r="N1552" t="s">
        <v>1015</v>
      </c>
      <c r="O1552" t="s">
        <v>1015</v>
      </c>
      <c r="P1552" t="s">
        <v>1110</v>
      </c>
      <c r="Q1552" t="s">
        <v>3169</v>
      </c>
      <c r="R1552" t="s">
        <v>446</v>
      </c>
      <c r="S1552" t="s">
        <v>446</v>
      </c>
      <c r="T1552" t="s">
        <v>3216</v>
      </c>
      <c r="U1552" t="b">
        <v>0</v>
      </c>
      <c r="V1552" t="s">
        <v>1094</v>
      </c>
    </row>
    <row r="1553" spans="1:22" x14ac:dyDescent="0.25">
      <c r="A1553" t="s">
        <v>42</v>
      </c>
      <c r="B1553">
        <v>193</v>
      </c>
      <c r="C1553" t="s">
        <v>1019</v>
      </c>
      <c r="D1553" t="s">
        <v>1707</v>
      </c>
      <c r="E1553" t="s">
        <v>1018</v>
      </c>
      <c r="G1553" t="s">
        <v>24</v>
      </c>
      <c r="H1553" t="s">
        <v>26</v>
      </c>
      <c r="I1553" t="s">
        <v>3167</v>
      </c>
      <c r="J1553" t="s">
        <v>1021</v>
      </c>
      <c r="K1553" t="s">
        <v>3183</v>
      </c>
      <c r="L1553" t="s">
        <v>1021</v>
      </c>
      <c r="M1553" t="s">
        <v>980</v>
      </c>
      <c r="N1553" t="s">
        <v>1020</v>
      </c>
      <c r="O1553" t="s">
        <v>1020</v>
      </c>
      <c r="P1553" t="s">
        <v>1110</v>
      </c>
      <c r="Q1553" t="s">
        <v>3169</v>
      </c>
      <c r="R1553" t="s">
        <v>446</v>
      </c>
      <c r="S1553" t="s">
        <v>446</v>
      </c>
      <c r="T1553" t="s">
        <v>3216</v>
      </c>
      <c r="U1553" t="b">
        <v>0</v>
      </c>
      <c r="V1553" t="s">
        <v>1094</v>
      </c>
    </row>
    <row r="1554" spans="1:22" x14ac:dyDescent="0.25">
      <c r="A1554" t="s">
        <v>42</v>
      </c>
      <c r="B1554">
        <v>193</v>
      </c>
      <c r="C1554" t="s">
        <v>1024</v>
      </c>
      <c r="D1554" t="s">
        <v>1708</v>
      </c>
      <c r="E1554" t="s">
        <v>1023</v>
      </c>
      <c r="G1554" t="s">
        <v>24</v>
      </c>
      <c r="H1554" t="s">
        <v>26</v>
      </c>
      <c r="I1554" t="s">
        <v>3167</v>
      </c>
      <c r="J1554" t="s">
        <v>1026</v>
      </c>
      <c r="K1554" t="s">
        <v>3185</v>
      </c>
      <c r="L1554" t="s">
        <v>1026</v>
      </c>
      <c r="M1554" t="s">
        <v>1000</v>
      </c>
      <c r="N1554" t="s">
        <v>1025</v>
      </c>
      <c r="O1554" t="s">
        <v>1025</v>
      </c>
      <c r="P1554" t="s">
        <v>1110</v>
      </c>
      <c r="Q1554" t="s">
        <v>3169</v>
      </c>
      <c r="R1554" t="s">
        <v>446</v>
      </c>
      <c r="S1554" t="s">
        <v>446</v>
      </c>
      <c r="T1554" t="s">
        <v>3216</v>
      </c>
      <c r="U1554" t="b">
        <v>0</v>
      </c>
      <c r="V1554" t="s">
        <v>1094</v>
      </c>
    </row>
    <row r="1555" spans="1:22" x14ac:dyDescent="0.25">
      <c r="A1555" t="s">
        <v>42</v>
      </c>
      <c r="B1555">
        <v>193</v>
      </c>
      <c r="C1555" t="s">
        <v>1028</v>
      </c>
      <c r="D1555" t="s">
        <v>4771</v>
      </c>
      <c r="E1555" t="s">
        <v>1010</v>
      </c>
      <c r="F1555" t="s">
        <v>3218</v>
      </c>
      <c r="G1555" t="s">
        <v>24</v>
      </c>
      <c r="H1555" t="s">
        <v>26</v>
      </c>
      <c r="I1555" t="s">
        <v>3167</v>
      </c>
      <c r="J1555" t="s">
        <v>1026</v>
      </c>
      <c r="K1555" t="s">
        <v>3185</v>
      </c>
      <c r="L1555" t="s">
        <v>1026</v>
      </c>
      <c r="M1555" t="s">
        <v>1000</v>
      </c>
      <c r="N1555" t="s">
        <v>1025</v>
      </c>
      <c r="O1555" t="s">
        <v>1025</v>
      </c>
      <c r="P1555" t="s">
        <v>1110</v>
      </c>
      <c r="Q1555" t="s">
        <v>3169</v>
      </c>
      <c r="R1555" t="s">
        <v>446</v>
      </c>
      <c r="S1555" t="s">
        <v>446</v>
      </c>
      <c r="T1555" t="s">
        <v>1965</v>
      </c>
      <c r="U1555" t="b">
        <v>0</v>
      </c>
      <c r="V1555" t="s">
        <v>446</v>
      </c>
    </row>
    <row r="1556" spans="1:22" x14ac:dyDescent="0.25">
      <c r="A1556" t="s">
        <v>42</v>
      </c>
      <c r="B1556">
        <v>193</v>
      </c>
      <c r="C1556" t="s">
        <v>1030</v>
      </c>
      <c r="D1556" t="s">
        <v>1710</v>
      </c>
      <c r="E1556" t="s">
        <v>1029</v>
      </c>
      <c r="G1556" t="s">
        <v>24</v>
      </c>
      <c r="H1556" t="s">
        <v>26</v>
      </c>
      <c r="I1556" t="s">
        <v>3167</v>
      </c>
      <c r="J1556" t="s">
        <v>1033</v>
      </c>
      <c r="K1556" t="s">
        <v>3189</v>
      </c>
      <c r="L1556" t="s">
        <v>1033</v>
      </c>
      <c r="M1556" t="s">
        <v>980</v>
      </c>
      <c r="N1556" t="s">
        <v>1031</v>
      </c>
      <c r="O1556" t="s">
        <v>1031</v>
      </c>
      <c r="P1556" t="s">
        <v>1110</v>
      </c>
      <c r="Q1556" t="s">
        <v>3169</v>
      </c>
      <c r="R1556" t="s">
        <v>446</v>
      </c>
      <c r="S1556" t="s">
        <v>446</v>
      </c>
      <c r="T1556" t="s">
        <v>3216</v>
      </c>
      <c r="U1556" t="b">
        <v>0</v>
      </c>
      <c r="V1556" t="s">
        <v>1094</v>
      </c>
    </row>
    <row r="1557" spans="1:22" x14ac:dyDescent="0.25">
      <c r="A1557" t="s">
        <v>42</v>
      </c>
      <c r="B1557">
        <v>193</v>
      </c>
      <c r="C1557" t="s">
        <v>1036</v>
      </c>
      <c r="D1557" t="s">
        <v>1711</v>
      </c>
      <c r="E1557" t="s">
        <v>1035</v>
      </c>
      <c r="G1557" t="s">
        <v>24</v>
      </c>
      <c r="H1557" t="s">
        <v>26</v>
      </c>
      <c r="I1557" t="s">
        <v>3167</v>
      </c>
      <c r="J1557" t="s">
        <v>1038</v>
      </c>
      <c r="K1557" t="s">
        <v>3191</v>
      </c>
      <c r="L1557" t="s">
        <v>1038</v>
      </c>
      <c r="M1557" t="s">
        <v>980</v>
      </c>
      <c r="N1557" t="s">
        <v>1037</v>
      </c>
      <c r="O1557" t="s">
        <v>1037</v>
      </c>
      <c r="P1557" t="s">
        <v>1110</v>
      </c>
      <c r="Q1557" t="s">
        <v>3169</v>
      </c>
      <c r="R1557" t="s">
        <v>446</v>
      </c>
      <c r="S1557" t="s">
        <v>446</v>
      </c>
      <c r="T1557" t="s">
        <v>3216</v>
      </c>
      <c r="U1557" t="b">
        <v>0</v>
      </c>
      <c r="V1557" t="s">
        <v>1094</v>
      </c>
    </row>
    <row r="1558" spans="1:22" x14ac:dyDescent="0.25">
      <c r="A1558" t="s">
        <v>42</v>
      </c>
      <c r="B1558">
        <v>193</v>
      </c>
      <c r="C1558" t="s">
        <v>1041</v>
      </c>
      <c r="D1558" t="s">
        <v>1713</v>
      </c>
      <c r="E1558" t="s">
        <v>1040</v>
      </c>
      <c r="G1558" t="s">
        <v>24</v>
      </c>
      <c r="H1558" t="s">
        <v>26</v>
      </c>
      <c r="I1558" t="s">
        <v>3167</v>
      </c>
      <c r="J1558" t="s">
        <v>1043</v>
      </c>
      <c r="K1558" t="s">
        <v>3193</v>
      </c>
      <c r="L1558" t="s">
        <v>1043</v>
      </c>
      <c r="M1558" t="s">
        <v>980</v>
      </c>
      <c r="N1558" t="s">
        <v>1042</v>
      </c>
      <c r="O1558" t="s">
        <v>1042</v>
      </c>
      <c r="P1558" t="s">
        <v>1110</v>
      </c>
      <c r="Q1558" t="s">
        <v>3169</v>
      </c>
      <c r="R1558" t="s">
        <v>446</v>
      </c>
      <c r="S1558" t="s">
        <v>446</v>
      </c>
      <c r="T1558" t="s">
        <v>3216</v>
      </c>
      <c r="U1558" t="b">
        <v>0</v>
      </c>
      <c r="V1558" t="s">
        <v>1094</v>
      </c>
    </row>
    <row r="1559" spans="1:22" x14ac:dyDescent="0.25">
      <c r="A1559" t="s">
        <v>42</v>
      </c>
      <c r="B1559">
        <v>193</v>
      </c>
      <c r="C1559" t="s">
        <v>1046</v>
      </c>
      <c r="D1559" t="s">
        <v>1715</v>
      </c>
      <c r="E1559" t="s">
        <v>1045</v>
      </c>
      <c r="G1559" t="s">
        <v>24</v>
      </c>
      <c r="H1559" t="s">
        <v>26</v>
      </c>
      <c r="I1559" t="s">
        <v>3167</v>
      </c>
      <c r="J1559" t="s">
        <v>1048</v>
      </c>
      <c r="K1559" t="s">
        <v>3195</v>
      </c>
      <c r="L1559" t="s">
        <v>1048</v>
      </c>
      <c r="M1559" t="s">
        <v>1000</v>
      </c>
      <c r="N1559" t="s">
        <v>1047</v>
      </c>
      <c r="O1559" t="s">
        <v>1047</v>
      </c>
      <c r="P1559" t="s">
        <v>1110</v>
      </c>
      <c r="Q1559" t="s">
        <v>3169</v>
      </c>
      <c r="R1559" t="s">
        <v>446</v>
      </c>
      <c r="S1559" t="s">
        <v>446</v>
      </c>
      <c r="T1559" t="s">
        <v>3216</v>
      </c>
      <c r="U1559" t="b">
        <v>0</v>
      </c>
      <c r="V1559" t="s">
        <v>1094</v>
      </c>
    </row>
    <row r="1560" spans="1:22" x14ac:dyDescent="0.25">
      <c r="A1560" t="s">
        <v>42</v>
      </c>
      <c r="B1560">
        <v>193</v>
      </c>
      <c r="C1560" t="s">
        <v>1050</v>
      </c>
      <c r="D1560" t="s">
        <v>4772</v>
      </c>
      <c r="E1560" t="s">
        <v>1032</v>
      </c>
      <c r="F1560" t="s">
        <v>3218</v>
      </c>
      <c r="G1560" t="s">
        <v>24</v>
      </c>
      <c r="H1560" t="s">
        <v>26</v>
      </c>
      <c r="I1560" t="s">
        <v>3167</v>
      </c>
      <c r="J1560" t="s">
        <v>1048</v>
      </c>
      <c r="K1560" t="s">
        <v>3195</v>
      </c>
      <c r="L1560" t="s">
        <v>1048</v>
      </c>
      <c r="M1560" t="s">
        <v>1000</v>
      </c>
      <c r="N1560" t="s">
        <v>1047</v>
      </c>
      <c r="O1560" t="s">
        <v>1047</v>
      </c>
      <c r="P1560" t="s">
        <v>1110</v>
      </c>
      <c r="Q1560" t="s">
        <v>3169</v>
      </c>
      <c r="R1560" t="s">
        <v>446</v>
      </c>
      <c r="S1560" t="s">
        <v>446</v>
      </c>
      <c r="T1560" t="s">
        <v>1965</v>
      </c>
      <c r="U1560" t="b">
        <v>0</v>
      </c>
      <c r="V1560" t="s">
        <v>446</v>
      </c>
    </row>
    <row r="1561" spans="1:22" x14ac:dyDescent="0.25">
      <c r="A1561" t="s">
        <v>42</v>
      </c>
      <c r="B1561">
        <v>193</v>
      </c>
      <c r="C1561" t="s">
        <v>1052</v>
      </c>
      <c r="D1561" t="s">
        <v>1716</v>
      </c>
      <c r="E1561" t="s">
        <v>1051</v>
      </c>
      <c r="G1561" t="s">
        <v>24</v>
      </c>
      <c r="H1561" t="s">
        <v>26</v>
      </c>
      <c r="I1561" t="s">
        <v>3167</v>
      </c>
      <c r="J1561" t="s">
        <v>1055</v>
      </c>
      <c r="K1561" t="s">
        <v>3199</v>
      </c>
      <c r="L1561" t="s">
        <v>1055</v>
      </c>
      <c r="M1561" t="s">
        <v>980</v>
      </c>
      <c r="N1561" t="s">
        <v>1053</v>
      </c>
      <c r="O1561" t="s">
        <v>1053</v>
      </c>
      <c r="P1561" t="s">
        <v>1110</v>
      </c>
      <c r="Q1561" t="s">
        <v>3169</v>
      </c>
      <c r="R1561" t="s">
        <v>446</v>
      </c>
      <c r="S1561" t="s">
        <v>446</v>
      </c>
      <c r="T1561" t="s">
        <v>3216</v>
      </c>
      <c r="U1561" t="b">
        <v>0</v>
      </c>
      <c r="V1561" t="s">
        <v>1094</v>
      </c>
    </row>
    <row r="1562" spans="1:22" x14ac:dyDescent="0.25">
      <c r="A1562" t="s">
        <v>42</v>
      </c>
      <c r="B1562">
        <v>194</v>
      </c>
      <c r="C1562" t="s">
        <v>979</v>
      </c>
      <c r="D1562" t="s">
        <v>1718</v>
      </c>
      <c r="E1562" t="s">
        <v>978</v>
      </c>
      <c r="G1562" t="s">
        <v>24</v>
      </c>
      <c r="H1562" t="s">
        <v>26</v>
      </c>
      <c r="I1562" t="s">
        <v>3167</v>
      </c>
      <c r="J1562" t="s">
        <v>984</v>
      </c>
      <c r="K1562" t="s">
        <v>3168</v>
      </c>
      <c r="L1562" t="s">
        <v>984</v>
      </c>
      <c r="M1562" t="s">
        <v>980</v>
      </c>
      <c r="N1562" t="s">
        <v>981</v>
      </c>
      <c r="O1562" t="s">
        <v>981</v>
      </c>
      <c r="P1562" t="s">
        <v>1110</v>
      </c>
      <c r="Q1562" t="s">
        <v>3169</v>
      </c>
      <c r="R1562" t="s">
        <v>446</v>
      </c>
      <c r="S1562" t="s">
        <v>446</v>
      </c>
      <c r="T1562" t="s">
        <v>3216</v>
      </c>
      <c r="U1562" t="b">
        <v>0</v>
      </c>
      <c r="V1562" t="s">
        <v>1094</v>
      </c>
    </row>
    <row r="1563" spans="1:22" x14ac:dyDescent="0.25">
      <c r="A1563" t="s">
        <v>42</v>
      </c>
      <c r="B1563">
        <v>194</v>
      </c>
      <c r="C1563" t="s">
        <v>987</v>
      </c>
      <c r="D1563" t="s">
        <v>1719</v>
      </c>
      <c r="E1563" t="s">
        <v>986</v>
      </c>
      <c r="G1563" t="s">
        <v>24</v>
      </c>
      <c r="H1563" t="s">
        <v>26</v>
      </c>
      <c r="I1563" t="s">
        <v>3167</v>
      </c>
      <c r="J1563" t="s">
        <v>990</v>
      </c>
      <c r="K1563" t="s">
        <v>3171</v>
      </c>
      <c r="L1563" t="s">
        <v>990</v>
      </c>
      <c r="M1563" t="s">
        <v>980</v>
      </c>
      <c r="N1563" t="s">
        <v>988</v>
      </c>
      <c r="O1563" t="s">
        <v>988</v>
      </c>
      <c r="P1563" t="s">
        <v>1110</v>
      </c>
      <c r="Q1563" t="s">
        <v>3169</v>
      </c>
      <c r="R1563" t="s">
        <v>446</v>
      </c>
      <c r="S1563" t="s">
        <v>446</v>
      </c>
      <c r="T1563" t="s">
        <v>3216</v>
      </c>
      <c r="U1563" t="b">
        <v>0</v>
      </c>
      <c r="V1563" t="s">
        <v>1094</v>
      </c>
    </row>
    <row r="1564" spans="1:22" x14ac:dyDescent="0.25">
      <c r="A1564" t="s">
        <v>42</v>
      </c>
      <c r="B1564">
        <v>194</v>
      </c>
      <c r="C1564" t="s">
        <v>993</v>
      </c>
      <c r="D1564" t="s">
        <v>1720</v>
      </c>
      <c r="E1564" t="s">
        <v>992</v>
      </c>
      <c r="G1564" t="s">
        <v>24</v>
      </c>
      <c r="H1564" t="s">
        <v>26</v>
      </c>
      <c r="I1564" t="s">
        <v>3167</v>
      </c>
      <c r="J1564" t="s">
        <v>996</v>
      </c>
      <c r="K1564" t="s">
        <v>3173</v>
      </c>
      <c r="L1564" t="s">
        <v>996</v>
      </c>
      <c r="M1564" t="s">
        <v>980</v>
      </c>
      <c r="N1564" t="s">
        <v>994</v>
      </c>
      <c r="O1564" t="s">
        <v>994</v>
      </c>
      <c r="P1564" t="s">
        <v>1110</v>
      </c>
      <c r="Q1564" t="s">
        <v>3169</v>
      </c>
      <c r="R1564" t="s">
        <v>446</v>
      </c>
      <c r="S1564" t="s">
        <v>446</v>
      </c>
      <c r="T1564" t="s">
        <v>3216</v>
      </c>
      <c r="U1564" t="b">
        <v>0</v>
      </c>
      <c r="V1564" t="s">
        <v>1094</v>
      </c>
    </row>
    <row r="1565" spans="1:22" x14ac:dyDescent="0.25">
      <c r="A1565" t="s">
        <v>42</v>
      </c>
      <c r="B1565">
        <v>194</v>
      </c>
      <c r="C1565" t="s">
        <v>999</v>
      </c>
      <c r="D1565" t="s">
        <v>1721</v>
      </c>
      <c r="E1565" t="s">
        <v>998</v>
      </c>
      <c r="G1565" t="s">
        <v>24</v>
      </c>
      <c r="H1565" t="s">
        <v>26</v>
      </c>
      <c r="I1565" t="s">
        <v>3167</v>
      </c>
      <c r="J1565" t="s">
        <v>1003</v>
      </c>
      <c r="K1565" t="s">
        <v>3175</v>
      </c>
      <c r="L1565" t="s">
        <v>1003</v>
      </c>
      <c r="M1565" t="s">
        <v>1000</v>
      </c>
      <c r="N1565" t="s">
        <v>1001</v>
      </c>
      <c r="O1565" t="s">
        <v>1001</v>
      </c>
      <c r="P1565" t="s">
        <v>1110</v>
      </c>
      <c r="Q1565" t="s">
        <v>3169</v>
      </c>
      <c r="R1565" t="s">
        <v>446</v>
      </c>
      <c r="S1565" t="s">
        <v>446</v>
      </c>
      <c r="T1565" t="s">
        <v>3216</v>
      </c>
      <c r="U1565" t="b">
        <v>0</v>
      </c>
      <c r="V1565" t="s">
        <v>1094</v>
      </c>
    </row>
    <row r="1566" spans="1:22" x14ac:dyDescent="0.25">
      <c r="A1566" t="s">
        <v>42</v>
      </c>
      <c r="B1566">
        <v>194</v>
      </c>
      <c r="C1566" t="s">
        <v>1005</v>
      </c>
      <c r="D1566" t="s">
        <v>4773</v>
      </c>
      <c r="E1566" t="s">
        <v>982</v>
      </c>
      <c r="F1566" t="s">
        <v>3218</v>
      </c>
      <c r="G1566" t="s">
        <v>24</v>
      </c>
      <c r="H1566" t="s">
        <v>26</v>
      </c>
      <c r="I1566" t="s">
        <v>3167</v>
      </c>
      <c r="J1566" t="s">
        <v>1003</v>
      </c>
      <c r="K1566" t="s">
        <v>3175</v>
      </c>
      <c r="L1566" t="s">
        <v>1003</v>
      </c>
      <c r="M1566" t="s">
        <v>1000</v>
      </c>
      <c r="N1566" t="s">
        <v>1001</v>
      </c>
      <c r="O1566" t="s">
        <v>1001</v>
      </c>
      <c r="P1566" t="s">
        <v>1110</v>
      </c>
      <c r="Q1566" t="s">
        <v>3169</v>
      </c>
      <c r="R1566" t="s">
        <v>446</v>
      </c>
      <c r="S1566" t="s">
        <v>446</v>
      </c>
      <c r="T1566" t="s">
        <v>1965</v>
      </c>
      <c r="U1566" t="b">
        <v>0</v>
      </c>
      <c r="V1566" t="s">
        <v>446</v>
      </c>
    </row>
    <row r="1567" spans="1:22" x14ac:dyDescent="0.25">
      <c r="A1567" t="s">
        <v>42</v>
      </c>
      <c r="B1567">
        <v>194</v>
      </c>
      <c r="C1567" t="s">
        <v>1007</v>
      </c>
      <c r="D1567" t="s">
        <v>1722</v>
      </c>
      <c r="E1567" t="s">
        <v>1006</v>
      </c>
      <c r="G1567" t="s">
        <v>24</v>
      </c>
      <c r="H1567" t="s">
        <v>26</v>
      </c>
      <c r="I1567" t="s">
        <v>3167</v>
      </c>
      <c r="J1567" t="s">
        <v>1011</v>
      </c>
      <c r="K1567" t="s">
        <v>3179</v>
      </c>
      <c r="L1567" t="s">
        <v>1011</v>
      </c>
      <c r="M1567" t="s">
        <v>1008</v>
      </c>
      <c r="N1567" t="s">
        <v>1009</v>
      </c>
      <c r="O1567" t="s">
        <v>1009</v>
      </c>
      <c r="P1567" t="s">
        <v>1110</v>
      </c>
      <c r="Q1567" t="s">
        <v>3169</v>
      </c>
      <c r="R1567" t="s">
        <v>446</v>
      </c>
      <c r="S1567" t="s">
        <v>446</v>
      </c>
      <c r="T1567" t="s">
        <v>3216</v>
      </c>
      <c r="U1567" t="b">
        <v>0</v>
      </c>
      <c r="V1567" t="s">
        <v>1094</v>
      </c>
    </row>
    <row r="1568" spans="1:22" x14ac:dyDescent="0.25">
      <c r="A1568" t="s">
        <v>42</v>
      </c>
      <c r="B1568">
        <v>194</v>
      </c>
      <c r="C1568" t="s">
        <v>1014</v>
      </c>
      <c r="D1568" t="s">
        <v>1723</v>
      </c>
      <c r="E1568" t="s">
        <v>1013</v>
      </c>
      <c r="G1568" t="s">
        <v>24</v>
      </c>
      <c r="H1568" t="s">
        <v>26</v>
      </c>
      <c r="I1568" t="s">
        <v>3167</v>
      </c>
      <c r="J1568" t="s">
        <v>1016</v>
      </c>
      <c r="K1568" t="s">
        <v>3181</v>
      </c>
      <c r="L1568" t="s">
        <v>1016</v>
      </c>
      <c r="M1568" t="s">
        <v>980</v>
      </c>
      <c r="N1568" t="s">
        <v>1015</v>
      </c>
      <c r="O1568" t="s">
        <v>1015</v>
      </c>
      <c r="P1568" t="s">
        <v>1110</v>
      </c>
      <c r="Q1568" t="s">
        <v>3169</v>
      </c>
      <c r="R1568" t="s">
        <v>446</v>
      </c>
      <c r="S1568" t="s">
        <v>446</v>
      </c>
      <c r="T1568" t="s">
        <v>3216</v>
      </c>
      <c r="U1568" t="b">
        <v>0</v>
      </c>
      <c r="V1568" t="s">
        <v>1094</v>
      </c>
    </row>
    <row r="1569" spans="1:22" x14ac:dyDescent="0.25">
      <c r="A1569" t="s">
        <v>42</v>
      </c>
      <c r="B1569">
        <v>194</v>
      </c>
      <c r="C1569" t="s">
        <v>1019</v>
      </c>
      <c r="D1569" t="s">
        <v>1724</v>
      </c>
      <c r="E1569" t="s">
        <v>1018</v>
      </c>
      <c r="G1569" t="s">
        <v>24</v>
      </c>
      <c r="H1569" t="s">
        <v>26</v>
      </c>
      <c r="I1569" t="s">
        <v>3167</v>
      </c>
      <c r="J1569" t="s">
        <v>1021</v>
      </c>
      <c r="K1569" t="s">
        <v>3183</v>
      </c>
      <c r="L1569" t="s">
        <v>1021</v>
      </c>
      <c r="M1569" t="s">
        <v>980</v>
      </c>
      <c r="N1569" t="s">
        <v>1020</v>
      </c>
      <c r="O1569" t="s">
        <v>1020</v>
      </c>
      <c r="P1569" t="s">
        <v>1110</v>
      </c>
      <c r="Q1569" t="s">
        <v>3169</v>
      </c>
      <c r="R1569" t="s">
        <v>446</v>
      </c>
      <c r="S1569" t="s">
        <v>446</v>
      </c>
      <c r="T1569" t="s">
        <v>3216</v>
      </c>
      <c r="U1569" t="b">
        <v>0</v>
      </c>
      <c r="V1569" t="s">
        <v>1094</v>
      </c>
    </row>
    <row r="1570" spans="1:22" x14ac:dyDescent="0.25">
      <c r="A1570" t="s">
        <v>42</v>
      </c>
      <c r="B1570">
        <v>194</v>
      </c>
      <c r="C1570" t="s">
        <v>1024</v>
      </c>
      <c r="D1570" t="s">
        <v>1725</v>
      </c>
      <c r="E1570" t="s">
        <v>1023</v>
      </c>
      <c r="G1570" t="s">
        <v>24</v>
      </c>
      <c r="H1570" t="s">
        <v>26</v>
      </c>
      <c r="I1570" t="s">
        <v>3167</v>
      </c>
      <c r="J1570" t="s">
        <v>1026</v>
      </c>
      <c r="K1570" t="s">
        <v>3185</v>
      </c>
      <c r="L1570" t="s">
        <v>1026</v>
      </c>
      <c r="M1570" t="s">
        <v>1000</v>
      </c>
      <c r="N1570" t="s">
        <v>1025</v>
      </c>
      <c r="O1570" t="s">
        <v>1025</v>
      </c>
      <c r="P1570" t="s">
        <v>1110</v>
      </c>
      <c r="Q1570" t="s">
        <v>3169</v>
      </c>
      <c r="R1570" t="s">
        <v>446</v>
      </c>
      <c r="S1570" t="s">
        <v>446</v>
      </c>
      <c r="T1570" t="s">
        <v>3216</v>
      </c>
      <c r="U1570" t="b">
        <v>0</v>
      </c>
      <c r="V1570" t="s">
        <v>1094</v>
      </c>
    </row>
    <row r="1571" spans="1:22" x14ac:dyDescent="0.25">
      <c r="A1571" t="s">
        <v>42</v>
      </c>
      <c r="B1571">
        <v>194</v>
      </c>
      <c r="C1571" t="s">
        <v>1028</v>
      </c>
      <c r="D1571" t="s">
        <v>4774</v>
      </c>
      <c r="E1571" t="s">
        <v>1010</v>
      </c>
      <c r="F1571" t="s">
        <v>3218</v>
      </c>
      <c r="G1571" t="s">
        <v>24</v>
      </c>
      <c r="H1571" t="s">
        <v>26</v>
      </c>
      <c r="I1571" t="s">
        <v>3167</v>
      </c>
      <c r="J1571" t="s">
        <v>1026</v>
      </c>
      <c r="K1571" t="s">
        <v>3185</v>
      </c>
      <c r="L1571" t="s">
        <v>1026</v>
      </c>
      <c r="M1571" t="s">
        <v>1000</v>
      </c>
      <c r="N1571" t="s">
        <v>1025</v>
      </c>
      <c r="O1571" t="s">
        <v>1025</v>
      </c>
      <c r="P1571" t="s">
        <v>1110</v>
      </c>
      <c r="Q1571" t="s">
        <v>3169</v>
      </c>
      <c r="R1571" t="s">
        <v>446</v>
      </c>
      <c r="S1571" t="s">
        <v>446</v>
      </c>
      <c r="T1571" t="s">
        <v>1965</v>
      </c>
      <c r="U1571" t="b">
        <v>0</v>
      </c>
      <c r="V1571" t="s">
        <v>446</v>
      </c>
    </row>
    <row r="1572" spans="1:22" x14ac:dyDescent="0.25">
      <c r="A1572" t="s">
        <v>42</v>
      </c>
      <c r="B1572">
        <v>194</v>
      </c>
      <c r="C1572" t="s">
        <v>1030</v>
      </c>
      <c r="D1572" t="s">
        <v>1726</v>
      </c>
      <c r="E1572" t="s">
        <v>1029</v>
      </c>
      <c r="G1572" t="s">
        <v>24</v>
      </c>
      <c r="H1572" t="s">
        <v>26</v>
      </c>
      <c r="I1572" t="s">
        <v>3167</v>
      </c>
      <c r="J1572" t="s">
        <v>1033</v>
      </c>
      <c r="K1572" t="s">
        <v>3189</v>
      </c>
      <c r="L1572" t="s">
        <v>1033</v>
      </c>
      <c r="M1572" t="s">
        <v>980</v>
      </c>
      <c r="N1572" t="s">
        <v>1031</v>
      </c>
      <c r="O1572" t="s">
        <v>1031</v>
      </c>
      <c r="P1572" t="s">
        <v>1110</v>
      </c>
      <c r="Q1572" t="s">
        <v>3169</v>
      </c>
      <c r="R1572" t="s">
        <v>446</v>
      </c>
      <c r="S1572" t="s">
        <v>446</v>
      </c>
      <c r="T1572" t="s">
        <v>3216</v>
      </c>
      <c r="U1572" t="b">
        <v>0</v>
      </c>
      <c r="V1572" t="s">
        <v>1094</v>
      </c>
    </row>
    <row r="1573" spans="1:22" x14ac:dyDescent="0.25">
      <c r="A1573" t="s">
        <v>42</v>
      </c>
      <c r="B1573">
        <v>194</v>
      </c>
      <c r="C1573" t="s">
        <v>1036</v>
      </c>
      <c r="D1573" t="s">
        <v>1727</v>
      </c>
      <c r="E1573" t="s">
        <v>1035</v>
      </c>
      <c r="G1573" t="s">
        <v>24</v>
      </c>
      <c r="H1573" t="s">
        <v>26</v>
      </c>
      <c r="I1573" t="s">
        <v>3167</v>
      </c>
      <c r="J1573" t="s">
        <v>1038</v>
      </c>
      <c r="K1573" t="s">
        <v>3191</v>
      </c>
      <c r="L1573" t="s">
        <v>1038</v>
      </c>
      <c r="M1573" t="s">
        <v>980</v>
      </c>
      <c r="N1573" t="s">
        <v>1037</v>
      </c>
      <c r="O1573" t="s">
        <v>1037</v>
      </c>
      <c r="P1573" t="s">
        <v>1110</v>
      </c>
      <c r="Q1573" t="s">
        <v>3169</v>
      </c>
      <c r="R1573" t="s">
        <v>446</v>
      </c>
      <c r="S1573" t="s">
        <v>446</v>
      </c>
      <c r="T1573" t="s">
        <v>3216</v>
      </c>
      <c r="U1573" t="b">
        <v>0</v>
      </c>
      <c r="V1573" t="s">
        <v>1094</v>
      </c>
    </row>
    <row r="1574" spans="1:22" x14ac:dyDescent="0.25">
      <c r="A1574" t="s">
        <v>42</v>
      </c>
      <c r="B1574">
        <v>194</v>
      </c>
      <c r="C1574" t="s">
        <v>1041</v>
      </c>
      <c r="D1574" t="s">
        <v>1728</v>
      </c>
      <c r="E1574" t="s">
        <v>1040</v>
      </c>
      <c r="G1574" t="s">
        <v>24</v>
      </c>
      <c r="H1574" t="s">
        <v>26</v>
      </c>
      <c r="I1574" t="s">
        <v>3167</v>
      </c>
      <c r="J1574" t="s">
        <v>1043</v>
      </c>
      <c r="K1574" t="s">
        <v>3193</v>
      </c>
      <c r="L1574" t="s">
        <v>1043</v>
      </c>
      <c r="M1574" t="s">
        <v>980</v>
      </c>
      <c r="N1574" t="s">
        <v>1042</v>
      </c>
      <c r="O1574" t="s">
        <v>1042</v>
      </c>
      <c r="P1574" t="s">
        <v>1110</v>
      </c>
      <c r="Q1574" t="s">
        <v>3169</v>
      </c>
      <c r="R1574" t="s">
        <v>446</v>
      </c>
      <c r="S1574" t="s">
        <v>446</v>
      </c>
      <c r="T1574" t="s">
        <v>3216</v>
      </c>
      <c r="U1574" t="b">
        <v>0</v>
      </c>
      <c r="V1574" t="s">
        <v>1094</v>
      </c>
    </row>
    <row r="1575" spans="1:22" x14ac:dyDescent="0.25">
      <c r="A1575" t="s">
        <v>42</v>
      </c>
      <c r="B1575">
        <v>194</v>
      </c>
      <c r="C1575" t="s">
        <v>1046</v>
      </c>
      <c r="D1575" t="s">
        <v>1729</v>
      </c>
      <c r="E1575" t="s">
        <v>1045</v>
      </c>
      <c r="G1575" t="s">
        <v>24</v>
      </c>
      <c r="H1575" t="s">
        <v>26</v>
      </c>
      <c r="I1575" t="s">
        <v>3167</v>
      </c>
      <c r="J1575" t="s">
        <v>1048</v>
      </c>
      <c r="K1575" t="s">
        <v>3195</v>
      </c>
      <c r="L1575" t="s">
        <v>1048</v>
      </c>
      <c r="M1575" t="s">
        <v>1000</v>
      </c>
      <c r="N1575" t="s">
        <v>1047</v>
      </c>
      <c r="O1575" t="s">
        <v>1047</v>
      </c>
      <c r="P1575" t="s">
        <v>1110</v>
      </c>
      <c r="Q1575" t="s">
        <v>3169</v>
      </c>
      <c r="R1575" t="s">
        <v>446</v>
      </c>
      <c r="S1575" t="s">
        <v>446</v>
      </c>
      <c r="T1575" t="s">
        <v>3216</v>
      </c>
      <c r="U1575" t="b">
        <v>0</v>
      </c>
      <c r="V1575" t="s">
        <v>1094</v>
      </c>
    </row>
    <row r="1576" spans="1:22" x14ac:dyDescent="0.25">
      <c r="A1576" t="s">
        <v>42</v>
      </c>
      <c r="B1576">
        <v>194</v>
      </c>
      <c r="C1576" t="s">
        <v>1050</v>
      </c>
      <c r="D1576" t="s">
        <v>4775</v>
      </c>
      <c r="E1576" t="s">
        <v>1032</v>
      </c>
      <c r="F1576" t="s">
        <v>3218</v>
      </c>
      <c r="G1576" t="s">
        <v>24</v>
      </c>
      <c r="H1576" t="s">
        <v>26</v>
      </c>
      <c r="I1576" t="s">
        <v>3167</v>
      </c>
      <c r="J1576" t="s">
        <v>1048</v>
      </c>
      <c r="K1576" t="s">
        <v>3195</v>
      </c>
      <c r="L1576" t="s">
        <v>1048</v>
      </c>
      <c r="M1576" t="s">
        <v>1000</v>
      </c>
      <c r="N1576" t="s">
        <v>1047</v>
      </c>
      <c r="O1576" t="s">
        <v>1047</v>
      </c>
      <c r="P1576" t="s">
        <v>1110</v>
      </c>
      <c r="Q1576" t="s">
        <v>3169</v>
      </c>
      <c r="R1576" t="s">
        <v>446</v>
      </c>
      <c r="S1576" t="s">
        <v>446</v>
      </c>
      <c r="T1576" t="s">
        <v>1965</v>
      </c>
      <c r="U1576" t="b">
        <v>0</v>
      </c>
      <c r="V1576" t="s">
        <v>446</v>
      </c>
    </row>
    <row r="1577" spans="1:22" x14ac:dyDescent="0.25">
      <c r="A1577" t="s">
        <v>42</v>
      </c>
      <c r="B1577">
        <v>194</v>
      </c>
      <c r="C1577" t="s">
        <v>1052</v>
      </c>
      <c r="D1577" t="s">
        <v>1730</v>
      </c>
      <c r="E1577" t="s">
        <v>1051</v>
      </c>
      <c r="G1577" t="s">
        <v>24</v>
      </c>
      <c r="H1577" t="s">
        <v>26</v>
      </c>
      <c r="I1577" t="s">
        <v>3167</v>
      </c>
      <c r="J1577" t="s">
        <v>1055</v>
      </c>
      <c r="K1577" t="s">
        <v>3199</v>
      </c>
      <c r="L1577" t="s">
        <v>1055</v>
      </c>
      <c r="M1577" t="s">
        <v>980</v>
      </c>
      <c r="N1577" t="s">
        <v>1053</v>
      </c>
      <c r="O1577" t="s">
        <v>1053</v>
      </c>
      <c r="P1577" t="s">
        <v>1110</v>
      </c>
      <c r="Q1577" t="s">
        <v>3169</v>
      </c>
      <c r="R1577" t="s">
        <v>446</v>
      </c>
      <c r="S1577" t="s">
        <v>446</v>
      </c>
      <c r="T1577" t="s">
        <v>3216</v>
      </c>
      <c r="U1577" t="b">
        <v>0</v>
      </c>
      <c r="V1577" t="s">
        <v>1094</v>
      </c>
    </row>
    <row r="1578" spans="1:22" x14ac:dyDescent="0.25">
      <c r="A1578" t="s">
        <v>42</v>
      </c>
      <c r="B1578">
        <v>195</v>
      </c>
      <c r="C1578" t="s">
        <v>979</v>
      </c>
      <c r="D1578" t="s">
        <v>1731</v>
      </c>
      <c r="E1578" t="s">
        <v>978</v>
      </c>
      <c r="G1578" t="s">
        <v>24</v>
      </c>
      <c r="H1578" t="s">
        <v>26</v>
      </c>
      <c r="I1578" t="s">
        <v>3167</v>
      </c>
      <c r="J1578" t="s">
        <v>984</v>
      </c>
      <c r="K1578" t="s">
        <v>3168</v>
      </c>
      <c r="L1578" t="s">
        <v>984</v>
      </c>
      <c r="M1578" t="s">
        <v>980</v>
      </c>
      <c r="N1578" t="s">
        <v>981</v>
      </c>
      <c r="O1578" t="s">
        <v>981</v>
      </c>
      <c r="P1578" t="s">
        <v>1110</v>
      </c>
      <c r="Q1578" t="s">
        <v>3169</v>
      </c>
      <c r="R1578" t="s">
        <v>446</v>
      </c>
      <c r="S1578" t="s">
        <v>446</v>
      </c>
      <c r="T1578" t="s">
        <v>3216</v>
      </c>
      <c r="U1578" t="b">
        <v>0</v>
      </c>
      <c r="V1578" t="s">
        <v>1094</v>
      </c>
    </row>
    <row r="1579" spans="1:22" x14ac:dyDescent="0.25">
      <c r="A1579" t="s">
        <v>42</v>
      </c>
      <c r="B1579">
        <v>195</v>
      </c>
      <c r="C1579" t="s">
        <v>987</v>
      </c>
      <c r="D1579" t="s">
        <v>1732</v>
      </c>
      <c r="E1579" t="s">
        <v>986</v>
      </c>
      <c r="G1579" t="s">
        <v>24</v>
      </c>
      <c r="H1579" t="s">
        <v>26</v>
      </c>
      <c r="I1579" t="s">
        <v>3167</v>
      </c>
      <c r="J1579" t="s">
        <v>990</v>
      </c>
      <c r="K1579" t="s">
        <v>3171</v>
      </c>
      <c r="L1579" t="s">
        <v>990</v>
      </c>
      <c r="M1579" t="s">
        <v>980</v>
      </c>
      <c r="N1579" t="s">
        <v>988</v>
      </c>
      <c r="O1579" t="s">
        <v>988</v>
      </c>
      <c r="P1579" t="s">
        <v>1110</v>
      </c>
      <c r="Q1579" t="s">
        <v>3169</v>
      </c>
      <c r="R1579" t="s">
        <v>446</v>
      </c>
      <c r="S1579" t="s">
        <v>446</v>
      </c>
      <c r="T1579" t="s">
        <v>3216</v>
      </c>
      <c r="U1579" t="b">
        <v>0</v>
      </c>
      <c r="V1579" t="s">
        <v>1094</v>
      </c>
    </row>
    <row r="1580" spans="1:22" x14ac:dyDescent="0.25">
      <c r="A1580" t="s">
        <v>42</v>
      </c>
      <c r="B1580">
        <v>195</v>
      </c>
      <c r="C1580" t="s">
        <v>993</v>
      </c>
      <c r="D1580" t="s">
        <v>1733</v>
      </c>
      <c r="E1580" t="s">
        <v>992</v>
      </c>
      <c r="G1580" t="s">
        <v>24</v>
      </c>
      <c r="H1580" t="s">
        <v>26</v>
      </c>
      <c r="I1580" t="s">
        <v>3167</v>
      </c>
      <c r="J1580" t="s">
        <v>996</v>
      </c>
      <c r="K1580" t="s">
        <v>3173</v>
      </c>
      <c r="L1580" t="s">
        <v>996</v>
      </c>
      <c r="M1580" t="s">
        <v>980</v>
      </c>
      <c r="N1580" t="s">
        <v>994</v>
      </c>
      <c r="O1580" t="s">
        <v>994</v>
      </c>
      <c r="P1580" t="s">
        <v>1110</v>
      </c>
      <c r="Q1580" t="s">
        <v>3169</v>
      </c>
      <c r="R1580" t="s">
        <v>446</v>
      </c>
      <c r="S1580" t="s">
        <v>446</v>
      </c>
      <c r="T1580" t="s">
        <v>3216</v>
      </c>
      <c r="U1580" t="b">
        <v>0</v>
      </c>
      <c r="V1580" t="s">
        <v>1094</v>
      </c>
    </row>
    <row r="1581" spans="1:22" x14ac:dyDescent="0.25">
      <c r="A1581" t="s">
        <v>42</v>
      </c>
      <c r="B1581">
        <v>195</v>
      </c>
      <c r="C1581" t="s">
        <v>999</v>
      </c>
      <c r="D1581" t="s">
        <v>1734</v>
      </c>
      <c r="E1581" t="s">
        <v>998</v>
      </c>
      <c r="G1581" t="s">
        <v>24</v>
      </c>
      <c r="H1581" t="s">
        <v>26</v>
      </c>
      <c r="I1581" t="s">
        <v>3167</v>
      </c>
      <c r="J1581" t="s">
        <v>1003</v>
      </c>
      <c r="K1581" t="s">
        <v>3175</v>
      </c>
      <c r="L1581" t="s">
        <v>1003</v>
      </c>
      <c r="M1581" t="s">
        <v>1000</v>
      </c>
      <c r="N1581" t="s">
        <v>1001</v>
      </c>
      <c r="O1581" t="s">
        <v>1001</v>
      </c>
      <c r="P1581" t="s">
        <v>1110</v>
      </c>
      <c r="Q1581" t="s">
        <v>3169</v>
      </c>
      <c r="R1581" t="s">
        <v>446</v>
      </c>
      <c r="S1581" t="s">
        <v>446</v>
      </c>
      <c r="T1581" t="s">
        <v>3216</v>
      </c>
      <c r="U1581" t="b">
        <v>0</v>
      </c>
      <c r="V1581" t="s">
        <v>1094</v>
      </c>
    </row>
    <row r="1582" spans="1:22" x14ac:dyDescent="0.25">
      <c r="A1582" t="s">
        <v>42</v>
      </c>
      <c r="B1582">
        <v>195</v>
      </c>
      <c r="C1582" t="s">
        <v>1005</v>
      </c>
      <c r="D1582" t="s">
        <v>4776</v>
      </c>
      <c r="E1582" t="s">
        <v>982</v>
      </c>
      <c r="F1582" t="s">
        <v>3218</v>
      </c>
      <c r="G1582" t="s">
        <v>24</v>
      </c>
      <c r="H1582" t="s">
        <v>26</v>
      </c>
      <c r="I1582" t="s">
        <v>3167</v>
      </c>
      <c r="J1582" t="s">
        <v>1003</v>
      </c>
      <c r="K1582" t="s">
        <v>3175</v>
      </c>
      <c r="L1582" t="s">
        <v>1003</v>
      </c>
      <c r="M1582" t="s">
        <v>1000</v>
      </c>
      <c r="N1582" t="s">
        <v>1001</v>
      </c>
      <c r="O1582" t="s">
        <v>1001</v>
      </c>
      <c r="P1582" t="s">
        <v>1110</v>
      </c>
      <c r="Q1582" t="s">
        <v>3169</v>
      </c>
      <c r="R1582" t="s">
        <v>446</v>
      </c>
      <c r="S1582" t="s">
        <v>446</v>
      </c>
      <c r="T1582" t="s">
        <v>1965</v>
      </c>
      <c r="U1582" t="b">
        <v>0</v>
      </c>
      <c r="V1582" t="s">
        <v>446</v>
      </c>
    </row>
    <row r="1583" spans="1:22" x14ac:dyDescent="0.25">
      <c r="A1583" t="s">
        <v>42</v>
      </c>
      <c r="B1583">
        <v>195</v>
      </c>
      <c r="C1583" t="s">
        <v>1007</v>
      </c>
      <c r="D1583" t="s">
        <v>1735</v>
      </c>
      <c r="E1583" t="s">
        <v>1006</v>
      </c>
      <c r="G1583" t="s">
        <v>24</v>
      </c>
      <c r="H1583" t="s">
        <v>26</v>
      </c>
      <c r="I1583" t="s">
        <v>3167</v>
      </c>
      <c r="J1583" t="s">
        <v>1011</v>
      </c>
      <c r="K1583" t="s">
        <v>3179</v>
      </c>
      <c r="L1583" t="s">
        <v>1011</v>
      </c>
      <c r="M1583" t="s">
        <v>1008</v>
      </c>
      <c r="N1583" t="s">
        <v>1009</v>
      </c>
      <c r="O1583" t="s">
        <v>1009</v>
      </c>
      <c r="P1583" t="s">
        <v>1110</v>
      </c>
      <c r="Q1583" t="s">
        <v>3169</v>
      </c>
      <c r="R1583" t="s">
        <v>446</v>
      </c>
      <c r="S1583" t="s">
        <v>446</v>
      </c>
      <c r="T1583" t="s">
        <v>3216</v>
      </c>
      <c r="U1583" t="b">
        <v>0</v>
      </c>
      <c r="V1583" t="s">
        <v>1094</v>
      </c>
    </row>
    <row r="1584" spans="1:22" x14ac:dyDescent="0.25">
      <c r="A1584" t="s">
        <v>42</v>
      </c>
      <c r="B1584">
        <v>195</v>
      </c>
      <c r="C1584" t="s">
        <v>1014</v>
      </c>
      <c r="D1584" t="s">
        <v>1736</v>
      </c>
      <c r="E1584" t="s">
        <v>1013</v>
      </c>
      <c r="G1584" t="s">
        <v>24</v>
      </c>
      <c r="H1584" t="s">
        <v>26</v>
      </c>
      <c r="I1584" t="s">
        <v>3167</v>
      </c>
      <c r="J1584" t="s">
        <v>1016</v>
      </c>
      <c r="K1584" t="s">
        <v>3181</v>
      </c>
      <c r="L1584" t="s">
        <v>1016</v>
      </c>
      <c r="M1584" t="s">
        <v>980</v>
      </c>
      <c r="N1584" t="s">
        <v>1015</v>
      </c>
      <c r="O1584" t="s">
        <v>1015</v>
      </c>
      <c r="P1584" t="s">
        <v>1110</v>
      </c>
      <c r="Q1584" t="s">
        <v>3169</v>
      </c>
      <c r="R1584" t="s">
        <v>446</v>
      </c>
      <c r="S1584" t="s">
        <v>446</v>
      </c>
      <c r="T1584" t="s">
        <v>3216</v>
      </c>
      <c r="U1584" t="b">
        <v>0</v>
      </c>
      <c r="V1584" t="s">
        <v>1094</v>
      </c>
    </row>
    <row r="1585" spans="1:22" x14ac:dyDescent="0.25">
      <c r="A1585" t="s">
        <v>42</v>
      </c>
      <c r="B1585">
        <v>195</v>
      </c>
      <c r="C1585" t="s">
        <v>1019</v>
      </c>
      <c r="D1585" t="s">
        <v>1737</v>
      </c>
      <c r="E1585" t="s">
        <v>1018</v>
      </c>
      <c r="G1585" t="s">
        <v>24</v>
      </c>
      <c r="H1585" t="s">
        <v>26</v>
      </c>
      <c r="I1585" t="s">
        <v>3167</v>
      </c>
      <c r="J1585" t="s">
        <v>1021</v>
      </c>
      <c r="K1585" t="s">
        <v>3183</v>
      </c>
      <c r="L1585" t="s">
        <v>1021</v>
      </c>
      <c r="M1585" t="s">
        <v>980</v>
      </c>
      <c r="N1585" t="s">
        <v>1020</v>
      </c>
      <c r="O1585" t="s">
        <v>1020</v>
      </c>
      <c r="P1585" t="s">
        <v>1110</v>
      </c>
      <c r="Q1585" t="s">
        <v>3169</v>
      </c>
      <c r="R1585" t="s">
        <v>446</v>
      </c>
      <c r="S1585" t="s">
        <v>446</v>
      </c>
      <c r="T1585" t="s">
        <v>3216</v>
      </c>
      <c r="U1585" t="b">
        <v>0</v>
      </c>
      <c r="V1585" t="s">
        <v>1094</v>
      </c>
    </row>
    <row r="1586" spans="1:22" x14ac:dyDescent="0.25">
      <c r="A1586" t="s">
        <v>42</v>
      </c>
      <c r="B1586">
        <v>195</v>
      </c>
      <c r="C1586" t="s">
        <v>1024</v>
      </c>
      <c r="D1586" t="s">
        <v>1738</v>
      </c>
      <c r="E1586" t="s">
        <v>1023</v>
      </c>
      <c r="G1586" t="s">
        <v>24</v>
      </c>
      <c r="H1586" t="s">
        <v>26</v>
      </c>
      <c r="I1586" t="s">
        <v>3167</v>
      </c>
      <c r="J1586" t="s">
        <v>1026</v>
      </c>
      <c r="K1586" t="s">
        <v>3185</v>
      </c>
      <c r="L1586" t="s">
        <v>1026</v>
      </c>
      <c r="M1586" t="s">
        <v>1000</v>
      </c>
      <c r="N1586" t="s">
        <v>1025</v>
      </c>
      <c r="O1586" t="s">
        <v>1025</v>
      </c>
      <c r="P1586" t="s">
        <v>1110</v>
      </c>
      <c r="Q1586" t="s">
        <v>3169</v>
      </c>
      <c r="R1586" t="s">
        <v>446</v>
      </c>
      <c r="S1586" t="s">
        <v>446</v>
      </c>
      <c r="T1586" t="s">
        <v>3216</v>
      </c>
      <c r="U1586" t="b">
        <v>0</v>
      </c>
      <c r="V1586" t="s">
        <v>1094</v>
      </c>
    </row>
    <row r="1587" spans="1:22" x14ac:dyDescent="0.25">
      <c r="A1587" t="s">
        <v>42</v>
      </c>
      <c r="B1587">
        <v>195</v>
      </c>
      <c r="C1587" t="s">
        <v>1028</v>
      </c>
      <c r="D1587" t="s">
        <v>4777</v>
      </c>
      <c r="E1587" t="s">
        <v>1010</v>
      </c>
      <c r="F1587" t="s">
        <v>3218</v>
      </c>
      <c r="G1587" t="s">
        <v>24</v>
      </c>
      <c r="H1587" t="s">
        <v>26</v>
      </c>
      <c r="I1587" t="s">
        <v>3167</v>
      </c>
      <c r="J1587" t="s">
        <v>1026</v>
      </c>
      <c r="K1587" t="s">
        <v>3185</v>
      </c>
      <c r="L1587" t="s">
        <v>1026</v>
      </c>
      <c r="M1587" t="s">
        <v>1000</v>
      </c>
      <c r="N1587" t="s">
        <v>1025</v>
      </c>
      <c r="O1587" t="s">
        <v>1025</v>
      </c>
      <c r="P1587" t="s">
        <v>1110</v>
      </c>
      <c r="Q1587" t="s">
        <v>3169</v>
      </c>
      <c r="R1587" t="s">
        <v>446</v>
      </c>
      <c r="S1587" t="s">
        <v>446</v>
      </c>
      <c r="T1587" t="s">
        <v>1965</v>
      </c>
      <c r="U1587" t="b">
        <v>0</v>
      </c>
      <c r="V1587" t="s">
        <v>446</v>
      </c>
    </row>
    <row r="1588" spans="1:22" x14ac:dyDescent="0.25">
      <c r="A1588" t="s">
        <v>42</v>
      </c>
      <c r="B1588">
        <v>195</v>
      </c>
      <c r="C1588" t="s">
        <v>1030</v>
      </c>
      <c r="D1588" t="s">
        <v>1739</v>
      </c>
      <c r="E1588" t="s">
        <v>1029</v>
      </c>
      <c r="G1588" t="s">
        <v>24</v>
      </c>
      <c r="H1588" t="s">
        <v>26</v>
      </c>
      <c r="I1588" t="s">
        <v>3167</v>
      </c>
      <c r="J1588" t="s">
        <v>1033</v>
      </c>
      <c r="K1588" t="s">
        <v>3189</v>
      </c>
      <c r="L1588" t="s">
        <v>1033</v>
      </c>
      <c r="M1588" t="s">
        <v>980</v>
      </c>
      <c r="N1588" t="s">
        <v>1031</v>
      </c>
      <c r="O1588" t="s">
        <v>1031</v>
      </c>
      <c r="P1588" t="s">
        <v>1110</v>
      </c>
      <c r="Q1588" t="s">
        <v>3169</v>
      </c>
      <c r="R1588" t="s">
        <v>446</v>
      </c>
      <c r="S1588" t="s">
        <v>446</v>
      </c>
      <c r="T1588" t="s">
        <v>3216</v>
      </c>
      <c r="U1588" t="b">
        <v>0</v>
      </c>
      <c r="V1588" t="s">
        <v>1094</v>
      </c>
    </row>
    <row r="1589" spans="1:22" x14ac:dyDescent="0.25">
      <c r="A1589" t="s">
        <v>42</v>
      </c>
      <c r="B1589">
        <v>195</v>
      </c>
      <c r="C1589" t="s">
        <v>1036</v>
      </c>
      <c r="D1589" t="s">
        <v>1740</v>
      </c>
      <c r="E1589" t="s">
        <v>1035</v>
      </c>
      <c r="G1589" t="s">
        <v>24</v>
      </c>
      <c r="H1589" t="s">
        <v>26</v>
      </c>
      <c r="I1589" t="s">
        <v>3167</v>
      </c>
      <c r="J1589" t="s">
        <v>1038</v>
      </c>
      <c r="K1589" t="s">
        <v>3191</v>
      </c>
      <c r="L1589" t="s">
        <v>1038</v>
      </c>
      <c r="M1589" t="s">
        <v>980</v>
      </c>
      <c r="N1589" t="s">
        <v>1037</v>
      </c>
      <c r="O1589" t="s">
        <v>1037</v>
      </c>
      <c r="P1589" t="s">
        <v>1110</v>
      </c>
      <c r="Q1589" t="s">
        <v>3169</v>
      </c>
      <c r="R1589" t="s">
        <v>446</v>
      </c>
      <c r="S1589" t="s">
        <v>446</v>
      </c>
      <c r="T1589" t="s">
        <v>3216</v>
      </c>
      <c r="U1589" t="b">
        <v>0</v>
      </c>
      <c r="V1589" t="s">
        <v>1094</v>
      </c>
    </row>
    <row r="1590" spans="1:22" x14ac:dyDescent="0.25">
      <c r="A1590" t="s">
        <v>42</v>
      </c>
      <c r="B1590">
        <v>195</v>
      </c>
      <c r="C1590" t="s">
        <v>1041</v>
      </c>
      <c r="D1590" t="s">
        <v>1741</v>
      </c>
      <c r="E1590" t="s">
        <v>1040</v>
      </c>
      <c r="G1590" t="s">
        <v>24</v>
      </c>
      <c r="H1590" t="s">
        <v>26</v>
      </c>
      <c r="I1590" t="s">
        <v>3167</v>
      </c>
      <c r="J1590" t="s">
        <v>1043</v>
      </c>
      <c r="K1590" t="s">
        <v>3193</v>
      </c>
      <c r="L1590" t="s">
        <v>1043</v>
      </c>
      <c r="M1590" t="s">
        <v>980</v>
      </c>
      <c r="N1590" t="s">
        <v>1042</v>
      </c>
      <c r="O1590" t="s">
        <v>1042</v>
      </c>
      <c r="P1590" t="s">
        <v>1110</v>
      </c>
      <c r="Q1590" t="s">
        <v>3169</v>
      </c>
      <c r="R1590" t="s">
        <v>446</v>
      </c>
      <c r="S1590" t="s">
        <v>446</v>
      </c>
      <c r="T1590" t="s">
        <v>3216</v>
      </c>
      <c r="U1590" t="b">
        <v>0</v>
      </c>
      <c r="V1590" t="s">
        <v>1094</v>
      </c>
    </row>
    <row r="1591" spans="1:22" x14ac:dyDescent="0.25">
      <c r="A1591" t="s">
        <v>42</v>
      </c>
      <c r="B1591">
        <v>195</v>
      </c>
      <c r="C1591" t="s">
        <v>1046</v>
      </c>
      <c r="D1591" t="s">
        <v>1742</v>
      </c>
      <c r="E1591" t="s">
        <v>1045</v>
      </c>
      <c r="G1591" t="s">
        <v>24</v>
      </c>
      <c r="H1591" t="s">
        <v>26</v>
      </c>
      <c r="I1591" t="s">
        <v>3167</v>
      </c>
      <c r="J1591" t="s">
        <v>1048</v>
      </c>
      <c r="K1591" t="s">
        <v>3195</v>
      </c>
      <c r="L1591" t="s">
        <v>1048</v>
      </c>
      <c r="M1591" t="s">
        <v>1000</v>
      </c>
      <c r="N1591" t="s">
        <v>1047</v>
      </c>
      <c r="O1591" t="s">
        <v>1047</v>
      </c>
      <c r="P1591" t="s">
        <v>1110</v>
      </c>
      <c r="Q1591" t="s">
        <v>3169</v>
      </c>
      <c r="R1591" t="s">
        <v>446</v>
      </c>
      <c r="S1591" t="s">
        <v>446</v>
      </c>
      <c r="T1591" t="s">
        <v>3216</v>
      </c>
      <c r="U1591" t="b">
        <v>0</v>
      </c>
      <c r="V1591" t="s">
        <v>1094</v>
      </c>
    </row>
    <row r="1592" spans="1:22" x14ac:dyDescent="0.25">
      <c r="A1592" t="s">
        <v>42</v>
      </c>
      <c r="B1592">
        <v>195</v>
      </c>
      <c r="C1592" t="s">
        <v>1050</v>
      </c>
      <c r="D1592" t="s">
        <v>4778</v>
      </c>
      <c r="E1592" t="s">
        <v>1032</v>
      </c>
      <c r="F1592" t="s">
        <v>3218</v>
      </c>
      <c r="G1592" t="s">
        <v>24</v>
      </c>
      <c r="H1592" t="s">
        <v>26</v>
      </c>
      <c r="I1592" t="s">
        <v>3167</v>
      </c>
      <c r="J1592" t="s">
        <v>1048</v>
      </c>
      <c r="K1592" t="s">
        <v>3195</v>
      </c>
      <c r="L1592" t="s">
        <v>1048</v>
      </c>
      <c r="M1592" t="s">
        <v>1000</v>
      </c>
      <c r="N1592" t="s">
        <v>1047</v>
      </c>
      <c r="O1592" t="s">
        <v>1047</v>
      </c>
      <c r="P1592" t="s">
        <v>1110</v>
      </c>
      <c r="Q1592" t="s">
        <v>3169</v>
      </c>
      <c r="R1592" t="s">
        <v>446</v>
      </c>
      <c r="S1592" t="s">
        <v>446</v>
      </c>
      <c r="T1592" t="s">
        <v>1965</v>
      </c>
      <c r="U1592" t="b">
        <v>0</v>
      </c>
      <c r="V1592" t="s">
        <v>446</v>
      </c>
    </row>
    <row r="1593" spans="1:22" x14ac:dyDescent="0.25">
      <c r="A1593" t="s">
        <v>42</v>
      </c>
      <c r="B1593">
        <v>195</v>
      </c>
      <c r="C1593" t="s">
        <v>1052</v>
      </c>
      <c r="D1593" t="s">
        <v>1743</v>
      </c>
      <c r="E1593" t="s">
        <v>1051</v>
      </c>
      <c r="G1593" t="s">
        <v>24</v>
      </c>
      <c r="H1593" t="s">
        <v>26</v>
      </c>
      <c r="I1593" t="s">
        <v>3167</v>
      </c>
      <c r="J1593" t="s">
        <v>1055</v>
      </c>
      <c r="K1593" t="s">
        <v>3199</v>
      </c>
      <c r="L1593" t="s">
        <v>1055</v>
      </c>
      <c r="M1593" t="s">
        <v>980</v>
      </c>
      <c r="N1593" t="s">
        <v>1053</v>
      </c>
      <c r="O1593" t="s">
        <v>1053</v>
      </c>
      <c r="P1593" t="s">
        <v>1110</v>
      </c>
      <c r="Q1593" t="s">
        <v>3169</v>
      </c>
      <c r="R1593" t="s">
        <v>446</v>
      </c>
      <c r="S1593" t="s">
        <v>446</v>
      </c>
      <c r="T1593" t="s">
        <v>3216</v>
      </c>
      <c r="U1593" t="b">
        <v>0</v>
      </c>
      <c r="V1593" t="s">
        <v>1094</v>
      </c>
    </row>
    <row r="1594" spans="1:22" x14ac:dyDescent="0.25">
      <c r="A1594" t="s">
        <v>42</v>
      </c>
      <c r="B1594">
        <v>196</v>
      </c>
      <c r="C1594" t="s">
        <v>979</v>
      </c>
      <c r="D1594" t="s">
        <v>4779</v>
      </c>
      <c r="E1594" t="s">
        <v>978</v>
      </c>
      <c r="F1594" t="s">
        <v>4780</v>
      </c>
      <c r="G1594" t="s">
        <v>24</v>
      </c>
      <c r="H1594" t="s">
        <v>26</v>
      </c>
      <c r="I1594" t="s">
        <v>3167</v>
      </c>
      <c r="J1594" t="s">
        <v>984</v>
      </c>
      <c r="K1594" t="s">
        <v>3168</v>
      </c>
      <c r="L1594" t="s">
        <v>984</v>
      </c>
      <c r="M1594" t="s">
        <v>980</v>
      </c>
      <c r="N1594" t="s">
        <v>981</v>
      </c>
      <c r="O1594" t="s">
        <v>981</v>
      </c>
      <c r="P1594" t="s">
        <v>1110</v>
      </c>
      <c r="Q1594" t="s">
        <v>3169</v>
      </c>
      <c r="R1594" t="s">
        <v>446</v>
      </c>
      <c r="S1594" t="s">
        <v>446</v>
      </c>
      <c r="T1594" t="s">
        <v>1965</v>
      </c>
      <c r="U1594" t="b">
        <v>0</v>
      </c>
      <c r="V1594" t="s">
        <v>446</v>
      </c>
    </row>
    <row r="1595" spans="1:22" x14ac:dyDescent="0.25">
      <c r="A1595" t="s">
        <v>42</v>
      </c>
      <c r="B1595">
        <v>196</v>
      </c>
      <c r="C1595" t="s">
        <v>987</v>
      </c>
      <c r="D1595" t="s">
        <v>4781</v>
      </c>
      <c r="E1595" t="s">
        <v>986</v>
      </c>
      <c r="F1595" t="s">
        <v>4782</v>
      </c>
      <c r="G1595" t="s">
        <v>24</v>
      </c>
      <c r="H1595" t="s">
        <v>26</v>
      </c>
      <c r="I1595" t="s">
        <v>3167</v>
      </c>
      <c r="J1595" t="s">
        <v>990</v>
      </c>
      <c r="K1595" t="s">
        <v>3171</v>
      </c>
      <c r="L1595" t="s">
        <v>990</v>
      </c>
      <c r="M1595" t="s">
        <v>980</v>
      </c>
      <c r="N1595" t="s">
        <v>988</v>
      </c>
      <c r="O1595" t="s">
        <v>988</v>
      </c>
      <c r="P1595" t="s">
        <v>1110</v>
      </c>
      <c r="Q1595" t="s">
        <v>3169</v>
      </c>
      <c r="R1595" t="s">
        <v>446</v>
      </c>
      <c r="S1595" t="s">
        <v>446</v>
      </c>
      <c r="T1595" t="s">
        <v>1965</v>
      </c>
      <c r="U1595" t="b">
        <v>0</v>
      </c>
      <c r="V1595" t="s">
        <v>446</v>
      </c>
    </row>
    <row r="1596" spans="1:22" x14ac:dyDescent="0.25">
      <c r="A1596" t="s">
        <v>42</v>
      </c>
      <c r="B1596">
        <v>196</v>
      </c>
      <c r="C1596" t="s">
        <v>993</v>
      </c>
      <c r="D1596" t="s">
        <v>4783</v>
      </c>
      <c r="E1596" t="s">
        <v>992</v>
      </c>
      <c r="F1596" t="s">
        <v>4784</v>
      </c>
      <c r="G1596" t="s">
        <v>24</v>
      </c>
      <c r="H1596" t="s">
        <v>26</v>
      </c>
      <c r="I1596" t="s">
        <v>3167</v>
      </c>
      <c r="J1596" t="s">
        <v>996</v>
      </c>
      <c r="K1596" t="s">
        <v>3173</v>
      </c>
      <c r="L1596" t="s">
        <v>996</v>
      </c>
      <c r="M1596" t="s">
        <v>980</v>
      </c>
      <c r="N1596" t="s">
        <v>994</v>
      </c>
      <c r="O1596" t="s">
        <v>994</v>
      </c>
      <c r="P1596" t="s">
        <v>1110</v>
      </c>
      <c r="Q1596" t="s">
        <v>3169</v>
      </c>
      <c r="R1596" t="s">
        <v>446</v>
      </c>
      <c r="S1596" t="s">
        <v>446</v>
      </c>
      <c r="T1596" t="s">
        <v>1965</v>
      </c>
      <c r="U1596" t="b">
        <v>0</v>
      </c>
      <c r="V1596" t="s">
        <v>446</v>
      </c>
    </row>
    <row r="1597" spans="1:22" x14ac:dyDescent="0.25">
      <c r="A1597" t="s">
        <v>42</v>
      </c>
      <c r="B1597">
        <v>196</v>
      </c>
      <c r="C1597" t="s">
        <v>999</v>
      </c>
      <c r="D1597" t="s">
        <v>4785</v>
      </c>
      <c r="E1597" t="s">
        <v>998</v>
      </c>
      <c r="F1597" t="s">
        <v>4044</v>
      </c>
      <c r="G1597" t="s">
        <v>24</v>
      </c>
      <c r="H1597" t="s">
        <v>26</v>
      </c>
      <c r="I1597" t="s">
        <v>3167</v>
      </c>
      <c r="J1597" t="s">
        <v>1003</v>
      </c>
      <c r="K1597" t="s">
        <v>3175</v>
      </c>
      <c r="L1597" t="s">
        <v>1003</v>
      </c>
      <c r="M1597" t="s">
        <v>1000</v>
      </c>
      <c r="N1597" t="s">
        <v>1001</v>
      </c>
      <c r="O1597" t="s">
        <v>1001</v>
      </c>
      <c r="P1597" t="s">
        <v>1110</v>
      </c>
      <c r="Q1597" t="s">
        <v>3169</v>
      </c>
      <c r="R1597" t="s">
        <v>446</v>
      </c>
      <c r="S1597" t="s">
        <v>446</v>
      </c>
      <c r="T1597" t="s">
        <v>1965</v>
      </c>
      <c r="U1597" t="b">
        <v>0</v>
      </c>
      <c r="V1597" t="s">
        <v>446</v>
      </c>
    </row>
    <row r="1598" spans="1:22" x14ac:dyDescent="0.25">
      <c r="A1598" t="s">
        <v>42</v>
      </c>
      <c r="B1598">
        <v>196</v>
      </c>
      <c r="C1598" t="s">
        <v>1005</v>
      </c>
      <c r="D1598" t="s">
        <v>4786</v>
      </c>
      <c r="E1598" t="s">
        <v>982</v>
      </c>
      <c r="F1598" t="s">
        <v>4044</v>
      </c>
      <c r="G1598" t="s">
        <v>24</v>
      </c>
      <c r="H1598" t="s">
        <v>26</v>
      </c>
      <c r="I1598" t="s">
        <v>3167</v>
      </c>
      <c r="J1598" t="s">
        <v>1003</v>
      </c>
      <c r="K1598" t="s">
        <v>3175</v>
      </c>
      <c r="L1598" t="s">
        <v>1003</v>
      </c>
      <c r="M1598" t="s">
        <v>1000</v>
      </c>
      <c r="N1598" t="s">
        <v>1001</v>
      </c>
      <c r="O1598" t="s">
        <v>1001</v>
      </c>
      <c r="P1598" t="s">
        <v>1110</v>
      </c>
      <c r="Q1598" t="s">
        <v>3169</v>
      </c>
      <c r="R1598" t="s">
        <v>446</v>
      </c>
      <c r="S1598" t="s">
        <v>446</v>
      </c>
      <c r="T1598" t="s">
        <v>1965</v>
      </c>
      <c r="U1598" t="b">
        <v>0</v>
      </c>
      <c r="V1598" t="s">
        <v>446</v>
      </c>
    </row>
    <row r="1599" spans="1:22" x14ac:dyDescent="0.25">
      <c r="A1599" t="s">
        <v>42</v>
      </c>
      <c r="B1599">
        <v>196</v>
      </c>
      <c r="C1599" t="s">
        <v>1007</v>
      </c>
      <c r="D1599" t="s">
        <v>4787</v>
      </c>
      <c r="E1599" t="s">
        <v>1006</v>
      </c>
      <c r="F1599" t="s">
        <v>4788</v>
      </c>
      <c r="G1599" t="s">
        <v>24</v>
      </c>
      <c r="H1599" t="s">
        <v>26</v>
      </c>
      <c r="I1599" t="s">
        <v>3167</v>
      </c>
      <c r="J1599" t="s">
        <v>1011</v>
      </c>
      <c r="K1599" t="s">
        <v>3179</v>
      </c>
      <c r="L1599" t="s">
        <v>1011</v>
      </c>
      <c r="M1599" t="s">
        <v>1008</v>
      </c>
      <c r="N1599" t="s">
        <v>1009</v>
      </c>
      <c r="O1599" t="s">
        <v>1009</v>
      </c>
      <c r="P1599" t="s">
        <v>1110</v>
      </c>
      <c r="Q1599" t="s">
        <v>3169</v>
      </c>
      <c r="R1599" t="s">
        <v>446</v>
      </c>
      <c r="S1599" t="s">
        <v>446</v>
      </c>
      <c r="T1599" t="s">
        <v>1965</v>
      </c>
      <c r="U1599" t="b">
        <v>0</v>
      </c>
      <c r="V1599" t="s">
        <v>446</v>
      </c>
    </row>
    <row r="1600" spans="1:22" x14ac:dyDescent="0.25">
      <c r="A1600" t="s">
        <v>42</v>
      </c>
      <c r="B1600">
        <v>196</v>
      </c>
      <c r="C1600" t="s">
        <v>1014</v>
      </c>
      <c r="D1600" t="s">
        <v>4789</v>
      </c>
      <c r="E1600" t="s">
        <v>1013</v>
      </c>
      <c r="F1600" t="s">
        <v>4790</v>
      </c>
      <c r="G1600" t="s">
        <v>24</v>
      </c>
      <c r="H1600" t="s">
        <v>26</v>
      </c>
      <c r="I1600" t="s">
        <v>3167</v>
      </c>
      <c r="J1600" t="s">
        <v>1016</v>
      </c>
      <c r="K1600" t="s">
        <v>3181</v>
      </c>
      <c r="L1600" t="s">
        <v>1016</v>
      </c>
      <c r="M1600" t="s">
        <v>980</v>
      </c>
      <c r="N1600" t="s">
        <v>1015</v>
      </c>
      <c r="O1600" t="s">
        <v>1015</v>
      </c>
      <c r="P1600" t="s">
        <v>1110</v>
      </c>
      <c r="Q1600" t="s">
        <v>3169</v>
      </c>
      <c r="R1600" t="s">
        <v>446</v>
      </c>
      <c r="S1600" t="s">
        <v>446</v>
      </c>
      <c r="T1600" t="s">
        <v>1965</v>
      </c>
      <c r="U1600" t="b">
        <v>0</v>
      </c>
      <c r="V1600" t="s">
        <v>446</v>
      </c>
    </row>
    <row r="1601" spans="1:22" x14ac:dyDescent="0.25">
      <c r="A1601" t="s">
        <v>42</v>
      </c>
      <c r="B1601">
        <v>196</v>
      </c>
      <c r="C1601" t="s">
        <v>1019</v>
      </c>
      <c r="D1601" t="s">
        <v>4791</v>
      </c>
      <c r="E1601" t="s">
        <v>1018</v>
      </c>
      <c r="F1601" t="s">
        <v>4792</v>
      </c>
      <c r="G1601" t="s">
        <v>24</v>
      </c>
      <c r="H1601" t="s">
        <v>26</v>
      </c>
      <c r="I1601" t="s">
        <v>3167</v>
      </c>
      <c r="J1601" t="s">
        <v>1021</v>
      </c>
      <c r="K1601" t="s">
        <v>3183</v>
      </c>
      <c r="L1601" t="s">
        <v>1021</v>
      </c>
      <c r="M1601" t="s">
        <v>980</v>
      </c>
      <c r="N1601" t="s">
        <v>1020</v>
      </c>
      <c r="O1601" t="s">
        <v>1020</v>
      </c>
      <c r="P1601" t="s">
        <v>1110</v>
      </c>
      <c r="Q1601" t="s">
        <v>3169</v>
      </c>
      <c r="R1601" t="s">
        <v>446</v>
      </c>
      <c r="S1601" t="s">
        <v>446</v>
      </c>
      <c r="T1601" t="s">
        <v>1965</v>
      </c>
      <c r="U1601" t="b">
        <v>0</v>
      </c>
      <c r="V1601" t="s">
        <v>446</v>
      </c>
    </row>
    <row r="1602" spans="1:22" x14ac:dyDescent="0.25">
      <c r="A1602" t="s">
        <v>42</v>
      </c>
      <c r="B1602">
        <v>196</v>
      </c>
      <c r="C1602" t="s">
        <v>1024</v>
      </c>
      <c r="D1602" t="s">
        <v>4793</v>
      </c>
      <c r="E1602" t="s">
        <v>1023</v>
      </c>
      <c r="F1602" t="s">
        <v>4045</v>
      </c>
      <c r="G1602" t="s">
        <v>24</v>
      </c>
      <c r="H1602" t="s">
        <v>26</v>
      </c>
      <c r="I1602" t="s">
        <v>3167</v>
      </c>
      <c r="J1602" t="s">
        <v>1026</v>
      </c>
      <c r="K1602" t="s">
        <v>3185</v>
      </c>
      <c r="L1602" t="s">
        <v>1026</v>
      </c>
      <c r="M1602" t="s">
        <v>1000</v>
      </c>
      <c r="N1602" t="s">
        <v>1025</v>
      </c>
      <c r="O1602" t="s">
        <v>1025</v>
      </c>
      <c r="P1602" t="s">
        <v>1110</v>
      </c>
      <c r="Q1602" t="s">
        <v>3169</v>
      </c>
      <c r="R1602" t="s">
        <v>446</v>
      </c>
      <c r="S1602" t="s">
        <v>446</v>
      </c>
      <c r="T1602" t="s">
        <v>1965</v>
      </c>
      <c r="U1602" t="b">
        <v>0</v>
      </c>
      <c r="V1602" t="s">
        <v>446</v>
      </c>
    </row>
    <row r="1603" spans="1:22" x14ac:dyDescent="0.25">
      <c r="A1603" t="s">
        <v>42</v>
      </c>
      <c r="B1603">
        <v>196</v>
      </c>
      <c r="C1603" t="s">
        <v>1028</v>
      </c>
      <c r="D1603" t="s">
        <v>4794</v>
      </c>
      <c r="E1603" t="s">
        <v>1010</v>
      </c>
      <c r="F1603" t="s">
        <v>4045</v>
      </c>
      <c r="G1603" t="s">
        <v>24</v>
      </c>
      <c r="H1603" t="s">
        <v>26</v>
      </c>
      <c r="I1603" t="s">
        <v>3167</v>
      </c>
      <c r="J1603" t="s">
        <v>1026</v>
      </c>
      <c r="K1603" t="s">
        <v>3185</v>
      </c>
      <c r="L1603" t="s">
        <v>1026</v>
      </c>
      <c r="M1603" t="s">
        <v>1000</v>
      </c>
      <c r="N1603" t="s">
        <v>1025</v>
      </c>
      <c r="O1603" t="s">
        <v>1025</v>
      </c>
      <c r="P1603" t="s">
        <v>1110</v>
      </c>
      <c r="Q1603" t="s">
        <v>3169</v>
      </c>
      <c r="R1603" t="s">
        <v>446</v>
      </c>
      <c r="S1603" t="s">
        <v>446</v>
      </c>
      <c r="T1603" t="s">
        <v>1965</v>
      </c>
      <c r="U1603" t="b">
        <v>0</v>
      </c>
      <c r="V1603" t="s">
        <v>446</v>
      </c>
    </row>
    <row r="1604" spans="1:22" x14ac:dyDescent="0.25">
      <c r="A1604" t="s">
        <v>42</v>
      </c>
      <c r="B1604">
        <v>196</v>
      </c>
      <c r="C1604" t="s">
        <v>1030</v>
      </c>
      <c r="D1604" t="s">
        <v>4795</v>
      </c>
      <c r="E1604" t="s">
        <v>1029</v>
      </c>
      <c r="F1604" t="s">
        <v>4796</v>
      </c>
      <c r="G1604" t="s">
        <v>24</v>
      </c>
      <c r="H1604" t="s">
        <v>26</v>
      </c>
      <c r="I1604" t="s">
        <v>3167</v>
      </c>
      <c r="J1604" t="s">
        <v>1033</v>
      </c>
      <c r="K1604" t="s">
        <v>3189</v>
      </c>
      <c r="L1604" t="s">
        <v>1033</v>
      </c>
      <c r="M1604" t="s">
        <v>980</v>
      </c>
      <c r="N1604" t="s">
        <v>1031</v>
      </c>
      <c r="O1604" t="s">
        <v>1031</v>
      </c>
      <c r="P1604" t="s">
        <v>1110</v>
      </c>
      <c r="Q1604" t="s">
        <v>3169</v>
      </c>
      <c r="R1604" t="s">
        <v>446</v>
      </c>
      <c r="S1604" t="s">
        <v>446</v>
      </c>
      <c r="T1604" t="s">
        <v>1965</v>
      </c>
      <c r="U1604" t="b">
        <v>0</v>
      </c>
      <c r="V1604" t="s">
        <v>446</v>
      </c>
    </row>
    <row r="1605" spans="1:22" x14ac:dyDescent="0.25">
      <c r="A1605" t="s">
        <v>42</v>
      </c>
      <c r="B1605">
        <v>196</v>
      </c>
      <c r="C1605" t="s">
        <v>1036</v>
      </c>
      <c r="D1605" t="s">
        <v>4797</v>
      </c>
      <c r="E1605" t="s">
        <v>1035</v>
      </c>
      <c r="F1605" t="s">
        <v>4798</v>
      </c>
      <c r="G1605" t="s">
        <v>24</v>
      </c>
      <c r="H1605" t="s">
        <v>26</v>
      </c>
      <c r="I1605" t="s">
        <v>3167</v>
      </c>
      <c r="J1605" t="s">
        <v>1038</v>
      </c>
      <c r="K1605" t="s">
        <v>3191</v>
      </c>
      <c r="L1605" t="s">
        <v>1038</v>
      </c>
      <c r="M1605" t="s">
        <v>980</v>
      </c>
      <c r="N1605" t="s">
        <v>1037</v>
      </c>
      <c r="O1605" t="s">
        <v>1037</v>
      </c>
      <c r="P1605" t="s">
        <v>1110</v>
      </c>
      <c r="Q1605" t="s">
        <v>3169</v>
      </c>
      <c r="R1605" t="s">
        <v>446</v>
      </c>
      <c r="S1605" t="s">
        <v>446</v>
      </c>
      <c r="T1605" t="s">
        <v>1965</v>
      </c>
      <c r="U1605" t="b">
        <v>0</v>
      </c>
      <c r="V1605" t="s">
        <v>446</v>
      </c>
    </row>
    <row r="1606" spans="1:22" x14ac:dyDescent="0.25">
      <c r="A1606" t="s">
        <v>42</v>
      </c>
      <c r="B1606">
        <v>196</v>
      </c>
      <c r="C1606" t="s">
        <v>1041</v>
      </c>
      <c r="D1606" t="s">
        <v>4799</v>
      </c>
      <c r="E1606" t="s">
        <v>1040</v>
      </c>
      <c r="F1606" t="s">
        <v>4330</v>
      </c>
      <c r="G1606" t="s">
        <v>24</v>
      </c>
      <c r="H1606" t="s">
        <v>26</v>
      </c>
      <c r="I1606" t="s">
        <v>3167</v>
      </c>
      <c r="J1606" t="s">
        <v>1043</v>
      </c>
      <c r="K1606" t="s">
        <v>3193</v>
      </c>
      <c r="L1606" t="s">
        <v>1043</v>
      </c>
      <c r="M1606" t="s">
        <v>980</v>
      </c>
      <c r="N1606" t="s">
        <v>1042</v>
      </c>
      <c r="O1606" t="s">
        <v>1042</v>
      </c>
      <c r="P1606" t="s">
        <v>1110</v>
      </c>
      <c r="Q1606" t="s">
        <v>3169</v>
      </c>
      <c r="R1606" t="s">
        <v>446</v>
      </c>
      <c r="S1606" t="s">
        <v>446</v>
      </c>
      <c r="T1606" t="s">
        <v>1965</v>
      </c>
      <c r="U1606" t="b">
        <v>0</v>
      </c>
      <c r="V1606" t="s">
        <v>446</v>
      </c>
    </row>
    <row r="1607" spans="1:22" x14ac:dyDescent="0.25">
      <c r="A1607" t="s">
        <v>42</v>
      </c>
      <c r="B1607">
        <v>196</v>
      </c>
      <c r="C1607" t="s">
        <v>1046</v>
      </c>
      <c r="D1607" t="s">
        <v>4800</v>
      </c>
      <c r="E1607" t="s">
        <v>1045</v>
      </c>
      <c r="F1607" t="s">
        <v>4046</v>
      </c>
      <c r="G1607" t="s">
        <v>24</v>
      </c>
      <c r="H1607" t="s">
        <v>26</v>
      </c>
      <c r="I1607" t="s">
        <v>3167</v>
      </c>
      <c r="J1607" t="s">
        <v>1048</v>
      </c>
      <c r="K1607" t="s">
        <v>3195</v>
      </c>
      <c r="L1607" t="s">
        <v>1048</v>
      </c>
      <c r="M1607" t="s">
        <v>1000</v>
      </c>
      <c r="N1607" t="s">
        <v>1047</v>
      </c>
      <c r="O1607" t="s">
        <v>1047</v>
      </c>
      <c r="P1607" t="s">
        <v>1110</v>
      </c>
      <c r="Q1607" t="s">
        <v>3169</v>
      </c>
      <c r="R1607" t="s">
        <v>446</v>
      </c>
      <c r="S1607" t="s">
        <v>446</v>
      </c>
      <c r="T1607" t="s">
        <v>1965</v>
      </c>
      <c r="U1607" t="b">
        <v>0</v>
      </c>
      <c r="V1607" t="s">
        <v>446</v>
      </c>
    </row>
    <row r="1608" spans="1:22" x14ac:dyDescent="0.25">
      <c r="A1608" t="s">
        <v>42</v>
      </c>
      <c r="B1608">
        <v>196</v>
      </c>
      <c r="C1608" t="s">
        <v>1050</v>
      </c>
      <c r="D1608" t="s">
        <v>4801</v>
      </c>
      <c r="E1608" t="s">
        <v>1032</v>
      </c>
      <c r="F1608" t="s">
        <v>4046</v>
      </c>
      <c r="G1608" t="s">
        <v>24</v>
      </c>
      <c r="H1608" t="s">
        <v>26</v>
      </c>
      <c r="I1608" t="s">
        <v>3167</v>
      </c>
      <c r="J1608" t="s">
        <v>1048</v>
      </c>
      <c r="K1608" t="s">
        <v>3195</v>
      </c>
      <c r="L1608" t="s">
        <v>1048</v>
      </c>
      <c r="M1608" t="s">
        <v>1000</v>
      </c>
      <c r="N1608" t="s">
        <v>1047</v>
      </c>
      <c r="O1608" t="s">
        <v>1047</v>
      </c>
      <c r="P1608" t="s">
        <v>1110</v>
      </c>
      <c r="Q1608" t="s">
        <v>3169</v>
      </c>
      <c r="R1608" t="s">
        <v>446</v>
      </c>
      <c r="S1608" t="s">
        <v>446</v>
      </c>
      <c r="T1608" t="s">
        <v>1965</v>
      </c>
      <c r="U1608" t="b">
        <v>0</v>
      </c>
      <c r="V1608" t="s">
        <v>446</v>
      </c>
    </row>
    <row r="1609" spans="1:22" x14ac:dyDescent="0.25">
      <c r="A1609" t="s">
        <v>42</v>
      </c>
      <c r="B1609">
        <v>196</v>
      </c>
      <c r="C1609" t="s">
        <v>1052</v>
      </c>
      <c r="D1609" t="s">
        <v>4802</v>
      </c>
      <c r="E1609" t="s">
        <v>1051</v>
      </c>
      <c r="F1609" t="s">
        <v>4803</v>
      </c>
      <c r="G1609" t="s">
        <v>24</v>
      </c>
      <c r="H1609" t="s">
        <v>26</v>
      </c>
      <c r="I1609" t="s">
        <v>3167</v>
      </c>
      <c r="J1609" t="s">
        <v>1055</v>
      </c>
      <c r="K1609" t="s">
        <v>3199</v>
      </c>
      <c r="L1609" t="s">
        <v>1055</v>
      </c>
      <c r="M1609" t="s">
        <v>980</v>
      </c>
      <c r="N1609" t="s">
        <v>1053</v>
      </c>
      <c r="O1609" t="s">
        <v>1053</v>
      </c>
      <c r="P1609" t="s">
        <v>1110</v>
      </c>
      <c r="Q1609" t="s">
        <v>3169</v>
      </c>
      <c r="R1609" t="s">
        <v>446</v>
      </c>
      <c r="S1609" t="s">
        <v>446</v>
      </c>
      <c r="T1609" t="s">
        <v>1965</v>
      </c>
      <c r="U1609" t="b">
        <v>0</v>
      </c>
      <c r="V1609" t="s">
        <v>446</v>
      </c>
    </row>
    <row r="1610" spans="1:22" x14ac:dyDescent="0.25">
      <c r="A1610" t="s">
        <v>42</v>
      </c>
      <c r="B1610">
        <v>200</v>
      </c>
      <c r="C1610" t="s">
        <v>979</v>
      </c>
      <c r="D1610" t="s">
        <v>4804</v>
      </c>
      <c r="E1610" t="s">
        <v>978</v>
      </c>
      <c r="F1610" t="s">
        <v>3218</v>
      </c>
      <c r="G1610" t="s">
        <v>24</v>
      </c>
      <c r="H1610" t="s">
        <v>26</v>
      </c>
      <c r="I1610" t="s">
        <v>3167</v>
      </c>
      <c r="J1610" t="s">
        <v>984</v>
      </c>
      <c r="K1610" t="s">
        <v>3168</v>
      </c>
      <c r="L1610" t="s">
        <v>984</v>
      </c>
      <c r="M1610" t="s">
        <v>980</v>
      </c>
      <c r="N1610" t="s">
        <v>981</v>
      </c>
      <c r="O1610" t="s">
        <v>981</v>
      </c>
      <c r="P1610" t="s">
        <v>1746</v>
      </c>
      <c r="Q1610" t="s">
        <v>3771</v>
      </c>
      <c r="R1610" t="s">
        <v>446</v>
      </c>
      <c r="S1610" t="s">
        <v>446</v>
      </c>
      <c r="T1610" t="s">
        <v>1965</v>
      </c>
      <c r="U1610" t="b">
        <v>0</v>
      </c>
      <c r="V1610" t="s">
        <v>446</v>
      </c>
    </row>
    <row r="1611" spans="1:22" x14ac:dyDescent="0.25">
      <c r="A1611" t="s">
        <v>42</v>
      </c>
      <c r="B1611">
        <v>200</v>
      </c>
      <c r="C1611" t="s">
        <v>987</v>
      </c>
      <c r="D1611" t="s">
        <v>4805</v>
      </c>
      <c r="E1611" t="s">
        <v>986</v>
      </c>
      <c r="F1611" t="s">
        <v>3218</v>
      </c>
      <c r="G1611" t="s">
        <v>24</v>
      </c>
      <c r="H1611" t="s">
        <v>26</v>
      </c>
      <c r="I1611" t="s">
        <v>3167</v>
      </c>
      <c r="J1611" t="s">
        <v>990</v>
      </c>
      <c r="K1611" t="s">
        <v>3171</v>
      </c>
      <c r="L1611" t="s">
        <v>990</v>
      </c>
      <c r="M1611" t="s">
        <v>980</v>
      </c>
      <c r="N1611" t="s">
        <v>988</v>
      </c>
      <c r="O1611" t="s">
        <v>988</v>
      </c>
      <c r="P1611" t="s">
        <v>1746</v>
      </c>
      <c r="Q1611" t="s">
        <v>3771</v>
      </c>
      <c r="R1611" t="s">
        <v>446</v>
      </c>
      <c r="S1611" t="s">
        <v>446</v>
      </c>
      <c r="T1611" t="s">
        <v>1965</v>
      </c>
      <c r="U1611" t="b">
        <v>0</v>
      </c>
      <c r="V1611" t="s">
        <v>446</v>
      </c>
    </row>
    <row r="1612" spans="1:22" x14ac:dyDescent="0.25">
      <c r="A1612" t="s">
        <v>42</v>
      </c>
      <c r="B1612">
        <v>200</v>
      </c>
      <c r="C1612" t="s">
        <v>993</v>
      </c>
      <c r="D1612" t="s">
        <v>4806</v>
      </c>
      <c r="E1612" t="s">
        <v>992</v>
      </c>
      <c r="F1612" t="s">
        <v>3218</v>
      </c>
      <c r="G1612" t="s">
        <v>24</v>
      </c>
      <c r="H1612" t="s">
        <v>26</v>
      </c>
      <c r="I1612" t="s">
        <v>3167</v>
      </c>
      <c r="J1612" t="s">
        <v>996</v>
      </c>
      <c r="K1612" t="s">
        <v>3173</v>
      </c>
      <c r="L1612" t="s">
        <v>996</v>
      </c>
      <c r="M1612" t="s">
        <v>980</v>
      </c>
      <c r="N1612" t="s">
        <v>994</v>
      </c>
      <c r="O1612" t="s">
        <v>994</v>
      </c>
      <c r="P1612" t="s">
        <v>1746</v>
      </c>
      <c r="Q1612" t="s">
        <v>3771</v>
      </c>
      <c r="R1612" t="s">
        <v>446</v>
      </c>
      <c r="S1612" t="s">
        <v>446</v>
      </c>
      <c r="T1612" t="s">
        <v>1965</v>
      </c>
      <c r="U1612" t="b">
        <v>0</v>
      </c>
      <c r="V1612" t="s">
        <v>446</v>
      </c>
    </row>
    <row r="1613" spans="1:22" x14ac:dyDescent="0.25">
      <c r="A1613" t="s">
        <v>42</v>
      </c>
      <c r="B1613">
        <v>200</v>
      </c>
      <c r="C1613" t="s">
        <v>999</v>
      </c>
      <c r="D1613" t="s">
        <v>4807</v>
      </c>
      <c r="E1613" t="s">
        <v>998</v>
      </c>
      <c r="F1613" t="s">
        <v>3218</v>
      </c>
      <c r="G1613" t="s">
        <v>24</v>
      </c>
      <c r="H1613" t="s">
        <v>26</v>
      </c>
      <c r="I1613" t="s">
        <v>3167</v>
      </c>
      <c r="J1613" t="s">
        <v>1003</v>
      </c>
      <c r="K1613" t="s">
        <v>3175</v>
      </c>
      <c r="L1613" t="s">
        <v>1003</v>
      </c>
      <c r="M1613" t="s">
        <v>1000</v>
      </c>
      <c r="N1613" t="s">
        <v>1001</v>
      </c>
      <c r="O1613" t="s">
        <v>1001</v>
      </c>
      <c r="P1613" t="s">
        <v>1746</v>
      </c>
      <c r="Q1613" t="s">
        <v>3771</v>
      </c>
      <c r="R1613" t="s">
        <v>446</v>
      </c>
      <c r="S1613" t="s">
        <v>446</v>
      </c>
      <c r="T1613" t="s">
        <v>1965</v>
      </c>
      <c r="U1613" t="b">
        <v>0</v>
      </c>
      <c r="V1613" t="s">
        <v>446</v>
      </c>
    </row>
    <row r="1614" spans="1:22" x14ac:dyDescent="0.25">
      <c r="A1614" t="s">
        <v>42</v>
      </c>
      <c r="B1614">
        <v>200</v>
      </c>
      <c r="C1614" t="s">
        <v>1005</v>
      </c>
      <c r="D1614" t="s">
        <v>4808</v>
      </c>
      <c r="E1614" t="s">
        <v>982</v>
      </c>
      <c r="F1614" t="s">
        <v>3218</v>
      </c>
      <c r="G1614" t="s">
        <v>24</v>
      </c>
      <c r="H1614" t="s">
        <v>26</v>
      </c>
      <c r="I1614" t="s">
        <v>3167</v>
      </c>
      <c r="J1614" t="s">
        <v>1003</v>
      </c>
      <c r="K1614" t="s">
        <v>3175</v>
      </c>
      <c r="L1614" t="s">
        <v>1003</v>
      </c>
      <c r="M1614" t="s">
        <v>1000</v>
      </c>
      <c r="N1614" t="s">
        <v>1001</v>
      </c>
      <c r="O1614" t="s">
        <v>1001</v>
      </c>
      <c r="P1614" t="s">
        <v>1746</v>
      </c>
      <c r="Q1614" t="s">
        <v>3771</v>
      </c>
      <c r="R1614" t="s">
        <v>446</v>
      </c>
      <c r="S1614" t="s">
        <v>446</v>
      </c>
      <c r="T1614" t="s">
        <v>1965</v>
      </c>
      <c r="U1614" t="b">
        <v>0</v>
      </c>
      <c r="V1614" t="s">
        <v>446</v>
      </c>
    </row>
    <row r="1615" spans="1:22" x14ac:dyDescent="0.25">
      <c r="A1615" t="s">
        <v>42</v>
      </c>
      <c r="B1615">
        <v>200</v>
      </c>
      <c r="C1615" t="s">
        <v>1007</v>
      </c>
      <c r="D1615" t="s">
        <v>4809</v>
      </c>
      <c r="E1615" t="s">
        <v>1006</v>
      </c>
      <c r="F1615" t="s">
        <v>3218</v>
      </c>
      <c r="G1615" t="s">
        <v>24</v>
      </c>
      <c r="H1615" t="s">
        <v>26</v>
      </c>
      <c r="I1615" t="s">
        <v>3167</v>
      </c>
      <c r="J1615" t="s">
        <v>1011</v>
      </c>
      <c r="K1615" t="s">
        <v>3179</v>
      </c>
      <c r="L1615" t="s">
        <v>1011</v>
      </c>
      <c r="M1615" t="s">
        <v>1008</v>
      </c>
      <c r="N1615" t="s">
        <v>1009</v>
      </c>
      <c r="O1615" t="s">
        <v>1009</v>
      </c>
      <c r="P1615" t="s">
        <v>1746</v>
      </c>
      <c r="Q1615" t="s">
        <v>3771</v>
      </c>
      <c r="R1615" t="s">
        <v>446</v>
      </c>
      <c r="S1615" t="s">
        <v>446</v>
      </c>
      <c r="T1615" t="s">
        <v>1965</v>
      </c>
      <c r="U1615" t="b">
        <v>0</v>
      </c>
      <c r="V1615" t="s">
        <v>446</v>
      </c>
    </row>
    <row r="1616" spans="1:22" x14ac:dyDescent="0.25">
      <c r="A1616" t="s">
        <v>42</v>
      </c>
      <c r="B1616">
        <v>200</v>
      </c>
      <c r="C1616" t="s">
        <v>1014</v>
      </c>
      <c r="D1616" t="s">
        <v>4810</v>
      </c>
      <c r="E1616" t="s">
        <v>1013</v>
      </c>
      <c r="F1616" t="s">
        <v>3218</v>
      </c>
      <c r="G1616" t="s">
        <v>24</v>
      </c>
      <c r="H1616" t="s">
        <v>26</v>
      </c>
      <c r="I1616" t="s">
        <v>3167</v>
      </c>
      <c r="J1616" t="s">
        <v>1016</v>
      </c>
      <c r="K1616" t="s">
        <v>3181</v>
      </c>
      <c r="L1616" t="s">
        <v>1016</v>
      </c>
      <c r="M1616" t="s">
        <v>980</v>
      </c>
      <c r="N1616" t="s">
        <v>1015</v>
      </c>
      <c r="O1616" t="s">
        <v>1015</v>
      </c>
      <c r="P1616" t="s">
        <v>1746</v>
      </c>
      <c r="Q1616" t="s">
        <v>3771</v>
      </c>
      <c r="R1616" t="s">
        <v>446</v>
      </c>
      <c r="S1616" t="s">
        <v>446</v>
      </c>
      <c r="T1616" t="s">
        <v>1965</v>
      </c>
      <c r="U1616" t="b">
        <v>0</v>
      </c>
      <c r="V1616" t="s">
        <v>446</v>
      </c>
    </row>
    <row r="1617" spans="1:22" x14ac:dyDescent="0.25">
      <c r="A1617" t="s">
        <v>42</v>
      </c>
      <c r="B1617">
        <v>200</v>
      </c>
      <c r="C1617" t="s">
        <v>1019</v>
      </c>
      <c r="D1617" t="s">
        <v>4811</v>
      </c>
      <c r="E1617" t="s">
        <v>1018</v>
      </c>
      <c r="F1617" t="s">
        <v>3218</v>
      </c>
      <c r="G1617" t="s">
        <v>24</v>
      </c>
      <c r="H1617" t="s">
        <v>26</v>
      </c>
      <c r="I1617" t="s">
        <v>3167</v>
      </c>
      <c r="J1617" t="s">
        <v>1021</v>
      </c>
      <c r="K1617" t="s">
        <v>3183</v>
      </c>
      <c r="L1617" t="s">
        <v>1021</v>
      </c>
      <c r="M1617" t="s">
        <v>980</v>
      </c>
      <c r="N1617" t="s">
        <v>1020</v>
      </c>
      <c r="O1617" t="s">
        <v>1020</v>
      </c>
      <c r="P1617" t="s">
        <v>1746</v>
      </c>
      <c r="Q1617" t="s">
        <v>3771</v>
      </c>
      <c r="R1617" t="s">
        <v>446</v>
      </c>
      <c r="S1617" t="s">
        <v>446</v>
      </c>
      <c r="T1617" t="s">
        <v>1965</v>
      </c>
      <c r="U1617" t="b">
        <v>0</v>
      </c>
      <c r="V1617" t="s">
        <v>446</v>
      </c>
    </row>
    <row r="1618" spans="1:22" x14ac:dyDescent="0.25">
      <c r="A1618" t="s">
        <v>42</v>
      </c>
      <c r="B1618">
        <v>200</v>
      </c>
      <c r="C1618" t="s">
        <v>1024</v>
      </c>
      <c r="D1618" t="s">
        <v>4812</v>
      </c>
      <c r="E1618" t="s">
        <v>1023</v>
      </c>
      <c r="F1618" t="s">
        <v>3218</v>
      </c>
      <c r="G1618" t="s">
        <v>24</v>
      </c>
      <c r="H1618" t="s">
        <v>26</v>
      </c>
      <c r="I1618" t="s">
        <v>3167</v>
      </c>
      <c r="J1618" t="s">
        <v>1026</v>
      </c>
      <c r="K1618" t="s">
        <v>3185</v>
      </c>
      <c r="L1618" t="s">
        <v>1026</v>
      </c>
      <c r="M1618" t="s">
        <v>1000</v>
      </c>
      <c r="N1618" t="s">
        <v>1025</v>
      </c>
      <c r="O1618" t="s">
        <v>1025</v>
      </c>
      <c r="P1618" t="s">
        <v>1746</v>
      </c>
      <c r="Q1618" t="s">
        <v>3771</v>
      </c>
      <c r="R1618" t="s">
        <v>446</v>
      </c>
      <c r="S1618" t="s">
        <v>446</v>
      </c>
      <c r="T1618" t="s">
        <v>1965</v>
      </c>
      <c r="U1618" t="b">
        <v>0</v>
      </c>
      <c r="V1618" t="s">
        <v>446</v>
      </c>
    </row>
    <row r="1619" spans="1:22" x14ac:dyDescent="0.25">
      <c r="A1619" t="s">
        <v>42</v>
      </c>
      <c r="B1619">
        <v>200</v>
      </c>
      <c r="C1619" t="s">
        <v>1028</v>
      </c>
      <c r="D1619" t="s">
        <v>4813</v>
      </c>
      <c r="E1619" t="s">
        <v>1010</v>
      </c>
      <c r="F1619" t="s">
        <v>3218</v>
      </c>
      <c r="G1619" t="s">
        <v>24</v>
      </c>
      <c r="H1619" t="s">
        <v>26</v>
      </c>
      <c r="I1619" t="s">
        <v>3167</v>
      </c>
      <c r="J1619" t="s">
        <v>1026</v>
      </c>
      <c r="K1619" t="s">
        <v>3185</v>
      </c>
      <c r="L1619" t="s">
        <v>1026</v>
      </c>
      <c r="M1619" t="s">
        <v>1000</v>
      </c>
      <c r="N1619" t="s">
        <v>1025</v>
      </c>
      <c r="O1619" t="s">
        <v>1025</v>
      </c>
      <c r="P1619" t="s">
        <v>1746</v>
      </c>
      <c r="Q1619" t="s">
        <v>3771</v>
      </c>
      <c r="R1619" t="s">
        <v>446</v>
      </c>
      <c r="S1619" t="s">
        <v>446</v>
      </c>
      <c r="T1619" t="s">
        <v>1965</v>
      </c>
      <c r="U1619" t="b">
        <v>0</v>
      </c>
      <c r="V1619" t="s">
        <v>446</v>
      </c>
    </row>
    <row r="1620" spans="1:22" x14ac:dyDescent="0.25">
      <c r="A1620" t="s">
        <v>42</v>
      </c>
      <c r="B1620">
        <v>200</v>
      </c>
      <c r="C1620" t="s">
        <v>1030</v>
      </c>
      <c r="D1620" t="s">
        <v>4814</v>
      </c>
      <c r="E1620" t="s">
        <v>1029</v>
      </c>
      <c r="F1620" t="s">
        <v>3218</v>
      </c>
      <c r="G1620" t="s">
        <v>24</v>
      </c>
      <c r="H1620" t="s">
        <v>26</v>
      </c>
      <c r="I1620" t="s">
        <v>3167</v>
      </c>
      <c r="J1620" t="s">
        <v>1033</v>
      </c>
      <c r="K1620" t="s">
        <v>3189</v>
      </c>
      <c r="L1620" t="s">
        <v>1033</v>
      </c>
      <c r="M1620" t="s">
        <v>980</v>
      </c>
      <c r="N1620" t="s">
        <v>1031</v>
      </c>
      <c r="O1620" t="s">
        <v>1031</v>
      </c>
      <c r="P1620" t="s">
        <v>1746</v>
      </c>
      <c r="Q1620" t="s">
        <v>3771</v>
      </c>
      <c r="R1620" t="s">
        <v>446</v>
      </c>
      <c r="S1620" t="s">
        <v>446</v>
      </c>
      <c r="T1620" t="s">
        <v>1965</v>
      </c>
      <c r="U1620" t="b">
        <v>0</v>
      </c>
      <c r="V1620" t="s">
        <v>446</v>
      </c>
    </row>
    <row r="1621" spans="1:22" x14ac:dyDescent="0.25">
      <c r="A1621" t="s">
        <v>42</v>
      </c>
      <c r="B1621">
        <v>200</v>
      </c>
      <c r="C1621" t="s">
        <v>1036</v>
      </c>
      <c r="D1621" t="s">
        <v>4815</v>
      </c>
      <c r="E1621" t="s">
        <v>1035</v>
      </c>
      <c r="F1621" t="s">
        <v>3218</v>
      </c>
      <c r="G1621" t="s">
        <v>24</v>
      </c>
      <c r="H1621" t="s">
        <v>26</v>
      </c>
      <c r="I1621" t="s">
        <v>3167</v>
      </c>
      <c r="J1621" t="s">
        <v>1038</v>
      </c>
      <c r="K1621" t="s">
        <v>3191</v>
      </c>
      <c r="L1621" t="s">
        <v>1038</v>
      </c>
      <c r="M1621" t="s">
        <v>980</v>
      </c>
      <c r="N1621" t="s">
        <v>1037</v>
      </c>
      <c r="O1621" t="s">
        <v>1037</v>
      </c>
      <c r="P1621" t="s">
        <v>1746</v>
      </c>
      <c r="Q1621" t="s">
        <v>3771</v>
      </c>
      <c r="R1621" t="s">
        <v>446</v>
      </c>
      <c r="S1621" t="s">
        <v>446</v>
      </c>
      <c r="T1621" t="s">
        <v>1965</v>
      </c>
      <c r="U1621" t="b">
        <v>0</v>
      </c>
      <c r="V1621" t="s">
        <v>446</v>
      </c>
    </row>
    <row r="1622" spans="1:22" x14ac:dyDescent="0.25">
      <c r="A1622" t="s">
        <v>42</v>
      </c>
      <c r="B1622">
        <v>200</v>
      </c>
      <c r="C1622" t="s">
        <v>1041</v>
      </c>
      <c r="D1622" t="s">
        <v>4816</v>
      </c>
      <c r="E1622" t="s">
        <v>1040</v>
      </c>
      <c r="F1622" t="s">
        <v>3218</v>
      </c>
      <c r="G1622" t="s">
        <v>24</v>
      </c>
      <c r="H1622" t="s">
        <v>26</v>
      </c>
      <c r="I1622" t="s">
        <v>3167</v>
      </c>
      <c r="J1622" t="s">
        <v>1043</v>
      </c>
      <c r="K1622" t="s">
        <v>3193</v>
      </c>
      <c r="L1622" t="s">
        <v>1043</v>
      </c>
      <c r="M1622" t="s">
        <v>980</v>
      </c>
      <c r="N1622" t="s">
        <v>1042</v>
      </c>
      <c r="O1622" t="s">
        <v>1042</v>
      </c>
      <c r="P1622" t="s">
        <v>1746</v>
      </c>
      <c r="Q1622" t="s">
        <v>3771</v>
      </c>
      <c r="R1622" t="s">
        <v>446</v>
      </c>
      <c r="S1622" t="s">
        <v>446</v>
      </c>
      <c r="T1622" t="s">
        <v>1965</v>
      </c>
      <c r="U1622" t="b">
        <v>0</v>
      </c>
      <c r="V1622" t="s">
        <v>446</v>
      </c>
    </row>
    <row r="1623" spans="1:22" x14ac:dyDescent="0.25">
      <c r="A1623" t="s">
        <v>42</v>
      </c>
      <c r="B1623">
        <v>200</v>
      </c>
      <c r="C1623" t="s">
        <v>1046</v>
      </c>
      <c r="D1623" t="s">
        <v>4817</v>
      </c>
      <c r="E1623" t="s">
        <v>1045</v>
      </c>
      <c r="F1623" t="s">
        <v>3218</v>
      </c>
      <c r="G1623" t="s">
        <v>24</v>
      </c>
      <c r="H1623" t="s">
        <v>26</v>
      </c>
      <c r="I1623" t="s">
        <v>3167</v>
      </c>
      <c r="J1623" t="s">
        <v>1048</v>
      </c>
      <c r="K1623" t="s">
        <v>3195</v>
      </c>
      <c r="L1623" t="s">
        <v>1048</v>
      </c>
      <c r="M1623" t="s">
        <v>1000</v>
      </c>
      <c r="N1623" t="s">
        <v>1047</v>
      </c>
      <c r="O1623" t="s">
        <v>1047</v>
      </c>
      <c r="P1623" t="s">
        <v>1746</v>
      </c>
      <c r="Q1623" t="s">
        <v>3771</v>
      </c>
      <c r="R1623" t="s">
        <v>446</v>
      </c>
      <c r="S1623" t="s">
        <v>446</v>
      </c>
      <c r="T1623" t="s">
        <v>1965</v>
      </c>
      <c r="U1623" t="b">
        <v>0</v>
      </c>
      <c r="V1623" t="s">
        <v>446</v>
      </c>
    </row>
    <row r="1624" spans="1:22" x14ac:dyDescent="0.25">
      <c r="A1624" t="s">
        <v>42</v>
      </c>
      <c r="B1624">
        <v>200</v>
      </c>
      <c r="C1624" t="s">
        <v>1050</v>
      </c>
      <c r="D1624" t="s">
        <v>4818</v>
      </c>
      <c r="E1624" t="s">
        <v>1032</v>
      </c>
      <c r="F1624" t="s">
        <v>3218</v>
      </c>
      <c r="G1624" t="s">
        <v>24</v>
      </c>
      <c r="H1624" t="s">
        <v>26</v>
      </c>
      <c r="I1624" t="s">
        <v>3167</v>
      </c>
      <c r="J1624" t="s">
        <v>1048</v>
      </c>
      <c r="K1624" t="s">
        <v>3195</v>
      </c>
      <c r="L1624" t="s">
        <v>1048</v>
      </c>
      <c r="M1624" t="s">
        <v>1000</v>
      </c>
      <c r="N1624" t="s">
        <v>1047</v>
      </c>
      <c r="O1624" t="s">
        <v>1047</v>
      </c>
      <c r="P1624" t="s">
        <v>1746</v>
      </c>
      <c r="Q1624" t="s">
        <v>3771</v>
      </c>
      <c r="R1624" t="s">
        <v>446</v>
      </c>
      <c r="S1624" t="s">
        <v>446</v>
      </c>
      <c r="T1624" t="s">
        <v>1965</v>
      </c>
      <c r="U1624" t="b">
        <v>0</v>
      </c>
      <c r="V1624" t="s">
        <v>446</v>
      </c>
    </row>
    <row r="1625" spans="1:22" x14ac:dyDescent="0.25">
      <c r="A1625" t="s">
        <v>42</v>
      </c>
      <c r="B1625">
        <v>200</v>
      </c>
      <c r="C1625" t="s">
        <v>1052</v>
      </c>
      <c r="D1625" t="s">
        <v>4819</v>
      </c>
      <c r="E1625" t="s">
        <v>1051</v>
      </c>
      <c r="F1625" t="s">
        <v>3218</v>
      </c>
      <c r="G1625" t="s">
        <v>24</v>
      </c>
      <c r="H1625" t="s">
        <v>26</v>
      </c>
      <c r="I1625" t="s">
        <v>3167</v>
      </c>
      <c r="J1625" t="s">
        <v>1055</v>
      </c>
      <c r="K1625" t="s">
        <v>3199</v>
      </c>
      <c r="L1625" t="s">
        <v>1055</v>
      </c>
      <c r="M1625" t="s">
        <v>980</v>
      </c>
      <c r="N1625" t="s">
        <v>1053</v>
      </c>
      <c r="O1625" t="s">
        <v>1053</v>
      </c>
      <c r="P1625" t="s">
        <v>1746</v>
      </c>
      <c r="Q1625" t="s">
        <v>3771</v>
      </c>
      <c r="R1625" t="s">
        <v>446</v>
      </c>
      <c r="S1625" t="s">
        <v>446</v>
      </c>
      <c r="T1625" t="s">
        <v>1965</v>
      </c>
      <c r="U1625" t="b">
        <v>0</v>
      </c>
      <c r="V1625" t="s">
        <v>446</v>
      </c>
    </row>
    <row r="1626" spans="1:22" x14ac:dyDescent="0.25">
      <c r="A1626" t="s">
        <v>42</v>
      </c>
      <c r="B1626">
        <v>201</v>
      </c>
      <c r="C1626" t="s">
        <v>987</v>
      </c>
      <c r="D1626" t="s">
        <v>4820</v>
      </c>
      <c r="E1626" t="s">
        <v>986</v>
      </c>
      <c r="F1626" t="s">
        <v>4821</v>
      </c>
      <c r="G1626" t="s">
        <v>24</v>
      </c>
      <c r="H1626" t="s">
        <v>26</v>
      </c>
      <c r="I1626" t="s">
        <v>3167</v>
      </c>
      <c r="J1626" t="s">
        <v>990</v>
      </c>
      <c r="K1626" t="s">
        <v>3171</v>
      </c>
      <c r="L1626" t="s">
        <v>990</v>
      </c>
      <c r="M1626" t="s">
        <v>980</v>
      </c>
      <c r="N1626" t="s">
        <v>988</v>
      </c>
      <c r="O1626" t="s">
        <v>988</v>
      </c>
      <c r="P1626" t="s">
        <v>1110</v>
      </c>
      <c r="Q1626" t="s">
        <v>3169</v>
      </c>
      <c r="R1626" t="s">
        <v>446</v>
      </c>
      <c r="S1626" t="s">
        <v>446</v>
      </c>
      <c r="T1626" t="s">
        <v>1965</v>
      </c>
      <c r="U1626" t="b">
        <v>0</v>
      </c>
      <c r="V1626" t="s">
        <v>446</v>
      </c>
    </row>
    <row r="1627" spans="1:22" x14ac:dyDescent="0.25">
      <c r="A1627" t="s">
        <v>42</v>
      </c>
      <c r="B1627">
        <v>201</v>
      </c>
      <c r="C1627" t="s">
        <v>993</v>
      </c>
      <c r="D1627" t="s">
        <v>4822</v>
      </c>
      <c r="E1627" t="s">
        <v>992</v>
      </c>
      <c r="F1627" t="s">
        <v>4823</v>
      </c>
      <c r="G1627" t="s">
        <v>24</v>
      </c>
      <c r="H1627" t="s">
        <v>26</v>
      </c>
      <c r="I1627" t="s">
        <v>3167</v>
      </c>
      <c r="J1627" t="s">
        <v>996</v>
      </c>
      <c r="K1627" t="s">
        <v>3173</v>
      </c>
      <c r="L1627" t="s">
        <v>996</v>
      </c>
      <c r="M1627" t="s">
        <v>980</v>
      </c>
      <c r="N1627" t="s">
        <v>994</v>
      </c>
      <c r="O1627" t="s">
        <v>994</v>
      </c>
      <c r="P1627" t="s">
        <v>1110</v>
      </c>
      <c r="Q1627" t="s">
        <v>3169</v>
      </c>
      <c r="R1627" t="s">
        <v>446</v>
      </c>
      <c r="S1627" t="s">
        <v>446</v>
      </c>
      <c r="T1627" t="s">
        <v>1965</v>
      </c>
      <c r="U1627" t="b">
        <v>0</v>
      </c>
      <c r="V1627" t="s">
        <v>446</v>
      </c>
    </row>
    <row r="1628" spans="1:22" x14ac:dyDescent="0.25">
      <c r="A1628" t="s">
        <v>42</v>
      </c>
      <c r="B1628">
        <v>201</v>
      </c>
      <c r="C1628" t="s">
        <v>999</v>
      </c>
      <c r="D1628" t="s">
        <v>4824</v>
      </c>
      <c r="E1628" t="s">
        <v>998</v>
      </c>
      <c r="F1628" t="s">
        <v>4825</v>
      </c>
      <c r="G1628" t="s">
        <v>24</v>
      </c>
      <c r="H1628" t="s">
        <v>26</v>
      </c>
      <c r="I1628" t="s">
        <v>3167</v>
      </c>
      <c r="J1628" t="s">
        <v>1003</v>
      </c>
      <c r="K1628" t="s">
        <v>3175</v>
      </c>
      <c r="L1628" t="s">
        <v>1003</v>
      </c>
      <c r="M1628" t="s">
        <v>1000</v>
      </c>
      <c r="N1628" t="s">
        <v>1001</v>
      </c>
      <c r="O1628" t="s">
        <v>1001</v>
      </c>
      <c r="P1628" t="s">
        <v>1110</v>
      </c>
      <c r="Q1628" t="s">
        <v>3169</v>
      </c>
      <c r="R1628" t="s">
        <v>446</v>
      </c>
      <c r="S1628" t="s">
        <v>446</v>
      </c>
      <c r="T1628" t="s">
        <v>1965</v>
      </c>
      <c r="U1628" t="b">
        <v>0</v>
      </c>
      <c r="V1628" t="s">
        <v>446</v>
      </c>
    </row>
    <row r="1629" spans="1:22" x14ac:dyDescent="0.25">
      <c r="A1629" t="s">
        <v>42</v>
      </c>
      <c r="B1629">
        <v>201</v>
      </c>
      <c r="C1629" t="s">
        <v>1005</v>
      </c>
      <c r="D1629" t="s">
        <v>4826</v>
      </c>
      <c r="E1629" t="s">
        <v>982</v>
      </c>
      <c r="F1629" t="s">
        <v>4827</v>
      </c>
      <c r="G1629" t="s">
        <v>24</v>
      </c>
      <c r="H1629" t="s">
        <v>26</v>
      </c>
      <c r="I1629" t="s">
        <v>3167</v>
      </c>
      <c r="J1629" t="s">
        <v>1003</v>
      </c>
      <c r="K1629" t="s">
        <v>3175</v>
      </c>
      <c r="L1629" t="s">
        <v>1003</v>
      </c>
      <c r="M1629" t="s">
        <v>1000</v>
      </c>
      <c r="N1629" t="s">
        <v>1001</v>
      </c>
      <c r="O1629" t="s">
        <v>1001</v>
      </c>
      <c r="P1629" t="s">
        <v>1110</v>
      </c>
      <c r="Q1629" t="s">
        <v>3169</v>
      </c>
      <c r="R1629" t="s">
        <v>446</v>
      </c>
      <c r="S1629" t="s">
        <v>446</v>
      </c>
      <c r="T1629" t="s">
        <v>1965</v>
      </c>
      <c r="U1629" t="b">
        <v>0</v>
      </c>
      <c r="V1629" t="s">
        <v>446</v>
      </c>
    </row>
    <row r="1630" spans="1:22" x14ac:dyDescent="0.25">
      <c r="A1630" t="s">
        <v>42</v>
      </c>
      <c r="B1630">
        <v>201</v>
      </c>
      <c r="C1630" t="s">
        <v>1007</v>
      </c>
      <c r="D1630" t="s">
        <v>4828</v>
      </c>
      <c r="E1630" t="s">
        <v>1006</v>
      </c>
      <c r="F1630" t="s">
        <v>4829</v>
      </c>
      <c r="G1630" t="s">
        <v>24</v>
      </c>
      <c r="H1630" t="s">
        <v>26</v>
      </c>
      <c r="I1630" t="s">
        <v>3167</v>
      </c>
      <c r="J1630" t="s">
        <v>1011</v>
      </c>
      <c r="K1630" t="s">
        <v>3179</v>
      </c>
      <c r="L1630" t="s">
        <v>1011</v>
      </c>
      <c r="M1630" t="s">
        <v>1008</v>
      </c>
      <c r="N1630" t="s">
        <v>1009</v>
      </c>
      <c r="O1630" t="s">
        <v>1009</v>
      </c>
      <c r="P1630" t="s">
        <v>1110</v>
      </c>
      <c r="Q1630" t="s">
        <v>3169</v>
      </c>
      <c r="R1630" t="s">
        <v>446</v>
      </c>
      <c r="S1630" t="s">
        <v>446</v>
      </c>
      <c r="T1630" t="s">
        <v>1965</v>
      </c>
      <c r="U1630" t="b">
        <v>0</v>
      </c>
      <c r="V1630" t="s">
        <v>446</v>
      </c>
    </row>
    <row r="1631" spans="1:22" x14ac:dyDescent="0.25">
      <c r="A1631" t="s">
        <v>42</v>
      </c>
      <c r="B1631">
        <v>201</v>
      </c>
      <c r="C1631" t="s">
        <v>1014</v>
      </c>
      <c r="D1631" t="s">
        <v>4830</v>
      </c>
      <c r="E1631" t="s">
        <v>1013</v>
      </c>
      <c r="F1631" t="s">
        <v>4831</v>
      </c>
      <c r="G1631" t="s">
        <v>24</v>
      </c>
      <c r="H1631" t="s">
        <v>26</v>
      </c>
      <c r="I1631" t="s">
        <v>3167</v>
      </c>
      <c r="J1631" t="s">
        <v>1016</v>
      </c>
      <c r="K1631" t="s">
        <v>3181</v>
      </c>
      <c r="L1631" t="s">
        <v>1016</v>
      </c>
      <c r="M1631" t="s">
        <v>980</v>
      </c>
      <c r="N1631" t="s">
        <v>1015</v>
      </c>
      <c r="O1631" t="s">
        <v>1015</v>
      </c>
      <c r="P1631" t="s">
        <v>1110</v>
      </c>
      <c r="Q1631" t="s">
        <v>3169</v>
      </c>
      <c r="R1631" t="s">
        <v>446</v>
      </c>
      <c r="S1631" t="s">
        <v>446</v>
      </c>
      <c r="T1631" t="s">
        <v>1965</v>
      </c>
      <c r="U1631" t="b">
        <v>0</v>
      </c>
      <c r="V1631" t="s">
        <v>446</v>
      </c>
    </row>
    <row r="1632" spans="1:22" x14ac:dyDescent="0.25">
      <c r="A1632" t="s">
        <v>42</v>
      </c>
      <c r="B1632">
        <v>201</v>
      </c>
      <c r="C1632" t="s">
        <v>1019</v>
      </c>
      <c r="D1632" t="s">
        <v>4832</v>
      </c>
      <c r="E1632" t="s">
        <v>1018</v>
      </c>
      <c r="F1632" t="s">
        <v>4833</v>
      </c>
      <c r="G1632" t="s">
        <v>24</v>
      </c>
      <c r="H1632" t="s">
        <v>26</v>
      </c>
      <c r="I1632" t="s">
        <v>3167</v>
      </c>
      <c r="J1632" t="s">
        <v>1021</v>
      </c>
      <c r="K1632" t="s">
        <v>3183</v>
      </c>
      <c r="L1632" t="s">
        <v>1021</v>
      </c>
      <c r="M1632" t="s">
        <v>980</v>
      </c>
      <c r="N1632" t="s">
        <v>1020</v>
      </c>
      <c r="O1632" t="s">
        <v>1020</v>
      </c>
      <c r="P1632" t="s">
        <v>1110</v>
      </c>
      <c r="Q1632" t="s">
        <v>3169</v>
      </c>
      <c r="R1632" t="s">
        <v>446</v>
      </c>
      <c r="S1632" t="s">
        <v>446</v>
      </c>
      <c r="T1632" t="s">
        <v>1965</v>
      </c>
      <c r="U1632" t="b">
        <v>0</v>
      </c>
      <c r="V1632" t="s">
        <v>446</v>
      </c>
    </row>
    <row r="1633" spans="1:22" x14ac:dyDescent="0.25">
      <c r="A1633" t="s">
        <v>42</v>
      </c>
      <c r="B1633">
        <v>201</v>
      </c>
      <c r="C1633" t="s">
        <v>1024</v>
      </c>
      <c r="D1633" t="s">
        <v>4834</v>
      </c>
      <c r="E1633" t="s">
        <v>1023</v>
      </c>
      <c r="F1633" t="s">
        <v>4835</v>
      </c>
      <c r="G1633" t="s">
        <v>24</v>
      </c>
      <c r="H1633" t="s">
        <v>26</v>
      </c>
      <c r="I1633" t="s">
        <v>3167</v>
      </c>
      <c r="J1633" t="s">
        <v>1026</v>
      </c>
      <c r="K1633" t="s">
        <v>3185</v>
      </c>
      <c r="L1633" t="s">
        <v>1026</v>
      </c>
      <c r="M1633" t="s">
        <v>1000</v>
      </c>
      <c r="N1633" t="s">
        <v>1025</v>
      </c>
      <c r="O1633" t="s">
        <v>1025</v>
      </c>
      <c r="P1633" t="s">
        <v>1110</v>
      </c>
      <c r="Q1633" t="s">
        <v>3169</v>
      </c>
      <c r="R1633" t="s">
        <v>446</v>
      </c>
      <c r="S1633" t="s">
        <v>446</v>
      </c>
      <c r="T1633" t="s">
        <v>1965</v>
      </c>
      <c r="U1633" t="b">
        <v>0</v>
      </c>
      <c r="V1633" t="s">
        <v>446</v>
      </c>
    </row>
    <row r="1634" spans="1:22" x14ac:dyDescent="0.25">
      <c r="A1634" t="s">
        <v>42</v>
      </c>
      <c r="B1634">
        <v>201</v>
      </c>
      <c r="C1634" t="s">
        <v>1028</v>
      </c>
      <c r="D1634" t="s">
        <v>4836</v>
      </c>
      <c r="E1634" t="s">
        <v>1010</v>
      </c>
      <c r="F1634" t="s">
        <v>4837</v>
      </c>
      <c r="G1634" t="s">
        <v>24</v>
      </c>
      <c r="H1634" t="s">
        <v>26</v>
      </c>
      <c r="I1634" t="s">
        <v>3167</v>
      </c>
      <c r="J1634" t="s">
        <v>1026</v>
      </c>
      <c r="K1634" t="s">
        <v>3185</v>
      </c>
      <c r="L1634" t="s">
        <v>1026</v>
      </c>
      <c r="M1634" t="s">
        <v>1000</v>
      </c>
      <c r="N1634" t="s">
        <v>1025</v>
      </c>
      <c r="O1634" t="s">
        <v>1025</v>
      </c>
      <c r="P1634" t="s">
        <v>1110</v>
      </c>
      <c r="Q1634" t="s">
        <v>3169</v>
      </c>
      <c r="R1634" t="s">
        <v>446</v>
      </c>
      <c r="S1634" t="s">
        <v>446</v>
      </c>
      <c r="T1634" t="s">
        <v>1965</v>
      </c>
      <c r="U1634" t="b">
        <v>0</v>
      </c>
      <c r="V1634" t="s">
        <v>446</v>
      </c>
    </row>
    <row r="1635" spans="1:22" x14ac:dyDescent="0.25">
      <c r="A1635" t="s">
        <v>42</v>
      </c>
      <c r="B1635">
        <v>201</v>
      </c>
      <c r="C1635" t="s">
        <v>1030</v>
      </c>
      <c r="D1635" t="s">
        <v>4838</v>
      </c>
      <c r="E1635" t="s">
        <v>1029</v>
      </c>
      <c r="F1635" t="s">
        <v>4839</v>
      </c>
      <c r="G1635" t="s">
        <v>24</v>
      </c>
      <c r="H1635" t="s">
        <v>26</v>
      </c>
      <c r="I1635" t="s">
        <v>3167</v>
      </c>
      <c r="J1635" t="s">
        <v>1033</v>
      </c>
      <c r="K1635" t="s">
        <v>3189</v>
      </c>
      <c r="L1635" t="s">
        <v>1033</v>
      </c>
      <c r="M1635" t="s">
        <v>980</v>
      </c>
      <c r="N1635" t="s">
        <v>1031</v>
      </c>
      <c r="O1635" t="s">
        <v>1031</v>
      </c>
      <c r="P1635" t="s">
        <v>1110</v>
      </c>
      <c r="Q1635" t="s">
        <v>3169</v>
      </c>
      <c r="R1635" t="s">
        <v>446</v>
      </c>
      <c r="S1635" t="s">
        <v>446</v>
      </c>
      <c r="T1635" t="s">
        <v>1965</v>
      </c>
      <c r="U1635" t="b">
        <v>0</v>
      </c>
      <c r="V1635" t="s">
        <v>446</v>
      </c>
    </row>
    <row r="1636" spans="1:22" x14ac:dyDescent="0.25">
      <c r="A1636" t="s">
        <v>42</v>
      </c>
      <c r="B1636">
        <v>201</v>
      </c>
      <c r="C1636" t="s">
        <v>1036</v>
      </c>
      <c r="D1636" t="s">
        <v>4840</v>
      </c>
      <c r="E1636" t="s">
        <v>1035</v>
      </c>
      <c r="F1636" t="s">
        <v>4841</v>
      </c>
      <c r="G1636" t="s">
        <v>24</v>
      </c>
      <c r="H1636" t="s">
        <v>26</v>
      </c>
      <c r="I1636" t="s">
        <v>3167</v>
      </c>
      <c r="J1636" t="s">
        <v>1038</v>
      </c>
      <c r="K1636" t="s">
        <v>3191</v>
      </c>
      <c r="L1636" t="s">
        <v>1038</v>
      </c>
      <c r="M1636" t="s">
        <v>980</v>
      </c>
      <c r="N1636" t="s">
        <v>1037</v>
      </c>
      <c r="O1636" t="s">
        <v>1037</v>
      </c>
      <c r="P1636" t="s">
        <v>1110</v>
      </c>
      <c r="Q1636" t="s">
        <v>3169</v>
      </c>
      <c r="R1636" t="s">
        <v>446</v>
      </c>
      <c r="S1636" t="s">
        <v>446</v>
      </c>
      <c r="T1636" t="s">
        <v>1965</v>
      </c>
      <c r="U1636" t="b">
        <v>0</v>
      </c>
      <c r="V1636" t="s">
        <v>446</v>
      </c>
    </row>
    <row r="1637" spans="1:22" x14ac:dyDescent="0.25">
      <c r="A1637" t="s">
        <v>42</v>
      </c>
      <c r="B1637">
        <v>201</v>
      </c>
      <c r="C1637" t="s">
        <v>1041</v>
      </c>
      <c r="D1637" t="s">
        <v>4842</v>
      </c>
      <c r="E1637" t="s">
        <v>1040</v>
      </c>
      <c r="F1637" t="s">
        <v>4843</v>
      </c>
      <c r="G1637" t="s">
        <v>24</v>
      </c>
      <c r="H1637" t="s">
        <v>26</v>
      </c>
      <c r="I1637" t="s">
        <v>3167</v>
      </c>
      <c r="J1637" t="s">
        <v>1043</v>
      </c>
      <c r="K1637" t="s">
        <v>3193</v>
      </c>
      <c r="L1637" t="s">
        <v>1043</v>
      </c>
      <c r="M1637" t="s">
        <v>980</v>
      </c>
      <c r="N1637" t="s">
        <v>1042</v>
      </c>
      <c r="O1637" t="s">
        <v>1042</v>
      </c>
      <c r="P1637" t="s">
        <v>1110</v>
      </c>
      <c r="Q1637" t="s">
        <v>3169</v>
      </c>
      <c r="R1637" t="s">
        <v>446</v>
      </c>
      <c r="S1637" t="s">
        <v>446</v>
      </c>
      <c r="T1637" t="s">
        <v>1965</v>
      </c>
      <c r="U1637" t="b">
        <v>0</v>
      </c>
      <c r="V1637" t="s">
        <v>446</v>
      </c>
    </row>
    <row r="1638" spans="1:22" x14ac:dyDescent="0.25">
      <c r="A1638" t="s">
        <v>42</v>
      </c>
      <c r="B1638">
        <v>201</v>
      </c>
      <c r="C1638" t="s">
        <v>1046</v>
      </c>
      <c r="D1638" t="s">
        <v>4844</v>
      </c>
      <c r="E1638" t="s">
        <v>1045</v>
      </c>
      <c r="F1638" t="s">
        <v>4845</v>
      </c>
      <c r="G1638" t="s">
        <v>24</v>
      </c>
      <c r="H1638" t="s">
        <v>26</v>
      </c>
      <c r="I1638" t="s">
        <v>3167</v>
      </c>
      <c r="J1638" t="s">
        <v>1048</v>
      </c>
      <c r="K1638" t="s">
        <v>3195</v>
      </c>
      <c r="L1638" t="s">
        <v>1048</v>
      </c>
      <c r="M1638" t="s">
        <v>1000</v>
      </c>
      <c r="N1638" t="s">
        <v>1047</v>
      </c>
      <c r="O1638" t="s">
        <v>1047</v>
      </c>
      <c r="P1638" t="s">
        <v>1110</v>
      </c>
      <c r="Q1638" t="s">
        <v>3169</v>
      </c>
      <c r="R1638" t="s">
        <v>446</v>
      </c>
      <c r="S1638" t="s">
        <v>446</v>
      </c>
      <c r="T1638" t="s">
        <v>1965</v>
      </c>
      <c r="U1638" t="b">
        <v>0</v>
      </c>
      <c r="V1638" t="s">
        <v>446</v>
      </c>
    </row>
    <row r="1639" spans="1:22" x14ac:dyDescent="0.25">
      <c r="A1639" t="s">
        <v>42</v>
      </c>
      <c r="B1639">
        <v>201</v>
      </c>
      <c r="C1639" t="s">
        <v>1050</v>
      </c>
      <c r="D1639" t="s">
        <v>4846</v>
      </c>
      <c r="E1639" t="s">
        <v>1032</v>
      </c>
      <c r="F1639" t="s">
        <v>4847</v>
      </c>
      <c r="G1639" t="s">
        <v>24</v>
      </c>
      <c r="H1639" t="s">
        <v>26</v>
      </c>
      <c r="I1639" t="s">
        <v>3167</v>
      </c>
      <c r="J1639" t="s">
        <v>1048</v>
      </c>
      <c r="K1639" t="s">
        <v>3195</v>
      </c>
      <c r="L1639" t="s">
        <v>1048</v>
      </c>
      <c r="M1639" t="s">
        <v>1000</v>
      </c>
      <c r="N1639" t="s">
        <v>1047</v>
      </c>
      <c r="O1639" t="s">
        <v>1047</v>
      </c>
      <c r="P1639" t="s">
        <v>1110</v>
      </c>
      <c r="Q1639" t="s">
        <v>3169</v>
      </c>
      <c r="R1639" t="s">
        <v>446</v>
      </c>
      <c r="S1639" t="s">
        <v>446</v>
      </c>
      <c r="T1639" t="s">
        <v>1965</v>
      </c>
      <c r="U1639" t="b">
        <v>0</v>
      </c>
      <c r="V1639" t="s">
        <v>446</v>
      </c>
    </row>
    <row r="1640" spans="1:22" x14ac:dyDescent="0.25">
      <c r="A1640" t="s">
        <v>42</v>
      </c>
      <c r="B1640">
        <v>201</v>
      </c>
      <c r="C1640" t="s">
        <v>1052</v>
      </c>
      <c r="D1640" t="s">
        <v>4848</v>
      </c>
      <c r="E1640" t="s">
        <v>1051</v>
      </c>
      <c r="F1640" t="s">
        <v>4849</v>
      </c>
      <c r="G1640" t="s">
        <v>24</v>
      </c>
      <c r="H1640" t="s">
        <v>26</v>
      </c>
      <c r="I1640" t="s">
        <v>3167</v>
      </c>
      <c r="J1640" t="s">
        <v>1055</v>
      </c>
      <c r="K1640" t="s">
        <v>3199</v>
      </c>
      <c r="L1640" t="s">
        <v>1055</v>
      </c>
      <c r="M1640" t="s">
        <v>980</v>
      </c>
      <c r="N1640" t="s">
        <v>1053</v>
      </c>
      <c r="O1640" t="s">
        <v>1053</v>
      </c>
      <c r="P1640" t="s">
        <v>1110</v>
      </c>
      <c r="Q1640" t="s">
        <v>3169</v>
      </c>
      <c r="R1640" t="s">
        <v>446</v>
      </c>
      <c r="S1640" t="s">
        <v>446</v>
      </c>
      <c r="T1640" t="s">
        <v>1965</v>
      </c>
      <c r="U1640" t="b">
        <v>0</v>
      </c>
      <c r="V1640" t="s">
        <v>446</v>
      </c>
    </row>
    <row r="1641" spans="1:22" x14ac:dyDescent="0.25">
      <c r="A1641" t="s">
        <v>42</v>
      </c>
      <c r="B1641">
        <v>202</v>
      </c>
      <c r="C1641" t="s">
        <v>979</v>
      </c>
      <c r="D1641" t="s">
        <v>4850</v>
      </c>
      <c r="E1641" t="s">
        <v>978</v>
      </c>
      <c r="F1641" t="s">
        <v>3218</v>
      </c>
      <c r="G1641" t="s">
        <v>24</v>
      </c>
      <c r="H1641" t="s">
        <v>26</v>
      </c>
      <c r="I1641" t="s">
        <v>3167</v>
      </c>
      <c r="J1641" t="s">
        <v>984</v>
      </c>
      <c r="K1641" t="s">
        <v>3168</v>
      </c>
      <c r="L1641" t="s">
        <v>984</v>
      </c>
      <c r="M1641" t="s">
        <v>980</v>
      </c>
      <c r="N1641" t="s">
        <v>981</v>
      </c>
      <c r="O1641" t="s">
        <v>981</v>
      </c>
      <c r="P1641" t="s">
        <v>1110</v>
      </c>
      <c r="Q1641" t="s">
        <v>3169</v>
      </c>
      <c r="R1641" t="s">
        <v>446</v>
      </c>
      <c r="S1641" t="s">
        <v>446</v>
      </c>
      <c r="T1641" t="s">
        <v>1965</v>
      </c>
      <c r="U1641" t="b">
        <v>0</v>
      </c>
      <c r="V1641" t="s">
        <v>446</v>
      </c>
    </row>
    <row r="1642" spans="1:22" x14ac:dyDescent="0.25">
      <c r="A1642" t="s">
        <v>42</v>
      </c>
      <c r="B1642">
        <v>202</v>
      </c>
      <c r="C1642" t="s">
        <v>987</v>
      </c>
      <c r="D1642" t="s">
        <v>4851</v>
      </c>
      <c r="E1642" t="s">
        <v>986</v>
      </c>
      <c r="F1642" t="s">
        <v>3218</v>
      </c>
      <c r="G1642" t="s">
        <v>24</v>
      </c>
      <c r="H1642" t="s">
        <v>26</v>
      </c>
      <c r="I1642" t="s">
        <v>3167</v>
      </c>
      <c r="J1642" t="s">
        <v>990</v>
      </c>
      <c r="K1642" t="s">
        <v>3171</v>
      </c>
      <c r="L1642" t="s">
        <v>990</v>
      </c>
      <c r="M1642" t="s">
        <v>980</v>
      </c>
      <c r="N1642" t="s">
        <v>988</v>
      </c>
      <c r="O1642" t="s">
        <v>988</v>
      </c>
      <c r="P1642" t="s">
        <v>1110</v>
      </c>
      <c r="Q1642" t="s">
        <v>3169</v>
      </c>
      <c r="R1642" t="s">
        <v>446</v>
      </c>
      <c r="S1642" t="s">
        <v>446</v>
      </c>
      <c r="T1642" t="s">
        <v>1965</v>
      </c>
      <c r="U1642" t="b">
        <v>0</v>
      </c>
      <c r="V1642" t="s">
        <v>446</v>
      </c>
    </row>
    <row r="1643" spans="1:22" x14ac:dyDescent="0.25">
      <c r="A1643" t="s">
        <v>42</v>
      </c>
      <c r="B1643">
        <v>202</v>
      </c>
      <c r="C1643" t="s">
        <v>993</v>
      </c>
      <c r="D1643" t="s">
        <v>4852</v>
      </c>
      <c r="E1643" t="s">
        <v>992</v>
      </c>
      <c r="F1643" t="s">
        <v>3218</v>
      </c>
      <c r="G1643" t="s">
        <v>24</v>
      </c>
      <c r="H1643" t="s">
        <v>26</v>
      </c>
      <c r="I1643" t="s">
        <v>3167</v>
      </c>
      <c r="J1643" t="s">
        <v>996</v>
      </c>
      <c r="K1643" t="s">
        <v>3173</v>
      </c>
      <c r="L1643" t="s">
        <v>996</v>
      </c>
      <c r="M1643" t="s">
        <v>980</v>
      </c>
      <c r="N1643" t="s">
        <v>994</v>
      </c>
      <c r="O1643" t="s">
        <v>994</v>
      </c>
      <c r="P1643" t="s">
        <v>1110</v>
      </c>
      <c r="Q1643" t="s">
        <v>3169</v>
      </c>
      <c r="R1643" t="s">
        <v>446</v>
      </c>
      <c r="S1643" t="s">
        <v>446</v>
      </c>
      <c r="T1643" t="s">
        <v>1965</v>
      </c>
      <c r="U1643" t="b">
        <v>0</v>
      </c>
      <c r="V1643" t="s">
        <v>446</v>
      </c>
    </row>
    <row r="1644" spans="1:22" x14ac:dyDescent="0.25">
      <c r="A1644" t="s">
        <v>42</v>
      </c>
      <c r="B1644">
        <v>202</v>
      </c>
      <c r="C1644" t="s">
        <v>999</v>
      </c>
      <c r="D1644" t="s">
        <v>4853</v>
      </c>
      <c r="E1644" t="s">
        <v>998</v>
      </c>
      <c r="F1644" t="s">
        <v>3218</v>
      </c>
      <c r="G1644" t="s">
        <v>24</v>
      </c>
      <c r="H1644" t="s">
        <v>26</v>
      </c>
      <c r="I1644" t="s">
        <v>3167</v>
      </c>
      <c r="J1644" t="s">
        <v>1003</v>
      </c>
      <c r="K1644" t="s">
        <v>3175</v>
      </c>
      <c r="L1644" t="s">
        <v>1003</v>
      </c>
      <c r="M1644" t="s">
        <v>1000</v>
      </c>
      <c r="N1644" t="s">
        <v>1001</v>
      </c>
      <c r="O1644" t="s">
        <v>1001</v>
      </c>
      <c r="P1644" t="s">
        <v>1110</v>
      </c>
      <c r="Q1644" t="s">
        <v>3169</v>
      </c>
      <c r="R1644" t="s">
        <v>446</v>
      </c>
      <c r="S1644" t="s">
        <v>446</v>
      </c>
      <c r="T1644" t="s">
        <v>1965</v>
      </c>
      <c r="U1644" t="b">
        <v>0</v>
      </c>
      <c r="V1644" t="s">
        <v>446</v>
      </c>
    </row>
    <row r="1645" spans="1:22" x14ac:dyDescent="0.25">
      <c r="A1645" t="s">
        <v>42</v>
      </c>
      <c r="B1645">
        <v>202</v>
      </c>
      <c r="C1645" t="s">
        <v>1005</v>
      </c>
      <c r="D1645" t="s">
        <v>4854</v>
      </c>
      <c r="E1645" t="s">
        <v>982</v>
      </c>
      <c r="F1645" t="s">
        <v>3218</v>
      </c>
      <c r="G1645" t="s">
        <v>24</v>
      </c>
      <c r="H1645" t="s">
        <v>26</v>
      </c>
      <c r="I1645" t="s">
        <v>3167</v>
      </c>
      <c r="J1645" t="s">
        <v>1003</v>
      </c>
      <c r="K1645" t="s">
        <v>3175</v>
      </c>
      <c r="L1645" t="s">
        <v>1003</v>
      </c>
      <c r="M1645" t="s">
        <v>1000</v>
      </c>
      <c r="N1645" t="s">
        <v>1001</v>
      </c>
      <c r="O1645" t="s">
        <v>1001</v>
      </c>
      <c r="P1645" t="s">
        <v>1110</v>
      </c>
      <c r="Q1645" t="s">
        <v>3169</v>
      </c>
      <c r="R1645" t="s">
        <v>446</v>
      </c>
      <c r="S1645" t="s">
        <v>446</v>
      </c>
      <c r="T1645" t="s">
        <v>1965</v>
      </c>
      <c r="U1645" t="b">
        <v>0</v>
      </c>
      <c r="V1645" t="s">
        <v>446</v>
      </c>
    </row>
    <row r="1646" spans="1:22" x14ac:dyDescent="0.25">
      <c r="A1646" t="s">
        <v>42</v>
      </c>
      <c r="B1646">
        <v>202</v>
      </c>
      <c r="C1646" t="s">
        <v>1007</v>
      </c>
      <c r="D1646" t="s">
        <v>4855</v>
      </c>
      <c r="E1646" t="s">
        <v>1006</v>
      </c>
      <c r="F1646" t="s">
        <v>3218</v>
      </c>
      <c r="G1646" t="s">
        <v>24</v>
      </c>
      <c r="H1646" t="s">
        <v>26</v>
      </c>
      <c r="I1646" t="s">
        <v>3167</v>
      </c>
      <c r="J1646" t="s">
        <v>1011</v>
      </c>
      <c r="K1646" t="s">
        <v>3179</v>
      </c>
      <c r="L1646" t="s">
        <v>1011</v>
      </c>
      <c r="M1646" t="s">
        <v>1008</v>
      </c>
      <c r="N1646" t="s">
        <v>1009</v>
      </c>
      <c r="O1646" t="s">
        <v>1009</v>
      </c>
      <c r="P1646" t="s">
        <v>1110</v>
      </c>
      <c r="Q1646" t="s">
        <v>3169</v>
      </c>
      <c r="R1646" t="s">
        <v>446</v>
      </c>
      <c r="S1646" t="s">
        <v>446</v>
      </c>
      <c r="T1646" t="s">
        <v>1965</v>
      </c>
      <c r="U1646" t="b">
        <v>0</v>
      </c>
      <c r="V1646" t="s">
        <v>446</v>
      </c>
    </row>
    <row r="1647" spans="1:22" x14ac:dyDescent="0.25">
      <c r="A1647" t="s">
        <v>42</v>
      </c>
      <c r="B1647">
        <v>202</v>
      </c>
      <c r="C1647" t="s">
        <v>1014</v>
      </c>
      <c r="D1647" t="s">
        <v>4856</v>
      </c>
      <c r="E1647" t="s">
        <v>1013</v>
      </c>
      <c r="F1647" t="s">
        <v>3218</v>
      </c>
      <c r="G1647" t="s">
        <v>24</v>
      </c>
      <c r="H1647" t="s">
        <v>26</v>
      </c>
      <c r="I1647" t="s">
        <v>3167</v>
      </c>
      <c r="J1647" t="s">
        <v>1016</v>
      </c>
      <c r="K1647" t="s">
        <v>3181</v>
      </c>
      <c r="L1647" t="s">
        <v>1016</v>
      </c>
      <c r="M1647" t="s">
        <v>980</v>
      </c>
      <c r="N1647" t="s">
        <v>1015</v>
      </c>
      <c r="O1647" t="s">
        <v>1015</v>
      </c>
      <c r="P1647" t="s">
        <v>1110</v>
      </c>
      <c r="Q1647" t="s">
        <v>3169</v>
      </c>
      <c r="R1647" t="s">
        <v>446</v>
      </c>
      <c r="S1647" t="s">
        <v>446</v>
      </c>
      <c r="T1647" t="s">
        <v>1965</v>
      </c>
      <c r="U1647" t="b">
        <v>0</v>
      </c>
      <c r="V1647" t="s">
        <v>446</v>
      </c>
    </row>
    <row r="1648" spans="1:22" x14ac:dyDescent="0.25">
      <c r="A1648" t="s">
        <v>42</v>
      </c>
      <c r="B1648">
        <v>202</v>
      </c>
      <c r="C1648" t="s">
        <v>1019</v>
      </c>
      <c r="D1648" t="s">
        <v>4857</v>
      </c>
      <c r="E1648" t="s">
        <v>1018</v>
      </c>
      <c r="F1648" t="s">
        <v>3218</v>
      </c>
      <c r="G1648" t="s">
        <v>24</v>
      </c>
      <c r="H1648" t="s">
        <v>26</v>
      </c>
      <c r="I1648" t="s">
        <v>3167</v>
      </c>
      <c r="J1648" t="s">
        <v>1021</v>
      </c>
      <c r="K1648" t="s">
        <v>3183</v>
      </c>
      <c r="L1648" t="s">
        <v>1021</v>
      </c>
      <c r="M1648" t="s">
        <v>980</v>
      </c>
      <c r="N1648" t="s">
        <v>1020</v>
      </c>
      <c r="O1648" t="s">
        <v>1020</v>
      </c>
      <c r="P1648" t="s">
        <v>1110</v>
      </c>
      <c r="Q1648" t="s">
        <v>3169</v>
      </c>
      <c r="R1648" t="s">
        <v>446</v>
      </c>
      <c r="S1648" t="s">
        <v>446</v>
      </c>
      <c r="T1648" t="s">
        <v>1965</v>
      </c>
      <c r="U1648" t="b">
        <v>0</v>
      </c>
      <c r="V1648" t="s">
        <v>446</v>
      </c>
    </row>
    <row r="1649" spans="1:22" x14ac:dyDescent="0.25">
      <c r="A1649" t="s">
        <v>42</v>
      </c>
      <c r="B1649">
        <v>202</v>
      </c>
      <c r="C1649" t="s">
        <v>1024</v>
      </c>
      <c r="D1649" t="s">
        <v>4858</v>
      </c>
      <c r="E1649" t="s">
        <v>1023</v>
      </c>
      <c r="F1649" t="s">
        <v>3218</v>
      </c>
      <c r="G1649" t="s">
        <v>24</v>
      </c>
      <c r="H1649" t="s">
        <v>26</v>
      </c>
      <c r="I1649" t="s">
        <v>3167</v>
      </c>
      <c r="J1649" t="s">
        <v>1026</v>
      </c>
      <c r="K1649" t="s">
        <v>3185</v>
      </c>
      <c r="L1649" t="s">
        <v>1026</v>
      </c>
      <c r="M1649" t="s">
        <v>1000</v>
      </c>
      <c r="N1649" t="s">
        <v>1025</v>
      </c>
      <c r="O1649" t="s">
        <v>1025</v>
      </c>
      <c r="P1649" t="s">
        <v>1110</v>
      </c>
      <c r="Q1649" t="s">
        <v>3169</v>
      </c>
      <c r="R1649" t="s">
        <v>446</v>
      </c>
      <c r="S1649" t="s">
        <v>446</v>
      </c>
      <c r="T1649" t="s">
        <v>1965</v>
      </c>
      <c r="U1649" t="b">
        <v>0</v>
      </c>
      <c r="V1649" t="s">
        <v>446</v>
      </c>
    </row>
    <row r="1650" spans="1:22" x14ac:dyDescent="0.25">
      <c r="A1650" t="s">
        <v>42</v>
      </c>
      <c r="B1650">
        <v>202</v>
      </c>
      <c r="C1650" t="s">
        <v>1028</v>
      </c>
      <c r="D1650" t="s">
        <v>4859</v>
      </c>
      <c r="E1650" t="s">
        <v>1010</v>
      </c>
      <c r="F1650" t="s">
        <v>3218</v>
      </c>
      <c r="G1650" t="s">
        <v>24</v>
      </c>
      <c r="H1650" t="s">
        <v>26</v>
      </c>
      <c r="I1650" t="s">
        <v>3167</v>
      </c>
      <c r="J1650" t="s">
        <v>1026</v>
      </c>
      <c r="K1650" t="s">
        <v>3185</v>
      </c>
      <c r="L1650" t="s">
        <v>1026</v>
      </c>
      <c r="M1650" t="s">
        <v>1000</v>
      </c>
      <c r="N1650" t="s">
        <v>1025</v>
      </c>
      <c r="O1650" t="s">
        <v>1025</v>
      </c>
      <c r="P1650" t="s">
        <v>1110</v>
      </c>
      <c r="Q1650" t="s">
        <v>3169</v>
      </c>
      <c r="R1650" t="s">
        <v>446</v>
      </c>
      <c r="S1650" t="s">
        <v>446</v>
      </c>
      <c r="T1650" t="s">
        <v>1965</v>
      </c>
      <c r="U1650" t="b">
        <v>0</v>
      </c>
      <c r="V1650" t="s">
        <v>446</v>
      </c>
    </row>
    <row r="1651" spans="1:22" x14ac:dyDescent="0.25">
      <c r="A1651" t="s">
        <v>42</v>
      </c>
      <c r="B1651">
        <v>202</v>
      </c>
      <c r="C1651" t="s">
        <v>1030</v>
      </c>
      <c r="D1651" t="s">
        <v>4860</v>
      </c>
      <c r="E1651" t="s">
        <v>1029</v>
      </c>
      <c r="F1651" t="s">
        <v>3218</v>
      </c>
      <c r="G1651" t="s">
        <v>24</v>
      </c>
      <c r="H1651" t="s">
        <v>26</v>
      </c>
      <c r="I1651" t="s">
        <v>3167</v>
      </c>
      <c r="J1651" t="s">
        <v>1033</v>
      </c>
      <c r="K1651" t="s">
        <v>3189</v>
      </c>
      <c r="L1651" t="s">
        <v>1033</v>
      </c>
      <c r="M1651" t="s">
        <v>980</v>
      </c>
      <c r="N1651" t="s">
        <v>1031</v>
      </c>
      <c r="O1651" t="s">
        <v>1031</v>
      </c>
      <c r="P1651" t="s">
        <v>1110</v>
      </c>
      <c r="Q1651" t="s">
        <v>3169</v>
      </c>
      <c r="R1651" t="s">
        <v>446</v>
      </c>
      <c r="S1651" t="s">
        <v>446</v>
      </c>
      <c r="T1651" t="s">
        <v>1965</v>
      </c>
      <c r="U1651" t="b">
        <v>0</v>
      </c>
      <c r="V1651" t="s">
        <v>446</v>
      </c>
    </row>
    <row r="1652" spans="1:22" x14ac:dyDescent="0.25">
      <c r="A1652" t="s">
        <v>42</v>
      </c>
      <c r="B1652">
        <v>202</v>
      </c>
      <c r="C1652" t="s">
        <v>1036</v>
      </c>
      <c r="D1652" t="s">
        <v>4861</v>
      </c>
      <c r="E1652" t="s">
        <v>1035</v>
      </c>
      <c r="F1652" t="s">
        <v>3218</v>
      </c>
      <c r="G1652" t="s">
        <v>24</v>
      </c>
      <c r="H1652" t="s">
        <v>26</v>
      </c>
      <c r="I1652" t="s">
        <v>3167</v>
      </c>
      <c r="J1652" t="s">
        <v>1038</v>
      </c>
      <c r="K1652" t="s">
        <v>3191</v>
      </c>
      <c r="L1652" t="s">
        <v>1038</v>
      </c>
      <c r="M1652" t="s">
        <v>980</v>
      </c>
      <c r="N1652" t="s">
        <v>1037</v>
      </c>
      <c r="O1652" t="s">
        <v>1037</v>
      </c>
      <c r="P1652" t="s">
        <v>1110</v>
      </c>
      <c r="Q1652" t="s">
        <v>3169</v>
      </c>
      <c r="R1652" t="s">
        <v>446</v>
      </c>
      <c r="S1652" t="s">
        <v>446</v>
      </c>
      <c r="T1652" t="s">
        <v>1965</v>
      </c>
      <c r="U1652" t="b">
        <v>0</v>
      </c>
      <c r="V1652" t="s">
        <v>446</v>
      </c>
    </row>
    <row r="1653" spans="1:22" x14ac:dyDescent="0.25">
      <c r="A1653" t="s">
        <v>42</v>
      </c>
      <c r="B1653">
        <v>202</v>
      </c>
      <c r="C1653" t="s">
        <v>1041</v>
      </c>
      <c r="D1653" t="s">
        <v>4862</v>
      </c>
      <c r="E1653" t="s">
        <v>1040</v>
      </c>
      <c r="F1653" t="s">
        <v>3218</v>
      </c>
      <c r="G1653" t="s">
        <v>24</v>
      </c>
      <c r="H1653" t="s">
        <v>26</v>
      </c>
      <c r="I1653" t="s">
        <v>3167</v>
      </c>
      <c r="J1653" t="s">
        <v>1043</v>
      </c>
      <c r="K1653" t="s">
        <v>3193</v>
      </c>
      <c r="L1653" t="s">
        <v>1043</v>
      </c>
      <c r="M1653" t="s">
        <v>980</v>
      </c>
      <c r="N1653" t="s">
        <v>1042</v>
      </c>
      <c r="O1653" t="s">
        <v>1042</v>
      </c>
      <c r="P1653" t="s">
        <v>1110</v>
      </c>
      <c r="Q1653" t="s">
        <v>3169</v>
      </c>
      <c r="R1653" t="s">
        <v>446</v>
      </c>
      <c r="S1653" t="s">
        <v>446</v>
      </c>
      <c r="T1653" t="s">
        <v>1965</v>
      </c>
      <c r="U1653" t="b">
        <v>0</v>
      </c>
      <c r="V1653" t="s">
        <v>446</v>
      </c>
    </row>
    <row r="1654" spans="1:22" x14ac:dyDescent="0.25">
      <c r="A1654" t="s">
        <v>42</v>
      </c>
      <c r="B1654">
        <v>202</v>
      </c>
      <c r="C1654" t="s">
        <v>1046</v>
      </c>
      <c r="D1654" t="s">
        <v>4863</v>
      </c>
      <c r="E1654" t="s">
        <v>1045</v>
      </c>
      <c r="F1654" t="s">
        <v>3218</v>
      </c>
      <c r="G1654" t="s">
        <v>24</v>
      </c>
      <c r="H1654" t="s">
        <v>26</v>
      </c>
      <c r="I1654" t="s">
        <v>3167</v>
      </c>
      <c r="J1654" t="s">
        <v>1048</v>
      </c>
      <c r="K1654" t="s">
        <v>3195</v>
      </c>
      <c r="L1654" t="s">
        <v>1048</v>
      </c>
      <c r="M1654" t="s">
        <v>1000</v>
      </c>
      <c r="N1654" t="s">
        <v>1047</v>
      </c>
      <c r="O1654" t="s">
        <v>1047</v>
      </c>
      <c r="P1654" t="s">
        <v>1110</v>
      </c>
      <c r="Q1654" t="s">
        <v>3169</v>
      </c>
      <c r="R1654" t="s">
        <v>446</v>
      </c>
      <c r="S1654" t="s">
        <v>446</v>
      </c>
      <c r="T1654" t="s">
        <v>1965</v>
      </c>
      <c r="U1654" t="b">
        <v>0</v>
      </c>
      <c r="V1654" t="s">
        <v>446</v>
      </c>
    </row>
    <row r="1655" spans="1:22" x14ac:dyDescent="0.25">
      <c r="A1655" t="s">
        <v>42</v>
      </c>
      <c r="B1655">
        <v>202</v>
      </c>
      <c r="C1655" t="s">
        <v>1050</v>
      </c>
      <c r="D1655" t="s">
        <v>4864</v>
      </c>
      <c r="E1655" t="s">
        <v>1032</v>
      </c>
      <c r="F1655" t="s">
        <v>3218</v>
      </c>
      <c r="G1655" t="s">
        <v>24</v>
      </c>
      <c r="H1655" t="s">
        <v>26</v>
      </c>
      <c r="I1655" t="s">
        <v>3167</v>
      </c>
      <c r="J1655" t="s">
        <v>1048</v>
      </c>
      <c r="K1655" t="s">
        <v>3195</v>
      </c>
      <c r="L1655" t="s">
        <v>1048</v>
      </c>
      <c r="M1655" t="s">
        <v>1000</v>
      </c>
      <c r="N1655" t="s">
        <v>1047</v>
      </c>
      <c r="O1655" t="s">
        <v>1047</v>
      </c>
      <c r="P1655" t="s">
        <v>1110</v>
      </c>
      <c r="Q1655" t="s">
        <v>3169</v>
      </c>
      <c r="R1655" t="s">
        <v>446</v>
      </c>
      <c r="S1655" t="s">
        <v>446</v>
      </c>
      <c r="T1655" t="s">
        <v>1965</v>
      </c>
      <c r="U1655" t="b">
        <v>0</v>
      </c>
      <c r="V1655" t="s">
        <v>446</v>
      </c>
    </row>
    <row r="1656" spans="1:22" x14ac:dyDescent="0.25">
      <c r="A1656" t="s">
        <v>42</v>
      </c>
      <c r="B1656">
        <v>202</v>
      </c>
      <c r="C1656" t="s">
        <v>1052</v>
      </c>
      <c r="D1656" t="s">
        <v>4865</v>
      </c>
      <c r="E1656" t="s">
        <v>1051</v>
      </c>
      <c r="F1656" t="s">
        <v>3218</v>
      </c>
      <c r="G1656" t="s">
        <v>24</v>
      </c>
      <c r="H1656" t="s">
        <v>26</v>
      </c>
      <c r="I1656" t="s">
        <v>3167</v>
      </c>
      <c r="J1656" t="s">
        <v>1055</v>
      </c>
      <c r="K1656" t="s">
        <v>3199</v>
      </c>
      <c r="L1656" t="s">
        <v>1055</v>
      </c>
      <c r="M1656" t="s">
        <v>980</v>
      </c>
      <c r="N1656" t="s">
        <v>1053</v>
      </c>
      <c r="O1656" t="s">
        <v>1053</v>
      </c>
      <c r="P1656" t="s">
        <v>1110</v>
      </c>
      <c r="Q1656" t="s">
        <v>3169</v>
      </c>
      <c r="R1656" t="s">
        <v>446</v>
      </c>
      <c r="S1656" t="s">
        <v>446</v>
      </c>
      <c r="T1656" t="s">
        <v>1965</v>
      </c>
      <c r="U1656" t="b">
        <v>0</v>
      </c>
      <c r="V1656" t="s">
        <v>446</v>
      </c>
    </row>
    <row r="1657" spans="1:22" x14ac:dyDescent="0.25">
      <c r="A1657" t="s">
        <v>42</v>
      </c>
      <c r="B1657">
        <v>204</v>
      </c>
      <c r="C1657" t="s">
        <v>979</v>
      </c>
      <c r="D1657" t="s">
        <v>4866</v>
      </c>
      <c r="E1657" t="s">
        <v>978</v>
      </c>
      <c r="F1657" t="s">
        <v>3218</v>
      </c>
      <c r="G1657" t="s">
        <v>24</v>
      </c>
      <c r="H1657" t="s">
        <v>26</v>
      </c>
      <c r="I1657" t="s">
        <v>3167</v>
      </c>
      <c r="J1657" t="s">
        <v>984</v>
      </c>
      <c r="K1657" t="s">
        <v>3168</v>
      </c>
      <c r="L1657" t="s">
        <v>984</v>
      </c>
      <c r="M1657" t="s">
        <v>980</v>
      </c>
      <c r="N1657" t="s">
        <v>981</v>
      </c>
      <c r="O1657" t="s">
        <v>981</v>
      </c>
      <c r="P1657" t="s">
        <v>1110</v>
      </c>
      <c r="Q1657" t="s">
        <v>3169</v>
      </c>
      <c r="R1657" t="s">
        <v>446</v>
      </c>
      <c r="S1657" t="s">
        <v>446</v>
      </c>
      <c r="T1657" t="s">
        <v>1965</v>
      </c>
      <c r="U1657" t="b">
        <v>0</v>
      </c>
      <c r="V1657" t="s">
        <v>446</v>
      </c>
    </row>
    <row r="1658" spans="1:22" x14ac:dyDescent="0.25">
      <c r="A1658" t="s">
        <v>42</v>
      </c>
      <c r="B1658">
        <v>204</v>
      </c>
      <c r="C1658" t="s">
        <v>987</v>
      </c>
      <c r="D1658" t="s">
        <v>4867</v>
      </c>
      <c r="E1658" t="s">
        <v>986</v>
      </c>
      <c r="F1658" t="s">
        <v>3218</v>
      </c>
      <c r="G1658" t="s">
        <v>24</v>
      </c>
      <c r="H1658" t="s">
        <v>26</v>
      </c>
      <c r="I1658" t="s">
        <v>3167</v>
      </c>
      <c r="J1658" t="s">
        <v>990</v>
      </c>
      <c r="K1658" t="s">
        <v>3171</v>
      </c>
      <c r="L1658" t="s">
        <v>990</v>
      </c>
      <c r="M1658" t="s">
        <v>980</v>
      </c>
      <c r="N1658" t="s">
        <v>988</v>
      </c>
      <c r="O1658" t="s">
        <v>988</v>
      </c>
      <c r="P1658" t="s">
        <v>1110</v>
      </c>
      <c r="Q1658" t="s">
        <v>3169</v>
      </c>
      <c r="R1658" t="s">
        <v>446</v>
      </c>
      <c r="S1658" t="s">
        <v>446</v>
      </c>
      <c r="T1658" t="s">
        <v>1965</v>
      </c>
      <c r="U1658" t="b">
        <v>0</v>
      </c>
      <c r="V1658" t="s">
        <v>446</v>
      </c>
    </row>
    <row r="1659" spans="1:22" x14ac:dyDescent="0.25">
      <c r="A1659" t="s">
        <v>42</v>
      </c>
      <c r="B1659">
        <v>204</v>
      </c>
      <c r="C1659" t="s">
        <v>993</v>
      </c>
      <c r="D1659" t="s">
        <v>4868</v>
      </c>
      <c r="E1659" t="s">
        <v>992</v>
      </c>
      <c r="F1659" t="s">
        <v>3218</v>
      </c>
      <c r="G1659" t="s">
        <v>24</v>
      </c>
      <c r="H1659" t="s">
        <v>26</v>
      </c>
      <c r="I1659" t="s">
        <v>3167</v>
      </c>
      <c r="J1659" t="s">
        <v>996</v>
      </c>
      <c r="K1659" t="s">
        <v>3173</v>
      </c>
      <c r="L1659" t="s">
        <v>996</v>
      </c>
      <c r="M1659" t="s">
        <v>980</v>
      </c>
      <c r="N1659" t="s">
        <v>994</v>
      </c>
      <c r="O1659" t="s">
        <v>994</v>
      </c>
      <c r="P1659" t="s">
        <v>1110</v>
      </c>
      <c r="Q1659" t="s">
        <v>3169</v>
      </c>
      <c r="R1659" t="s">
        <v>446</v>
      </c>
      <c r="S1659" t="s">
        <v>446</v>
      </c>
      <c r="T1659" t="s">
        <v>1965</v>
      </c>
      <c r="U1659" t="b">
        <v>0</v>
      </c>
      <c r="V1659" t="s">
        <v>446</v>
      </c>
    </row>
    <row r="1660" spans="1:22" x14ac:dyDescent="0.25">
      <c r="A1660" t="s">
        <v>42</v>
      </c>
      <c r="B1660">
        <v>204</v>
      </c>
      <c r="C1660" t="s">
        <v>999</v>
      </c>
      <c r="D1660" t="s">
        <v>4869</v>
      </c>
      <c r="E1660" t="s">
        <v>998</v>
      </c>
      <c r="F1660" t="s">
        <v>3218</v>
      </c>
      <c r="G1660" t="s">
        <v>24</v>
      </c>
      <c r="H1660" t="s">
        <v>26</v>
      </c>
      <c r="I1660" t="s">
        <v>3167</v>
      </c>
      <c r="J1660" t="s">
        <v>1003</v>
      </c>
      <c r="K1660" t="s">
        <v>3175</v>
      </c>
      <c r="L1660" t="s">
        <v>1003</v>
      </c>
      <c r="M1660" t="s">
        <v>1000</v>
      </c>
      <c r="N1660" t="s">
        <v>1001</v>
      </c>
      <c r="O1660" t="s">
        <v>1001</v>
      </c>
      <c r="P1660" t="s">
        <v>1110</v>
      </c>
      <c r="Q1660" t="s">
        <v>3169</v>
      </c>
      <c r="R1660" t="s">
        <v>446</v>
      </c>
      <c r="S1660" t="s">
        <v>446</v>
      </c>
      <c r="T1660" t="s">
        <v>1965</v>
      </c>
      <c r="U1660" t="b">
        <v>0</v>
      </c>
      <c r="V1660" t="s">
        <v>446</v>
      </c>
    </row>
    <row r="1661" spans="1:22" x14ac:dyDescent="0.25">
      <c r="A1661" t="s">
        <v>42</v>
      </c>
      <c r="B1661">
        <v>204</v>
      </c>
      <c r="C1661" t="s">
        <v>1005</v>
      </c>
      <c r="D1661" t="s">
        <v>4870</v>
      </c>
      <c r="E1661" t="s">
        <v>982</v>
      </c>
      <c r="F1661" t="s">
        <v>3166</v>
      </c>
      <c r="G1661" t="s">
        <v>24</v>
      </c>
      <c r="H1661" t="s">
        <v>26</v>
      </c>
      <c r="I1661" t="s">
        <v>3167</v>
      </c>
      <c r="J1661" t="s">
        <v>1003</v>
      </c>
      <c r="K1661" t="s">
        <v>3175</v>
      </c>
      <c r="L1661" t="s">
        <v>1003</v>
      </c>
      <c r="M1661" t="s">
        <v>1000</v>
      </c>
      <c r="N1661" t="s">
        <v>1001</v>
      </c>
      <c r="O1661" t="s">
        <v>1001</v>
      </c>
      <c r="P1661" t="s">
        <v>1110</v>
      </c>
      <c r="Q1661" t="s">
        <v>3169</v>
      </c>
      <c r="R1661" t="s">
        <v>446</v>
      </c>
      <c r="S1661" t="s">
        <v>446</v>
      </c>
      <c r="T1661" t="s">
        <v>1965</v>
      </c>
      <c r="U1661" t="b">
        <v>0</v>
      </c>
      <c r="V1661" t="s">
        <v>446</v>
      </c>
    </row>
    <row r="1662" spans="1:22" x14ac:dyDescent="0.25">
      <c r="A1662" t="s">
        <v>42</v>
      </c>
      <c r="B1662">
        <v>204</v>
      </c>
      <c r="C1662" t="s">
        <v>1007</v>
      </c>
      <c r="D1662" t="s">
        <v>4871</v>
      </c>
      <c r="E1662" t="s">
        <v>1006</v>
      </c>
      <c r="F1662" t="s">
        <v>3218</v>
      </c>
      <c r="G1662" t="s">
        <v>24</v>
      </c>
      <c r="H1662" t="s">
        <v>26</v>
      </c>
      <c r="I1662" t="s">
        <v>3167</v>
      </c>
      <c r="J1662" t="s">
        <v>1011</v>
      </c>
      <c r="K1662" t="s">
        <v>3179</v>
      </c>
      <c r="L1662" t="s">
        <v>1011</v>
      </c>
      <c r="M1662" t="s">
        <v>1008</v>
      </c>
      <c r="N1662" t="s">
        <v>1009</v>
      </c>
      <c r="O1662" t="s">
        <v>1009</v>
      </c>
      <c r="P1662" t="s">
        <v>1110</v>
      </c>
      <c r="Q1662" t="s">
        <v>3169</v>
      </c>
      <c r="R1662" t="s">
        <v>446</v>
      </c>
      <c r="S1662" t="s">
        <v>446</v>
      </c>
      <c r="T1662" t="s">
        <v>1965</v>
      </c>
      <c r="U1662" t="b">
        <v>0</v>
      </c>
      <c r="V1662" t="s">
        <v>446</v>
      </c>
    </row>
    <row r="1663" spans="1:22" x14ac:dyDescent="0.25">
      <c r="A1663" t="s">
        <v>42</v>
      </c>
      <c r="B1663">
        <v>204</v>
      </c>
      <c r="C1663" t="s">
        <v>1014</v>
      </c>
      <c r="D1663" t="s">
        <v>4872</v>
      </c>
      <c r="E1663" t="s">
        <v>1013</v>
      </c>
      <c r="F1663" t="s">
        <v>3218</v>
      </c>
      <c r="G1663" t="s">
        <v>24</v>
      </c>
      <c r="H1663" t="s">
        <v>26</v>
      </c>
      <c r="I1663" t="s">
        <v>3167</v>
      </c>
      <c r="J1663" t="s">
        <v>1016</v>
      </c>
      <c r="K1663" t="s">
        <v>3181</v>
      </c>
      <c r="L1663" t="s">
        <v>1016</v>
      </c>
      <c r="M1663" t="s">
        <v>980</v>
      </c>
      <c r="N1663" t="s">
        <v>1015</v>
      </c>
      <c r="O1663" t="s">
        <v>1015</v>
      </c>
      <c r="P1663" t="s">
        <v>1110</v>
      </c>
      <c r="Q1663" t="s">
        <v>3169</v>
      </c>
      <c r="R1663" t="s">
        <v>446</v>
      </c>
      <c r="S1663" t="s">
        <v>446</v>
      </c>
      <c r="T1663" t="s">
        <v>1965</v>
      </c>
      <c r="U1663" t="b">
        <v>0</v>
      </c>
      <c r="V1663" t="s">
        <v>446</v>
      </c>
    </row>
    <row r="1664" spans="1:22" x14ac:dyDescent="0.25">
      <c r="A1664" t="s">
        <v>42</v>
      </c>
      <c r="B1664">
        <v>204</v>
      </c>
      <c r="C1664" t="s">
        <v>1019</v>
      </c>
      <c r="D1664" t="s">
        <v>4873</v>
      </c>
      <c r="E1664" t="s">
        <v>1018</v>
      </c>
      <c r="F1664" t="s">
        <v>3218</v>
      </c>
      <c r="G1664" t="s">
        <v>24</v>
      </c>
      <c r="H1664" t="s">
        <v>26</v>
      </c>
      <c r="I1664" t="s">
        <v>3167</v>
      </c>
      <c r="J1664" t="s">
        <v>1021</v>
      </c>
      <c r="K1664" t="s">
        <v>3183</v>
      </c>
      <c r="L1664" t="s">
        <v>1021</v>
      </c>
      <c r="M1664" t="s">
        <v>980</v>
      </c>
      <c r="N1664" t="s">
        <v>1020</v>
      </c>
      <c r="O1664" t="s">
        <v>1020</v>
      </c>
      <c r="P1664" t="s">
        <v>1110</v>
      </c>
      <c r="Q1664" t="s">
        <v>3169</v>
      </c>
      <c r="R1664" t="s">
        <v>446</v>
      </c>
      <c r="S1664" t="s">
        <v>446</v>
      </c>
      <c r="T1664" t="s">
        <v>1965</v>
      </c>
      <c r="U1664" t="b">
        <v>0</v>
      </c>
      <c r="V1664" t="s">
        <v>446</v>
      </c>
    </row>
    <row r="1665" spans="1:22" x14ac:dyDescent="0.25">
      <c r="A1665" t="s">
        <v>42</v>
      </c>
      <c r="B1665">
        <v>204</v>
      </c>
      <c r="C1665" t="s">
        <v>1024</v>
      </c>
      <c r="D1665" t="s">
        <v>4874</v>
      </c>
      <c r="E1665" t="s">
        <v>1023</v>
      </c>
      <c r="F1665" t="s">
        <v>3218</v>
      </c>
      <c r="G1665" t="s">
        <v>24</v>
      </c>
      <c r="H1665" t="s">
        <v>26</v>
      </c>
      <c r="I1665" t="s">
        <v>3167</v>
      </c>
      <c r="J1665" t="s">
        <v>1026</v>
      </c>
      <c r="K1665" t="s">
        <v>3185</v>
      </c>
      <c r="L1665" t="s">
        <v>1026</v>
      </c>
      <c r="M1665" t="s">
        <v>1000</v>
      </c>
      <c r="N1665" t="s">
        <v>1025</v>
      </c>
      <c r="O1665" t="s">
        <v>1025</v>
      </c>
      <c r="P1665" t="s">
        <v>1110</v>
      </c>
      <c r="Q1665" t="s">
        <v>3169</v>
      </c>
      <c r="R1665" t="s">
        <v>446</v>
      </c>
      <c r="S1665" t="s">
        <v>446</v>
      </c>
      <c r="T1665" t="s">
        <v>1965</v>
      </c>
      <c r="U1665" t="b">
        <v>0</v>
      </c>
      <c r="V1665" t="s">
        <v>446</v>
      </c>
    </row>
    <row r="1666" spans="1:22" x14ac:dyDescent="0.25">
      <c r="A1666" t="s">
        <v>42</v>
      </c>
      <c r="B1666">
        <v>204</v>
      </c>
      <c r="C1666" t="s">
        <v>1028</v>
      </c>
      <c r="D1666" t="s">
        <v>4875</v>
      </c>
      <c r="E1666" t="s">
        <v>1010</v>
      </c>
      <c r="F1666" t="s">
        <v>3178</v>
      </c>
      <c r="G1666" t="s">
        <v>24</v>
      </c>
      <c r="H1666" t="s">
        <v>26</v>
      </c>
      <c r="I1666" t="s">
        <v>3167</v>
      </c>
      <c r="J1666" t="s">
        <v>1026</v>
      </c>
      <c r="K1666" t="s">
        <v>3185</v>
      </c>
      <c r="L1666" t="s">
        <v>1026</v>
      </c>
      <c r="M1666" t="s">
        <v>1000</v>
      </c>
      <c r="N1666" t="s">
        <v>1025</v>
      </c>
      <c r="O1666" t="s">
        <v>1025</v>
      </c>
      <c r="P1666" t="s">
        <v>1110</v>
      </c>
      <c r="Q1666" t="s">
        <v>3169</v>
      </c>
      <c r="R1666" t="s">
        <v>446</v>
      </c>
      <c r="S1666" t="s">
        <v>446</v>
      </c>
      <c r="T1666" t="s">
        <v>1965</v>
      </c>
      <c r="U1666" t="b">
        <v>0</v>
      </c>
      <c r="V1666" t="s">
        <v>446</v>
      </c>
    </row>
    <row r="1667" spans="1:22" x14ac:dyDescent="0.25">
      <c r="A1667" t="s">
        <v>42</v>
      </c>
      <c r="B1667">
        <v>204</v>
      </c>
      <c r="C1667" t="s">
        <v>1030</v>
      </c>
      <c r="D1667" t="s">
        <v>4876</v>
      </c>
      <c r="E1667" t="s">
        <v>1029</v>
      </c>
      <c r="F1667" t="s">
        <v>3218</v>
      </c>
      <c r="G1667" t="s">
        <v>24</v>
      </c>
      <c r="H1667" t="s">
        <v>26</v>
      </c>
      <c r="I1667" t="s">
        <v>3167</v>
      </c>
      <c r="J1667" t="s">
        <v>1033</v>
      </c>
      <c r="K1667" t="s">
        <v>3189</v>
      </c>
      <c r="L1667" t="s">
        <v>1033</v>
      </c>
      <c r="M1667" t="s">
        <v>980</v>
      </c>
      <c r="N1667" t="s">
        <v>1031</v>
      </c>
      <c r="O1667" t="s">
        <v>1031</v>
      </c>
      <c r="P1667" t="s">
        <v>1110</v>
      </c>
      <c r="Q1667" t="s">
        <v>3169</v>
      </c>
      <c r="R1667" t="s">
        <v>446</v>
      </c>
      <c r="S1667" t="s">
        <v>446</v>
      </c>
      <c r="T1667" t="s">
        <v>1965</v>
      </c>
      <c r="U1667" t="b">
        <v>0</v>
      </c>
      <c r="V1667" t="s">
        <v>446</v>
      </c>
    </row>
    <row r="1668" spans="1:22" x14ac:dyDescent="0.25">
      <c r="A1668" t="s">
        <v>42</v>
      </c>
      <c r="B1668">
        <v>204</v>
      </c>
      <c r="C1668" t="s">
        <v>1036</v>
      </c>
      <c r="D1668" t="s">
        <v>4877</v>
      </c>
      <c r="E1668" t="s">
        <v>1035</v>
      </c>
      <c r="F1668" t="s">
        <v>3218</v>
      </c>
      <c r="G1668" t="s">
        <v>24</v>
      </c>
      <c r="H1668" t="s">
        <v>26</v>
      </c>
      <c r="I1668" t="s">
        <v>3167</v>
      </c>
      <c r="J1668" t="s">
        <v>1038</v>
      </c>
      <c r="K1668" t="s">
        <v>3191</v>
      </c>
      <c r="L1668" t="s">
        <v>1038</v>
      </c>
      <c r="M1668" t="s">
        <v>980</v>
      </c>
      <c r="N1668" t="s">
        <v>1037</v>
      </c>
      <c r="O1668" t="s">
        <v>1037</v>
      </c>
      <c r="P1668" t="s">
        <v>1110</v>
      </c>
      <c r="Q1668" t="s">
        <v>3169</v>
      </c>
      <c r="R1668" t="s">
        <v>446</v>
      </c>
      <c r="S1668" t="s">
        <v>446</v>
      </c>
      <c r="T1668" t="s">
        <v>1965</v>
      </c>
      <c r="U1668" t="b">
        <v>0</v>
      </c>
      <c r="V1668" t="s">
        <v>446</v>
      </c>
    </row>
    <row r="1669" spans="1:22" x14ac:dyDescent="0.25">
      <c r="A1669" t="s">
        <v>42</v>
      </c>
      <c r="B1669">
        <v>204</v>
      </c>
      <c r="C1669" t="s">
        <v>1041</v>
      </c>
      <c r="D1669" t="s">
        <v>4878</v>
      </c>
      <c r="E1669" t="s">
        <v>1040</v>
      </c>
      <c r="F1669" t="s">
        <v>3218</v>
      </c>
      <c r="G1669" t="s">
        <v>24</v>
      </c>
      <c r="H1669" t="s">
        <v>26</v>
      </c>
      <c r="I1669" t="s">
        <v>3167</v>
      </c>
      <c r="J1669" t="s">
        <v>1043</v>
      </c>
      <c r="K1669" t="s">
        <v>3193</v>
      </c>
      <c r="L1669" t="s">
        <v>1043</v>
      </c>
      <c r="M1669" t="s">
        <v>980</v>
      </c>
      <c r="N1669" t="s">
        <v>1042</v>
      </c>
      <c r="O1669" t="s">
        <v>1042</v>
      </c>
      <c r="P1669" t="s">
        <v>1110</v>
      </c>
      <c r="Q1669" t="s">
        <v>3169</v>
      </c>
      <c r="R1669" t="s">
        <v>446</v>
      </c>
      <c r="S1669" t="s">
        <v>446</v>
      </c>
      <c r="T1669" t="s">
        <v>1965</v>
      </c>
      <c r="U1669" t="b">
        <v>0</v>
      </c>
      <c r="V1669" t="s">
        <v>446</v>
      </c>
    </row>
    <row r="1670" spans="1:22" x14ac:dyDescent="0.25">
      <c r="A1670" t="s">
        <v>42</v>
      </c>
      <c r="B1670">
        <v>204</v>
      </c>
      <c r="C1670" t="s">
        <v>1046</v>
      </c>
      <c r="D1670" t="s">
        <v>4879</v>
      </c>
      <c r="E1670" t="s">
        <v>1045</v>
      </c>
      <c r="F1670" t="s">
        <v>3218</v>
      </c>
      <c r="G1670" t="s">
        <v>24</v>
      </c>
      <c r="H1670" t="s">
        <v>26</v>
      </c>
      <c r="I1670" t="s">
        <v>3167</v>
      </c>
      <c r="J1670" t="s">
        <v>1048</v>
      </c>
      <c r="K1670" t="s">
        <v>3195</v>
      </c>
      <c r="L1670" t="s">
        <v>1048</v>
      </c>
      <c r="M1670" t="s">
        <v>1000</v>
      </c>
      <c r="N1670" t="s">
        <v>1047</v>
      </c>
      <c r="O1670" t="s">
        <v>1047</v>
      </c>
      <c r="P1670" t="s">
        <v>1110</v>
      </c>
      <c r="Q1670" t="s">
        <v>3169</v>
      </c>
      <c r="R1670" t="s">
        <v>446</v>
      </c>
      <c r="S1670" t="s">
        <v>446</v>
      </c>
      <c r="T1670" t="s">
        <v>1965</v>
      </c>
      <c r="U1670" t="b">
        <v>0</v>
      </c>
      <c r="V1670" t="s">
        <v>446</v>
      </c>
    </row>
    <row r="1671" spans="1:22" x14ac:dyDescent="0.25">
      <c r="A1671" t="s">
        <v>42</v>
      </c>
      <c r="B1671">
        <v>204</v>
      </c>
      <c r="C1671" t="s">
        <v>1050</v>
      </c>
      <c r="D1671" t="s">
        <v>4880</v>
      </c>
      <c r="E1671" t="s">
        <v>1032</v>
      </c>
      <c r="F1671" t="s">
        <v>3188</v>
      </c>
      <c r="G1671" t="s">
        <v>24</v>
      </c>
      <c r="H1671" t="s">
        <v>26</v>
      </c>
      <c r="I1671" t="s">
        <v>3167</v>
      </c>
      <c r="J1671" t="s">
        <v>1048</v>
      </c>
      <c r="K1671" t="s">
        <v>3195</v>
      </c>
      <c r="L1671" t="s">
        <v>1048</v>
      </c>
      <c r="M1671" t="s">
        <v>1000</v>
      </c>
      <c r="N1671" t="s">
        <v>1047</v>
      </c>
      <c r="O1671" t="s">
        <v>1047</v>
      </c>
      <c r="P1671" t="s">
        <v>1110</v>
      </c>
      <c r="Q1671" t="s">
        <v>3169</v>
      </c>
      <c r="R1671" t="s">
        <v>446</v>
      </c>
      <c r="S1671" t="s">
        <v>446</v>
      </c>
      <c r="T1671" t="s">
        <v>1965</v>
      </c>
      <c r="U1671" t="b">
        <v>0</v>
      </c>
      <c r="V1671" t="s">
        <v>446</v>
      </c>
    </row>
    <row r="1672" spans="1:22" x14ac:dyDescent="0.25">
      <c r="A1672" t="s">
        <v>42</v>
      </c>
      <c r="B1672">
        <v>204</v>
      </c>
      <c r="C1672" t="s">
        <v>1052</v>
      </c>
      <c r="D1672" t="s">
        <v>4881</v>
      </c>
      <c r="E1672" t="s">
        <v>1051</v>
      </c>
      <c r="F1672" t="s">
        <v>3218</v>
      </c>
      <c r="G1672" t="s">
        <v>24</v>
      </c>
      <c r="H1672" t="s">
        <v>26</v>
      </c>
      <c r="I1672" t="s">
        <v>3167</v>
      </c>
      <c r="J1672" t="s">
        <v>1055</v>
      </c>
      <c r="K1672" t="s">
        <v>3199</v>
      </c>
      <c r="L1672" t="s">
        <v>1055</v>
      </c>
      <c r="M1672" t="s">
        <v>980</v>
      </c>
      <c r="N1672" t="s">
        <v>1053</v>
      </c>
      <c r="O1672" t="s">
        <v>1053</v>
      </c>
      <c r="P1672" t="s">
        <v>1110</v>
      </c>
      <c r="Q1672" t="s">
        <v>3169</v>
      </c>
      <c r="R1672" t="s">
        <v>446</v>
      </c>
      <c r="S1672" t="s">
        <v>446</v>
      </c>
      <c r="T1672" t="s">
        <v>1965</v>
      </c>
      <c r="U1672" t="b">
        <v>0</v>
      </c>
      <c r="V1672" t="s">
        <v>446</v>
      </c>
    </row>
    <row r="1673" spans="1:22" x14ac:dyDescent="0.25">
      <c r="A1673" t="s">
        <v>42</v>
      </c>
      <c r="B1673">
        <v>206</v>
      </c>
      <c r="C1673" t="s">
        <v>979</v>
      </c>
      <c r="D1673" t="s">
        <v>4882</v>
      </c>
      <c r="E1673" t="s">
        <v>978</v>
      </c>
      <c r="F1673" t="s">
        <v>3218</v>
      </c>
      <c r="G1673" t="s">
        <v>24</v>
      </c>
      <c r="H1673" t="s">
        <v>26</v>
      </c>
      <c r="I1673" t="s">
        <v>3167</v>
      </c>
      <c r="J1673" t="s">
        <v>984</v>
      </c>
      <c r="K1673" t="s">
        <v>3168</v>
      </c>
      <c r="L1673" t="s">
        <v>984</v>
      </c>
      <c r="M1673" t="s">
        <v>980</v>
      </c>
      <c r="N1673" t="s">
        <v>981</v>
      </c>
      <c r="O1673" t="s">
        <v>981</v>
      </c>
      <c r="P1673" t="s">
        <v>1110</v>
      </c>
      <c r="Q1673" t="s">
        <v>3169</v>
      </c>
      <c r="R1673" t="s">
        <v>446</v>
      </c>
      <c r="S1673" t="s">
        <v>446</v>
      </c>
      <c r="T1673" t="s">
        <v>1965</v>
      </c>
      <c r="U1673" t="b">
        <v>0</v>
      </c>
      <c r="V1673" t="s">
        <v>446</v>
      </c>
    </row>
    <row r="1674" spans="1:22" x14ac:dyDescent="0.25">
      <c r="A1674" t="s">
        <v>42</v>
      </c>
      <c r="B1674">
        <v>206</v>
      </c>
      <c r="C1674" t="s">
        <v>987</v>
      </c>
      <c r="D1674" t="s">
        <v>4883</v>
      </c>
      <c r="E1674" t="s">
        <v>986</v>
      </c>
      <c r="F1674" t="s">
        <v>3218</v>
      </c>
      <c r="G1674" t="s">
        <v>24</v>
      </c>
      <c r="H1674" t="s">
        <v>26</v>
      </c>
      <c r="I1674" t="s">
        <v>3167</v>
      </c>
      <c r="J1674" t="s">
        <v>990</v>
      </c>
      <c r="K1674" t="s">
        <v>3171</v>
      </c>
      <c r="L1674" t="s">
        <v>990</v>
      </c>
      <c r="M1674" t="s">
        <v>980</v>
      </c>
      <c r="N1674" t="s">
        <v>988</v>
      </c>
      <c r="O1674" t="s">
        <v>988</v>
      </c>
      <c r="P1674" t="s">
        <v>1110</v>
      </c>
      <c r="Q1674" t="s">
        <v>3169</v>
      </c>
      <c r="R1674" t="s">
        <v>446</v>
      </c>
      <c r="S1674" t="s">
        <v>446</v>
      </c>
      <c r="T1674" t="s">
        <v>1965</v>
      </c>
      <c r="U1674" t="b">
        <v>0</v>
      </c>
      <c r="V1674" t="s">
        <v>446</v>
      </c>
    </row>
    <row r="1675" spans="1:22" x14ac:dyDescent="0.25">
      <c r="A1675" t="s">
        <v>42</v>
      </c>
      <c r="B1675">
        <v>206</v>
      </c>
      <c r="C1675" t="s">
        <v>993</v>
      </c>
      <c r="D1675" t="s">
        <v>4884</v>
      </c>
      <c r="E1675" t="s">
        <v>992</v>
      </c>
      <c r="F1675" t="s">
        <v>3218</v>
      </c>
      <c r="G1675" t="s">
        <v>24</v>
      </c>
      <c r="H1675" t="s">
        <v>26</v>
      </c>
      <c r="I1675" t="s">
        <v>3167</v>
      </c>
      <c r="J1675" t="s">
        <v>996</v>
      </c>
      <c r="K1675" t="s">
        <v>3173</v>
      </c>
      <c r="L1675" t="s">
        <v>996</v>
      </c>
      <c r="M1675" t="s">
        <v>980</v>
      </c>
      <c r="N1675" t="s">
        <v>994</v>
      </c>
      <c r="O1675" t="s">
        <v>994</v>
      </c>
      <c r="P1675" t="s">
        <v>1110</v>
      </c>
      <c r="Q1675" t="s">
        <v>3169</v>
      </c>
      <c r="R1675" t="s">
        <v>446</v>
      </c>
      <c r="S1675" t="s">
        <v>446</v>
      </c>
      <c r="T1675" t="s">
        <v>1965</v>
      </c>
      <c r="U1675" t="b">
        <v>0</v>
      </c>
      <c r="V1675" t="s">
        <v>446</v>
      </c>
    </row>
    <row r="1676" spans="1:22" x14ac:dyDescent="0.25">
      <c r="A1676" t="s">
        <v>42</v>
      </c>
      <c r="B1676">
        <v>206</v>
      </c>
      <c r="C1676" t="s">
        <v>999</v>
      </c>
      <c r="D1676" t="s">
        <v>4885</v>
      </c>
      <c r="E1676" t="s">
        <v>998</v>
      </c>
      <c r="F1676" t="s">
        <v>3218</v>
      </c>
      <c r="G1676" t="s">
        <v>24</v>
      </c>
      <c r="H1676" t="s">
        <v>26</v>
      </c>
      <c r="I1676" t="s">
        <v>3167</v>
      </c>
      <c r="J1676" t="s">
        <v>1003</v>
      </c>
      <c r="K1676" t="s">
        <v>3175</v>
      </c>
      <c r="L1676" t="s">
        <v>1003</v>
      </c>
      <c r="M1676" t="s">
        <v>1000</v>
      </c>
      <c r="N1676" t="s">
        <v>1001</v>
      </c>
      <c r="O1676" t="s">
        <v>1001</v>
      </c>
      <c r="P1676" t="s">
        <v>1110</v>
      </c>
      <c r="Q1676" t="s">
        <v>3169</v>
      </c>
      <c r="R1676" t="s">
        <v>446</v>
      </c>
      <c r="S1676" t="s">
        <v>446</v>
      </c>
      <c r="T1676" t="s">
        <v>1965</v>
      </c>
      <c r="U1676" t="b">
        <v>0</v>
      </c>
      <c r="V1676" t="s">
        <v>446</v>
      </c>
    </row>
    <row r="1677" spans="1:22" x14ac:dyDescent="0.25">
      <c r="A1677" t="s">
        <v>42</v>
      </c>
      <c r="B1677">
        <v>206</v>
      </c>
      <c r="C1677" t="s">
        <v>1005</v>
      </c>
      <c r="D1677" t="s">
        <v>4886</v>
      </c>
      <c r="E1677" t="s">
        <v>982</v>
      </c>
      <c r="F1677" t="s">
        <v>3218</v>
      </c>
      <c r="G1677" t="s">
        <v>24</v>
      </c>
      <c r="H1677" t="s">
        <v>26</v>
      </c>
      <c r="I1677" t="s">
        <v>3167</v>
      </c>
      <c r="J1677" t="s">
        <v>1003</v>
      </c>
      <c r="K1677" t="s">
        <v>3175</v>
      </c>
      <c r="L1677" t="s">
        <v>1003</v>
      </c>
      <c r="M1677" t="s">
        <v>1000</v>
      </c>
      <c r="N1677" t="s">
        <v>1001</v>
      </c>
      <c r="O1677" t="s">
        <v>1001</v>
      </c>
      <c r="P1677" t="s">
        <v>1110</v>
      </c>
      <c r="Q1677" t="s">
        <v>3169</v>
      </c>
      <c r="R1677" t="s">
        <v>446</v>
      </c>
      <c r="S1677" t="s">
        <v>446</v>
      </c>
      <c r="T1677" t="s">
        <v>1965</v>
      </c>
      <c r="U1677" t="b">
        <v>0</v>
      </c>
      <c r="V1677" t="s">
        <v>446</v>
      </c>
    </row>
    <row r="1678" spans="1:22" x14ac:dyDescent="0.25">
      <c r="A1678" t="s">
        <v>42</v>
      </c>
      <c r="B1678">
        <v>206</v>
      </c>
      <c r="C1678" t="s">
        <v>1007</v>
      </c>
      <c r="D1678" t="s">
        <v>4887</v>
      </c>
      <c r="E1678" t="s">
        <v>1006</v>
      </c>
      <c r="F1678" t="s">
        <v>4047</v>
      </c>
      <c r="G1678" t="s">
        <v>24</v>
      </c>
      <c r="H1678" t="s">
        <v>26</v>
      </c>
      <c r="I1678" t="s">
        <v>3167</v>
      </c>
      <c r="J1678" t="s">
        <v>1011</v>
      </c>
      <c r="K1678" t="s">
        <v>3179</v>
      </c>
      <c r="L1678" t="s">
        <v>1011</v>
      </c>
      <c r="M1678" t="s">
        <v>1008</v>
      </c>
      <c r="N1678" t="s">
        <v>1009</v>
      </c>
      <c r="O1678" t="s">
        <v>1009</v>
      </c>
      <c r="P1678" t="s">
        <v>1110</v>
      </c>
      <c r="Q1678" t="s">
        <v>3169</v>
      </c>
      <c r="R1678" t="s">
        <v>446</v>
      </c>
      <c r="S1678" t="s">
        <v>446</v>
      </c>
      <c r="T1678" t="s">
        <v>1965</v>
      </c>
      <c r="U1678" t="b">
        <v>0</v>
      </c>
      <c r="V1678" t="s">
        <v>446</v>
      </c>
    </row>
    <row r="1679" spans="1:22" x14ac:dyDescent="0.25">
      <c r="A1679" t="s">
        <v>42</v>
      </c>
      <c r="B1679">
        <v>206</v>
      </c>
      <c r="C1679" t="s">
        <v>1014</v>
      </c>
      <c r="D1679" t="s">
        <v>4888</v>
      </c>
      <c r="E1679" t="s">
        <v>1013</v>
      </c>
      <c r="F1679" t="s">
        <v>3218</v>
      </c>
      <c r="G1679" t="s">
        <v>24</v>
      </c>
      <c r="H1679" t="s">
        <v>26</v>
      </c>
      <c r="I1679" t="s">
        <v>3167</v>
      </c>
      <c r="J1679" t="s">
        <v>1016</v>
      </c>
      <c r="K1679" t="s">
        <v>3181</v>
      </c>
      <c r="L1679" t="s">
        <v>1016</v>
      </c>
      <c r="M1679" t="s">
        <v>980</v>
      </c>
      <c r="N1679" t="s">
        <v>1015</v>
      </c>
      <c r="O1679" t="s">
        <v>1015</v>
      </c>
      <c r="P1679" t="s">
        <v>1110</v>
      </c>
      <c r="Q1679" t="s">
        <v>3169</v>
      </c>
      <c r="R1679" t="s">
        <v>446</v>
      </c>
      <c r="S1679" t="s">
        <v>446</v>
      </c>
      <c r="T1679" t="s">
        <v>1965</v>
      </c>
      <c r="U1679" t="b">
        <v>0</v>
      </c>
      <c r="V1679" t="s">
        <v>446</v>
      </c>
    </row>
    <row r="1680" spans="1:22" x14ac:dyDescent="0.25">
      <c r="A1680" t="s">
        <v>42</v>
      </c>
      <c r="B1680">
        <v>206</v>
      </c>
      <c r="C1680" t="s">
        <v>1019</v>
      </c>
      <c r="D1680" t="s">
        <v>4889</v>
      </c>
      <c r="E1680" t="s">
        <v>1018</v>
      </c>
      <c r="F1680" t="s">
        <v>3218</v>
      </c>
      <c r="G1680" t="s">
        <v>24</v>
      </c>
      <c r="H1680" t="s">
        <v>26</v>
      </c>
      <c r="I1680" t="s">
        <v>3167</v>
      </c>
      <c r="J1680" t="s">
        <v>1021</v>
      </c>
      <c r="K1680" t="s">
        <v>3183</v>
      </c>
      <c r="L1680" t="s">
        <v>1021</v>
      </c>
      <c r="M1680" t="s">
        <v>980</v>
      </c>
      <c r="N1680" t="s">
        <v>1020</v>
      </c>
      <c r="O1680" t="s">
        <v>1020</v>
      </c>
      <c r="P1680" t="s">
        <v>1110</v>
      </c>
      <c r="Q1680" t="s">
        <v>3169</v>
      </c>
      <c r="R1680" t="s">
        <v>446</v>
      </c>
      <c r="S1680" t="s">
        <v>446</v>
      </c>
      <c r="T1680" t="s">
        <v>1965</v>
      </c>
      <c r="U1680" t="b">
        <v>0</v>
      </c>
      <c r="V1680" t="s">
        <v>446</v>
      </c>
    </row>
    <row r="1681" spans="1:22" x14ac:dyDescent="0.25">
      <c r="A1681" t="s">
        <v>42</v>
      </c>
      <c r="B1681">
        <v>206</v>
      </c>
      <c r="C1681" t="s">
        <v>1024</v>
      </c>
      <c r="D1681" t="s">
        <v>4890</v>
      </c>
      <c r="E1681" t="s">
        <v>1023</v>
      </c>
      <c r="F1681" t="s">
        <v>3218</v>
      </c>
      <c r="G1681" t="s">
        <v>24</v>
      </c>
      <c r="H1681" t="s">
        <v>26</v>
      </c>
      <c r="I1681" t="s">
        <v>3167</v>
      </c>
      <c r="J1681" t="s">
        <v>1026</v>
      </c>
      <c r="K1681" t="s">
        <v>3185</v>
      </c>
      <c r="L1681" t="s">
        <v>1026</v>
      </c>
      <c r="M1681" t="s">
        <v>1000</v>
      </c>
      <c r="N1681" t="s">
        <v>1025</v>
      </c>
      <c r="O1681" t="s">
        <v>1025</v>
      </c>
      <c r="P1681" t="s">
        <v>1110</v>
      </c>
      <c r="Q1681" t="s">
        <v>3169</v>
      </c>
      <c r="R1681" t="s">
        <v>446</v>
      </c>
      <c r="S1681" t="s">
        <v>446</v>
      </c>
      <c r="T1681" t="s">
        <v>1965</v>
      </c>
      <c r="U1681" t="b">
        <v>0</v>
      </c>
      <c r="V1681" t="s">
        <v>446</v>
      </c>
    </row>
    <row r="1682" spans="1:22" x14ac:dyDescent="0.25">
      <c r="A1682" t="s">
        <v>42</v>
      </c>
      <c r="B1682">
        <v>206</v>
      </c>
      <c r="C1682" t="s">
        <v>1028</v>
      </c>
      <c r="D1682" t="s">
        <v>4891</v>
      </c>
      <c r="E1682" t="s">
        <v>1010</v>
      </c>
      <c r="F1682" t="s">
        <v>4047</v>
      </c>
      <c r="G1682" t="s">
        <v>24</v>
      </c>
      <c r="H1682" t="s">
        <v>26</v>
      </c>
      <c r="I1682" t="s">
        <v>3167</v>
      </c>
      <c r="J1682" t="s">
        <v>1026</v>
      </c>
      <c r="K1682" t="s">
        <v>3185</v>
      </c>
      <c r="L1682" t="s">
        <v>1026</v>
      </c>
      <c r="M1682" t="s">
        <v>1000</v>
      </c>
      <c r="N1682" t="s">
        <v>1025</v>
      </c>
      <c r="O1682" t="s">
        <v>1025</v>
      </c>
      <c r="P1682" t="s">
        <v>1110</v>
      </c>
      <c r="Q1682" t="s">
        <v>3169</v>
      </c>
      <c r="R1682" t="s">
        <v>446</v>
      </c>
      <c r="S1682" t="s">
        <v>446</v>
      </c>
      <c r="T1682" t="s">
        <v>1965</v>
      </c>
      <c r="U1682" t="b">
        <v>0</v>
      </c>
      <c r="V1682" t="s">
        <v>446</v>
      </c>
    </row>
    <row r="1683" spans="1:22" x14ac:dyDescent="0.25">
      <c r="A1683" t="s">
        <v>42</v>
      </c>
      <c r="B1683">
        <v>206</v>
      </c>
      <c r="C1683" t="s">
        <v>1030</v>
      </c>
      <c r="D1683" t="s">
        <v>4892</v>
      </c>
      <c r="E1683" t="s">
        <v>1029</v>
      </c>
      <c r="F1683" t="s">
        <v>3218</v>
      </c>
      <c r="G1683" t="s">
        <v>24</v>
      </c>
      <c r="H1683" t="s">
        <v>26</v>
      </c>
      <c r="I1683" t="s">
        <v>3167</v>
      </c>
      <c r="J1683" t="s">
        <v>1033</v>
      </c>
      <c r="K1683" t="s">
        <v>3189</v>
      </c>
      <c r="L1683" t="s">
        <v>1033</v>
      </c>
      <c r="M1683" t="s">
        <v>980</v>
      </c>
      <c r="N1683" t="s">
        <v>1031</v>
      </c>
      <c r="O1683" t="s">
        <v>1031</v>
      </c>
      <c r="P1683" t="s">
        <v>1110</v>
      </c>
      <c r="Q1683" t="s">
        <v>3169</v>
      </c>
      <c r="R1683" t="s">
        <v>446</v>
      </c>
      <c r="S1683" t="s">
        <v>446</v>
      </c>
      <c r="T1683" t="s">
        <v>1965</v>
      </c>
      <c r="U1683" t="b">
        <v>0</v>
      </c>
      <c r="V1683" t="s">
        <v>446</v>
      </c>
    </row>
    <row r="1684" spans="1:22" x14ac:dyDescent="0.25">
      <c r="A1684" t="s">
        <v>42</v>
      </c>
      <c r="B1684">
        <v>206</v>
      </c>
      <c r="C1684" t="s">
        <v>1036</v>
      </c>
      <c r="D1684" t="s">
        <v>4893</v>
      </c>
      <c r="E1684" t="s">
        <v>1035</v>
      </c>
      <c r="F1684" t="s">
        <v>3218</v>
      </c>
      <c r="G1684" t="s">
        <v>24</v>
      </c>
      <c r="H1684" t="s">
        <v>26</v>
      </c>
      <c r="I1684" t="s">
        <v>3167</v>
      </c>
      <c r="J1684" t="s">
        <v>1038</v>
      </c>
      <c r="K1684" t="s">
        <v>3191</v>
      </c>
      <c r="L1684" t="s">
        <v>1038</v>
      </c>
      <c r="M1684" t="s">
        <v>980</v>
      </c>
      <c r="N1684" t="s">
        <v>1037</v>
      </c>
      <c r="O1684" t="s">
        <v>1037</v>
      </c>
      <c r="P1684" t="s">
        <v>1110</v>
      </c>
      <c r="Q1684" t="s">
        <v>3169</v>
      </c>
      <c r="R1684" t="s">
        <v>446</v>
      </c>
      <c r="S1684" t="s">
        <v>446</v>
      </c>
      <c r="T1684" t="s">
        <v>1965</v>
      </c>
      <c r="U1684" t="b">
        <v>0</v>
      </c>
      <c r="V1684" t="s">
        <v>446</v>
      </c>
    </row>
    <row r="1685" spans="1:22" x14ac:dyDescent="0.25">
      <c r="A1685" t="s">
        <v>42</v>
      </c>
      <c r="B1685">
        <v>206</v>
      </c>
      <c r="C1685" t="s">
        <v>1041</v>
      </c>
      <c r="D1685" t="s">
        <v>4894</v>
      </c>
      <c r="E1685" t="s">
        <v>1040</v>
      </c>
      <c r="F1685" t="s">
        <v>3218</v>
      </c>
      <c r="G1685" t="s">
        <v>24</v>
      </c>
      <c r="H1685" t="s">
        <v>26</v>
      </c>
      <c r="I1685" t="s">
        <v>3167</v>
      </c>
      <c r="J1685" t="s">
        <v>1043</v>
      </c>
      <c r="K1685" t="s">
        <v>3193</v>
      </c>
      <c r="L1685" t="s">
        <v>1043</v>
      </c>
      <c r="M1685" t="s">
        <v>980</v>
      </c>
      <c r="N1685" t="s">
        <v>1042</v>
      </c>
      <c r="O1685" t="s">
        <v>1042</v>
      </c>
      <c r="P1685" t="s">
        <v>1110</v>
      </c>
      <c r="Q1685" t="s">
        <v>3169</v>
      </c>
      <c r="R1685" t="s">
        <v>446</v>
      </c>
      <c r="S1685" t="s">
        <v>446</v>
      </c>
      <c r="T1685" t="s">
        <v>1965</v>
      </c>
      <c r="U1685" t="b">
        <v>0</v>
      </c>
      <c r="V1685" t="s">
        <v>446</v>
      </c>
    </row>
    <row r="1686" spans="1:22" x14ac:dyDescent="0.25">
      <c r="A1686" t="s">
        <v>42</v>
      </c>
      <c r="B1686">
        <v>206</v>
      </c>
      <c r="C1686" t="s">
        <v>1046</v>
      </c>
      <c r="D1686" t="s">
        <v>4895</v>
      </c>
      <c r="E1686" t="s">
        <v>1045</v>
      </c>
      <c r="F1686" t="s">
        <v>3218</v>
      </c>
      <c r="G1686" t="s">
        <v>24</v>
      </c>
      <c r="H1686" t="s">
        <v>26</v>
      </c>
      <c r="I1686" t="s">
        <v>3167</v>
      </c>
      <c r="J1686" t="s">
        <v>1048</v>
      </c>
      <c r="K1686" t="s">
        <v>3195</v>
      </c>
      <c r="L1686" t="s">
        <v>1048</v>
      </c>
      <c r="M1686" t="s">
        <v>1000</v>
      </c>
      <c r="N1686" t="s">
        <v>1047</v>
      </c>
      <c r="O1686" t="s">
        <v>1047</v>
      </c>
      <c r="P1686" t="s">
        <v>1110</v>
      </c>
      <c r="Q1686" t="s">
        <v>3169</v>
      </c>
      <c r="R1686" t="s">
        <v>446</v>
      </c>
      <c r="S1686" t="s">
        <v>446</v>
      </c>
      <c r="T1686" t="s">
        <v>1965</v>
      </c>
      <c r="U1686" t="b">
        <v>0</v>
      </c>
      <c r="V1686" t="s">
        <v>446</v>
      </c>
    </row>
    <row r="1687" spans="1:22" x14ac:dyDescent="0.25">
      <c r="A1687" t="s">
        <v>42</v>
      </c>
      <c r="B1687">
        <v>206</v>
      </c>
      <c r="C1687" t="s">
        <v>1050</v>
      </c>
      <c r="D1687" t="s">
        <v>4896</v>
      </c>
      <c r="E1687" t="s">
        <v>1032</v>
      </c>
      <c r="F1687" t="s">
        <v>3218</v>
      </c>
      <c r="G1687" t="s">
        <v>24</v>
      </c>
      <c r="H1687" t="s">
        <v>26</v>
      </c>
      <c r="I1687" t="s">
        <v>3167</v>
      </c>
      <c r="J1687" t="s">
        <v>1048</v>
      </c>
      <c r="K1687" t="s">
        <v>3195</v>
      </c>
      <c r="L1687" t="s">
        <v>1048</v>
      </c>
      <c r="M1687" t="s">
        <v>1000</v>
      </c>
      <c r="N1687" t="s">
        <v>1047</v>
      </c>
      <c r="O1687" t="s">
        <v>1047</v>
      </c>
      <c r="P1687" t="s">
        <v>1110</v>
      </c>
      <c r="Q1687" t="s">
        <v>3169</v>
      </c>
      <c r="R1687" t="s">
        <v>446</v>
      </c>
      <c r="S1687" t="s">
        <v>446</v>
      </c>
      <c r="T1687" t="s">
        <v>1965</v>
      </c>
      <c r="U1687" t="b">
        <v>0</v>
      </c>
      <c r="V1687" t="s">
        <v>446</v>
      </c>
    </row>
    <row r="1688" spans="1:22" x14ac:dyDescent="0.25">
      <c r="A1688" t="s">
        <v>42</v>
      </c>
      <c r="B1688">
        <v>206</v>
      </c>
      <c r="C1688" t="s">
        <v>1052</v>
      </c>
      <c r="D1688" t="s">
        <v>4897</v>
      </c>
      <c r="E1688" t="s">
        <v>1051</v>
      </c>
      <c r="F1688" t="s">
        <v>3218</v>
      </c>
      <c r="G1688" t="s">
        <v>24</v>
      </c>
      <c r="H1688" t="s">
        <v>26</v>
      </c>
      <c r="I1688" t="s">
        <v>3167</v>
      </c>
      <c r="J1688" t="s">
        <v>1055</v>
      </c>
      <c r="K1688" t="s">
        <v>3199</v>
      </c>
      <c r="L1688" t="s">
        <v>1055</v>
      </c>
      <c r="M1688" t="s">
        <v>980</v>
      </c>
      <c r="N1688" t="s">
        <v>1053</v>
      </c>
      <c r="O1688" t="s">
        <v>1053</v>
      </c>
      <c r="P1688" t="s">
        <v>1110</v>
      </c>
      <c r="Q1688" t="s">
        <v>3169</v>
      </c>
      <c r="R1688" t="s">
        <v>446</v>
      </c>
      <c r="S1688" t="s">
        <v>446</v>
      </c>
      <c r="T1688" t="s">
        <v>1965</v>
      </c>
      <c r="U1688" t="b">
        <v>0</v>
      </c>
      <c r="V1688" t="s">
        <v>446</v>
      </c>
    </row>
    <row r="1689" spans="1:22" x14ac:dyDescent="0.25">
      <c r="A1689" t="s">
        <v>42</v>
      </c>
      <c r="B1689">
        <v>207</v>
      </c>
      <c r="C1689" t="s">
        <v>979</v>
      </c>
      <c r="D1689" t="s">
        <v>1745</v>
      </c>
      <c r="E1689" t="s">
        <v>978</v>
      </c>
      <c r="G1689" t="s">
        <v>24</v>
      </c>
      <c r="H1689" t="s">
        <v>26</v>
      </c>
      <c r="I1689" t="s">
        <v>3167</v>
      </c>
      <c r="J1689" t="s">
        <v>984</v>
      </c>
      <c r="K1689" t="s">
        <v>3168</v>
      </c>
      <c r="L1689" t="s">
        <v>984</v>
      </c>
      <c r="M1689" t="s">
        <v>980</v>
      </c>
      <c r="N1689" t="s">
        <v>981</v>
      </c>
      <c r="O1689" t="s">
        <v>981</v>
      </c>
      <c r="P1689" t="s">
        <v>1746</v>
      </c>
      <c r="Q1689" t="s">
        <v>3771</v>
      </c>
      <c r="R1689" t="s">
        <v>446</v>
      </c>
      <c r="S1689" t="s">
        <v>446</v>
      </c>
      <c r="T1689" t="s">
        <v>3216</v>
      </c>
      <c r="U1689" t="b">
        <v>0</v>
      </c>
      <c r="V1689" t="s">
        <v>1094</v>
      </c>
    </row>
    <row r="1690" spans="1:22" x14ac:dyDescent="0.25">
      <c r="A1690" t="s">
        <v>42</v>
      </c>
      <c r="B1690">
        <v>207</v>
      </c>
      <c r="C1690" t="s">
        <v>987</v>
      </c>
      <c r="D1690" t="s">
        <v>1747</v>
      </c>
      <c r="E1690" t="s">
        <v>986</v>
      </c>
      <c r="G1690" t="s">
        <v>24</v>
      </c>
      <c r="H1690" t="s">
        <v>26</v>
      </c>
      <c r="I1690" t="s">
        <v>3167</v>
      </c>
      <c r="J1690" t="s">
        <v>990</v>
      </c>
      <c r="K1690" t="s">
        <v>3171</v>
      </c>
      <c r="L1690" t="s">
        <v>990</v>
      </c>
      <c r="M1690" t="s">
        <v>980</v>
      </c>
      <c r="N1690" t="s">
        <v>988</v>
      </c>
      <c r="O1690" t="s">
        <v>988</v>
      </c>
      <c r="P1690" t="s">
        <v>1746</v>
      </c>
      <c r="Q1690" t="s">
        <v>3771</v>
      </c>
      <c r="R1690" t="s">
        <v>446</v>
      </c>
      <c r="S1690" t="s">
        <v>446</v>
      </c>
      <c r="T1690" t="s">
        <v>3216</v>
      </c>
      <c r="U1690" t="b">
        <v>0</v>
      </c>
      <c r="V1690" t="s">
        <v>1094</v>
      </c>
    </row>
    <row r="1691" spans="1:22" x14ac:dyDescent="0.25">
      <c r="A1691" t="s">
        <v>42</v>
      </c>
      <c r="B1691">
        <v>207</v>
      </c>
      <c r="C1691" t="s">
        <v>993</v>
      </c>
      <c r="D1691" t="s">
        <v>1748</v>
      </c>
      <c r="E1691" t="s">
        <v>992</v>
      </c>
      <c r="G1691" t="s">
        <v>24</v>
      </c>
      <c r="H1691" t="s">
        <v>26</v>
      </c>
      <c r="I1691" t="s">
        <v>3167</v>
      </c>
      <c r="J1691" t="s">
        <v>996</v>
      </c>
      <c r="K1691" t="s">
        <v>3173</v>
      </c>
      <c r="L1691" t="s">
        <v>996</v>
      </c>
      <c r="M1691" t="s">
        <v>980</v>
      </c>
      <c r="N1691" t="s">
        <v>994</v>
      </c>
      <c r="O1691" t="s">
        <v>994</v>
      </c>
      <c r="P1691" t="s">
        <v>1746</v>
      </c>
      <c r="Q1691" t="s">
        <v>3771</v>
      </c>
      <c r="R1691" t="s">
        <v>446</v>
      </c>
      <c r="S1691" t="s">
        <v>446</v>
      </c>
      <c r="T1691" t="s">
        <v>3216</v>
      </c>
      <c r="U1691" t="b">
        <v>0</v>
      </c>
      <c r="V1691" t="s">
        <v>1094</v>
      </c>
    </row>
    <row r="1692" spans="1:22" x14ac:dyDescent="0.25">
      <c r="A1692" t="s">
        <v>42</v>
      </c>
      <c r="B1692">
        <v>207</v>
      </c>
      <c r="C1692" t="s">
        <v>999</v>
      </c>
      <c r="D1692" t="s">
        <v>1749</v>
      </c>
      <c r="E1692" t="s">
        <v>998</v>
      </c>
      <c r="G1692" t="s">
        <v>24</v>
      </c>
      <c r="H1692" t="s">
        <v>26</v>
      </c>
      <c r="I1692" t="s">
        <v>3167</v>
      </c>
      <c r="J1692" t="s">
        <v>1003</v>
      </c>
      <c r="K1692" t="s">
        <v>3175</v>
      </c>
      <c r="L1692" t="s">
        <v>1003</v>
      </c>
      <c r="M1692" t="s">
        <v>1000</v>
      </c>
      <c r="N1692" t="s">
        <v>1001</v>
      </c>
      <c r="O1692" t="s">
        <v>1001</v>
      </c>
      <c r="P1692" t="s">
        <v>1746</v>
      </c>
      <c r="Q1692" t="s">
        <v>3771</v>
      </c>
      <c r="R1692" t="s">
        <v>446</v>
      </c>
      <c r="S1692" t="s">
        <v>446</v>
      </c>
      <c r="T1692" t="s">
        <v>3216</v>
      </c>
      <c r="U1692" t="b">
        <v>0</v>
      </c>
      <c r="V1692" t="s">
        <v>1094</v>
      </c>
    </row>
    <row r="1693" spans="1:22" x14ac:dyDescent="0.25">
      <c r="A1693" t="s">
        <v>42</v>
      </c>
      <c r="B1693">
        <v>207</v>
      </c>
      <c r="C1693" t="s">
        <v>1005</v>
      </c>
      <c r="D1693" t="s">
        <v>4898</v>
      </c>
      <c r="E1693" t="s">
        <v>982</v>
      </c>
      <c r="F1693" t="s">
        <v>3218</v>
      </c>
      <c r="G1693" t="s">
        <v>24</v>
      </c>
      <c r="H1693" t="s">
        <v>26</v>
      </c>
      <c r="I1693" t="s">
        <v>3167</v>
      </c>
      <c r="J1693" t="s">
        <v>1003</v>
      </c>
      <c r="K1693" t="s">
        <v>3175</v>
      </c>
      <c r="L1693" t="s">
        <v>1003</v>
      </c>
      <c r="M1693" t="s">
        <v>1000</v>
      </c>
      <c r="N1693" t="s">
        <v>1001</v>
      </c>
      <c r="O1693" t="s">
        <v>1001</v>
      </c>
      <c r="P1693" t="s">
        <v>1746</v>
      </c>
      <c r="Q1693" t="s">
        <v>3771</v>
      </c>
      <c r="R1693" t="s">
        <v>446</v>
      </c>
      <c r="S1693" t="s">
        <v>446</v>
      </c>
      <c r="T1693" t="s">
        <v>1965</v>
      </c>
      <c r="U1693" t="b">
        <v>0</v>
      </c>
      <c r="V1693" t="s">
        <v>446</v>
      </c>
    </row>
    <row r="1694" spans="1:22" x14ac:dyDescent="0.25">
      <c r="A1694" t="s">
        <v>42</v>
      </c>
      <c r="B1694">
        <v>207</v>
      </c>
      <c r="C1694" t="s">
        <v>1007</v>
      </c>
      <c r="D1694" t="s">
        <v>1750</v>
      </c>
      <c r="E1694" t="s">
        <v>1006</v>
      </c>
      <c r="G1694" t="s">
        <v>24</v>
      </c>
      <c r="H1694" t="s">
        <v>26</v>
      </c>
      <c r="I1694" t="s">
        <v>3167</v>
      </c>
      <c r="J1694" t="s">
        <v>1011</v>
      </c>
      <c r="K1694" t="s">
        <v>3179</v>
      </c>
      <c r="L1694" t="s">
        <v>1011</v>
      </c>
      <c r="M1694" t="s">
        <v>1008</v>
      </c>
      <c r="N1694" t="s">
        <v>1009</v>
      </c>
      <c r="O1694" t="s">
        <v>1009</v>
      </c>
      <c r="P1694" t="s">
        <v>1746</v>
      </c>
      <c r="Q1694" t="s">
        <v>3771</v>
      </c>
      <c r="R1694" t="s">
        <v>446</v>
      </c>
      <c r="S1694" t="s">
        <v>446</v>
      </c>
      <c r="T1694" t="s">
        <v>3216</v>
      </c>
      <c r="U1694" t="b">
        <v>0</v>
      </c>
      <c r="V1694" t="s">
        <v>1094</v>
      </c>
    </row>
    <row r="1695" spans="1:22" x14ac:dyDescent="0.25">
      <c r="A1695" t="s">
        <v>42</v>
      </c>
      <c r="B1695">
        <v>207</v>
      </c>
      <c r="C1695" t="s">
        <v>1014</v>
      </c>
      <c r="D1695" t="s">
        <v>1751</v>
      </c>
      <c r="E1695" t="s">
        <v>1013</v>
      </c>
      <c r="G1695" t="s">
        <v>24</v>
      </c>
      <c r="H1695" t="s">
        <v>26</v>
      </c>
      <c r="I1695" t="s">
        <v>3167</v>
      </c>
      <c r="J1695" t="s">
        <v>1016</v>
      </c>
      <c r="K1695" t="s">
        <v>3181</v>
      </c>
      <c r="L1695" t="s">
        <v>1016</v>
      </c>
      <c r="M1695" t="s">
        <v>980</v>
      </c>
      <c r="N1695" t="s">
        <v>1015</v>
      </c>
      <c r="O1695" t="s">
        <v>1015</v>
      </c>
      <c r="P1695" t="s">
        <v>1746</v>
      </c>
      <c r="Q1695" t="s">
        <v>3771</v>
      </c>
      <c r="R1695" t="s">
        <v>446</v>
      </c>
      <c r="S1695" t="s">
        <v>446</v>
      </c>
      <c r="T1695" t="s">
        <v>3216</v>
      </c>
      <c r="U1695" t="b">
        <v>0</v>
      </c>
      <c r="V1695" t="s">
        <v>1094</v>
      </c>
    </row>
    <row r="1696" spans="1:22" x14ac:dyDescent="0.25">
      <c r="A1696" t="s">
        <v>42</v>
      </c>
      <c r="B1696">
        <v>207</v>
      </c>
      <c r="C1696" t="s">
        <v>1019</v>
      </c>
      <c r="D1696" t="s">
        <v>1752</v>
      </c>
      <c r="E1696" t="s">
        <v>1018</v>
      </c>
      <c r="G1696" t="s">
        <v>24</v>
      </c>
      <c r="H1696" t="s">
        <v>26</v>
      </c>
      <c r="I1696" t="s">
        <v>3167</v>
      </c>
      <c r="J1696" t="s">
        <v>1021</v>
      </c>
      <c r="K1696" t="s">
        <v>3183</v>
      </c>
      <c r="L1696" t="s">
        <v>1021</v>
      </c>
      <c r="M1696" t="s">
        <v>980</v>
      </c>
      <c r="N1696" t="s">
        <v>1020</v>
      </c>
      <c r="O1696" t="s">
        <v>1020</v>
      </c>
      <c r="P1696" t="s">
        <v>1746</v>
      </c>
      <c r="Q1696" t="s">
        <v>3771</v>
      </c>
      <c r="R1696" t="s">
        <v>446</v>
      </c>
      <c r="S1696" t="s">
        <v>446</v>
      </c>
      <c r="T1696" t="s">
        <v>3216</v>
      </c>
      <c r="U1696" t="b">
        <v>0</v>
      </c>
      <c r="V1696" t="s">
        <v>1094</v>
      </c>
    </row>
    <row r="1697" spans="1:22" x14ac:dyDescent="0.25">
      <c r="A1697" t="s">
        <v>42</v>
      </c>
      <c r="B1697">
        <v>207</v>
      </c>
      <c r="C1697" t="s">
        <v>1024</v>
      </c>
      <c r="D1697" t="s">
        <v>1753</v>
      </c>
      <c r="E1697" t="s">
        <v>1023</v>
      </c>
      <c r="G1697" t="s">
        <v>24</v>
      </c>
      <c r="H1697" t="s">
        <v>26</v>
      </c>
      <c r="I1697" t="s">
        <v>3167</v>
      </c>
      <c r="J1697" t="s">
        <v>1026</v>
      </c>
      <c r="K1697" t="s">
        <v>3185</v>
      </c>
      <c r="L1697" t="s">
        <v>1026</v>
      </c>
      <c r="M1697" t="s">
        <v>1000</v>
      </c>
      <c r="N1697" t="s">
        <v>1025</v>
      </c>
      <c r="O1697" t="s">
        <v>1025</v>
      </c>
      <c r="P1697" t="s">
        <v>1746</v>
      </c>
      <c r="Q1697" t="s">
        <v>3771</v>
      </c>
      <c r="R1697" t="s">
        <v>446</v>
      </c>
      <c r="S1697" t="s">
        <v>446</v>
      </c>
      <c r="T1697" t="s">
        <v>3216</v>
      </c>
      <c r="U1697" t="b">
        <v>0</v>
      </c>
      <c r="V1697" t="s">
        <v>1094</v>
      </c>
    </row>
    <row r="1698" spans="1:22" x14ac:dyDescent="0.25">
      <c r="A1698" t="s">
        <v>42</v>
      </c>
      <c r="B1698">
        <v>207</v>
      </c>
      <c r="C1698" t="s">
        <v>1028</v>
      </c>
      <c r="D1698" t="s">
        <v>4899</v>
      </c>
      <c r="E1698" t="s">
        <v>1010</v>
      </c>
      <c r="F1698" t="s">
        <v>3218</v>
      </c>
      <c r="G1698" t="s">
        <v>24</v>
      </c>
      <c r="H1698" t="s">
        <v>26</v>
      </c>
      <c r="I1698" t="s">
        <v>3167</v>
      </c>
      <c r="J1698" t="s">
        <v>1026</v>
      </c>
      <c r="K1698" t="s">
        <v>3185</v>
      </c>
      <c r="L1698" t="s">
        <v>1026</v>
      </c>
      <c r="M1698" t="s">
        <v>1000</v>
      </c>
      <c r="N1698" t="s">
        <v>1025</v>
      </c>
      <c r="O1698" t="s">
        <v>1025</v>
      </c>
      <c r="P1698" t="s">
        <v>1746</v>
      </c>
      <c r="Q1698" t="s">
        <v>3771</v>
      </c>
      <c r="R1698" t="s">
        <v>446</v>
      </c>
      <c r="S1698" t="s">
        <v>446</v>
      </c>
      <c r="T1698" t="s">
        <v>1965</v>
      </c>
      <c r="U1698" t="b">
        <v>0</v>
      </c>
      <c r="V1698" t="s">
        <v>446</v>
      </c>
    </row>
    <row r="1699" spans="1:22" x14ac:dyDescent="0.25">
      <c r="A1699" t="s">
        <v>42</v>
      </c>
      <c r="B1699">
        <v>207</v>
      </c>
      <c r="C1699" t="s">
        <v>1030</v>
      </c>
      <c r="D1699" t="s">
        <v>1754</v>
      </c>
      <c r="E1699" t="s">
        <v>1029</v>
      </c>
      <c r="G1699" t="s">
        <v>24</v>
      </c>
      <c r="H1699" t="s">
        <v>26</v>
      </c>
      <c r="I1699" t="s">
        <v>3167</v>
      </c>
      <c r="J1699" t="s">
        <v>1033</v>
      </c>
      <c r="K1699" t="s">
        <v>3189</v>
      </c>
      <c r="L1699" t="s">
        <v>1033</v>
      </c>
      <c r="M1699" t="s">
        <v>980</v>
      </c>
      <c r="N1699" t="s">
        <v>1031</v>
      </c>
      <c r="O1699" t="s">
        <v>1031</v>
      </c>
      <c r="P1699" t="s">
        <v>1746</v>
      </c>
      <c r="Q1699" t="s">
        <v>3771</v>
      </c>
      <c r="R1699" t="s">
        <v>446</v>
      </c>
      <c r="S1699" t="s">
        <v>446</v>
      </c>
      <c r="T1699" t="s">
        <v>3216</v>
      </c>
      <c r="U1699" t="b">
        <v>0</v>
      </c>
      <c r="V1699" t="s">
        <v>1094</v>
      </c>
    </row>
    <row r="1700" spans="1:22" x14ac:dyDescent="0.25">
      <c r="A1700" t="s">
        <v>42</v>
      </c>
      <c r="B1700">
        <v>207</v>
      </c>
      <c r="C1700" t="s">
        <v>1036</v>
      </c>
      <c r="D1700" t="s">
        <v>1755</v>
      </c>
      <c r="E1700" t="s">
        <v>1035</v>
      </c>
      <c r="G1700" t="s">
        <v>24</v>
      </c>
      <c r="H1700" t="s">
        <v>26</v>
      </c>
      <c r="I1700" t="s">
        <v>3167</v>
      </c>
      <c r="J1700" t="s">
        <v>1038</v>
      </c>
      <c r="K1700" t="s">
        <v>3191</v>
      </c>
      <c r="L1700" t="s">
        <v>1038</v>
      </c>
      <c r="M1700" t="s">
        <v>980</v>
      </c>
      <c r="N1700" t="s">
        <v>1037</v>
      </c>
      <c r="O1700" t="s">
        <v>1037</v>
      </c>
      <c r="P1700" t="s">
        <v>1746</v>
      </c>
      <c r="Q1700" t="s">
        <v>3771</v>
      </c>
      <c r="R1700" t="s">
        <v>446</v>
      </c>
      <c r="S1700" t="s">
        <v>446</v>
      </c>
      <c r="T1700" t="s">
        <v>3216</v>
      </c>
      <c r="U1700" t="b">
        <v>0</v>
      </c>
      <c r="V1700" t="s">
        <v>1094</v>
      </c>
    </row>
    <row r="1701" spans="1:22" x14ac:dyDescent="0.25">
      <c r="A1701" t="s">
        <v>42</v>
      </c>
      <c r="B1701">
        <v>207</v>
      </c>
      <c r="C1701" t="s">
        <v>1041</v>
      </c>
      <c r="D1701" t="s">
        <v>1756</v>
      </c>
      <c r="E1701" t="s">
        <v>1040</v>
      </c>
      <c r="G1701" t="s">
        <v>24</v>
      </c>
      <c r="H1701" t="s">
        <v>26</v>
      </c>
      <c r="I1701" t="s">
        <v>3167</v>
      </c>
      <c r="J1701" t="s">
        <v>1043</v>
      </c>
      <c r="K1701" t="s">
        <v>3193</v>
      </c>
      <c r="L1701" t="s">
        <v>1043</v>
      </c>
      <c r="M1701" t="s">
        <v>980</v>
      </c>
      <c r="N1701" t="s">
        <v>1042</v>
      </c>
      <c r="O1701" t="s">
        <v>1042</v>
      </c>
      <c r="P1701" t="s">
        <v>1746</v>
      </c>
      <c r="Q1701" t="s">
        <v>3771</v>
      </c>
      <c r="R1701" t="s">
        <v>446</v>
      </c>
      <c r="S1701" t="s">
        <v>446</v>
      </c>
      <c r="T1701" t="s">
        <v>3216</v>
      </c>
      <c r="U1701" t="b">
        <v>0</v>
      </c>
      <c r="V1701" t="s">
        <v>1094</v>
      </c>
    </row>
    <row r="1702" spans="1:22" x14ac:dyDescent="0.25">
      <c r="A1702" t="s">
        <v>42</v>
      </c>
      <c r="B1702">
        <v>207</v>
      </c>
      <c r="C1702" t="s">
        <v>1046</v>
      </c>
      <c r="D1702" t="s">
        <v>1757</v>
      </c>
      <c r="E1702" t="s">
        <v>1045</v>
      </c>
      <c r="G1702" t="s">
        <v>24</v>
      </c>
      <c r="H1702" t="s">
        <v>26</v>
      </c>
      <c r="I1702" t="s">
        <v>3167</v>
      </c>
      <c r="J1702" t="s">
        <v>1048</v>
      </c>
      <c r="K1702" t="s">
        <v>3195</v>
      </c>
      <c r="L1702" t="s">
        <v>1048</v>
      </c>
      <c r="M1702" t="s">
        <v>1000</v>
      </c>
      <c r="N1702" t="s">
        <v>1047</v>
      </c>
      <c r="O1702" t="s">
        <v>1047</v>
      </c>
      <c r="P1702" t="s">
        <v>1746</v>
      </c>
      <c r="Q1702" t="s">
        <v>3771</v>
      </c>
      <c r="R1702" t="s">
        <v>446</v>
      </c>
      <c r="S1702" t="s">
        <v>446</v>
      </c>
      <c r="T1702" t="s">
        <v>3216</v>
      </c>
      <c r="U1702" t="b">
        <v>0</v>
      </c>
      <c r="V1702" t="s">
        <v>1094</v>
      </c>
    </row>
    <row r="1703" spans="1:22" x14ac:dyDescent="0.25">
      <c r="A1703" t="s">
        <v>42</v>
      </c>
      <c r="B1703">
        <v>207</v>
      </c>
      <c r="C1703" t="s">
        <v>1050</v>
      </c>
      <c r="D1703" t="s">
        <v>4900</v>
      </c>
      <c r="E1703" t="s">
        <v>1032</v>
      </c>
      <c r="F1703" t="s">
        <v>3218</v>
      </c>
      <c r="G1703" t="s">
        <v>24</v>
      </c>
      <c r="H1703" t="s">
        <v>26</v>
      </c>
      <c r="I1703" t="s">
        <v>3167</v>
      </c>
      <c r="J1703" t="s">
        <v>1048</v>
      </c>
      <c r="K1703" t="s">
        <v>3195</v>
      </c>
      <c r="L1703" t="s">
        <v>1048</v>
      </c>
      <c r="M1703" t="s">
        <v>1000</v>
      </c>
      <c r="N1703" t="s">
        <v>1047</v>
      </c>
      <c r="O1703" t="s">
        <v>1047</v>
      </c>
      <c r="P1703" t="s">
        <v>1746</v>
      </c>
      <c r="Q1703" t="s">
        <v>3771</v>
      </c>
      <c r="R1703" t="s">
        <v>446</v>
      </c>
      <c r="S1703" t="s">
        <v>446</v>
      </c>
      <c r="T1703" t="s">
        <v>1965</v>
      </c>
      <c r="U1703" t="b">
        <v>0</v>
      </c>
      <c r="V1703" t="s">
        <v>446</v>
      </c>
    </row>
    <row r="1704" spans="1:22" x14ac:dyDescent="0.25">
      <c r="A1704" t="s">
        <v>42</v>
      </c>
      <c r="B1704">
        <v>207</v>
      </c>
      <c r="C1704" t="s">
        <v>1052</v>
      </c>
      <c r="D1704" t="s">
        <v>1758</v>
      </c>
      <c r="E1704" t="s">
        <v>1051</v>
      </c>
      <c r="G1704" t="s">
        <v>24</v>
      </c>
      <c r="H1704" t="s">
        <v>26</v>
      </c>
      <c r="I1704" t="s">
        <v>3167</v>
      </c>
      <c r="J1704" t="s">
        <v>1055</v>
      </c>
      <c r="K1704" t="s">
        <v>3199</v>
      </c>
      <c r="L1704" t="s">
        <v>1055</v>
      </c>
      <c r="M1704" t="s">
        <v>980</v>
      </c>
      <c r="N1704" t="s">
        <v>1053</v>
      </c>
      <c r="O1704" t="s">
        <v>1053</v>
      </c>
      <c r="P1704" t="s">
        <v>1746</v>
      </c>
      <c r="Q1704" t="s">
        <v>3771</v>
      </c>
      <c r="R1704" t="s">
        <v>446</v>
      </c>
      <c r="S1704" t="s">
        <v>446</v>
      </c>
      <c r="T1704" t="s">
        <v>3216</v>
      </c>
      <c r="U1704" t="b">
        <v>0</v>
      </c>
      <c r="V1704" t="s">
        <v>1094</v>
      </c>
    </row>
    <row r="1705" spans="1:22" x14ac:dyDescent="0.25">
      <c r="A1705" t="s">
        <v>42</v>
      </c>
      <c r="B1705">
        <v>208</v>
      </c>
      <c r="C1705" t="s">
        <v>979</v>
      </c>
      <c r="D1705" t="s">
        <v>4901</v>
      </c>
      <c r="E1705" t="s">
        <v>978</v>
      </c>
      <c r="F1705" t="s">
        <v>3218</v>
      </c>
      <c r="G1705" t="s">
        <v>24</v>
      </c>
      <c r="H1705" t="s">
        <v>26</v>
      </c>
      <c r="I1705" t="s">
        <v>3167</v>
      </c>
      <c r="J1705" t="s">
        <v>984</v>
      </c>
      <c r="K1705" t="s">
        <v>3168</v>
      </c>
      <c r="L1705" t="s">
        <v>984</v>
      </c>
      <c r="M1705" t="s">
        <v>980</v>
      </c>
      <c r="N1705" t="s">
        <v>981</v>
      </c>
      <c r="O1705" t="s">
        <v>981</v>
      </c>
      <c r="P1705" t="s">
        <v>1110</v>
      </c>
      <c r="Q1705" t="s">
        <v>3169</v>
      </c>
      <c r="R1705" t="s">
        <v>446</v>
      </c>
      <c r="S1705" t="s">
        <v>446</v>
      </c>
      <c r="T1705" t="s">
        <v>1965</v>
      </c>
      <c r="U1705" t="b">
        <v>0</v>
      </c>
      <c r="V1705" t="s">
        <v>446</v>
      </c>
    </row>
    <row r="1706" spans="1:22" x14ac:dyDescent="0.25">
      <c r="A1706" t="s">
        <v>42</v>
      </c>
      <c r="B1706">
        <v>208</v>
      </c>
      <c r="C1706" t="s">
        <v>987</v>
      </c>
      <c r="D1706" t="s">
        <v>4902</v>
      </c>
      <c r="E1706" t="s">
        <v>986</v>
      </c>
      <c r="F1706" t="s">
        <v>3218</v>
      </c>
      <c r="G1706" t="s">
        <v>24</v>
      </c>
      <c r="H1706" t="s">
        <v>26</v>
      </c>
      <c r="I1706" t="s">
        <v>3167</v>
      </c>
      <c r="J1706" t="s">
        <v>990</v>
      </c>
      <c r="K1706" t="s">
        <v>3171</v>
      </c>
      <c r="L1706" t="s">
        <v>990</v>
      </c>
      <c r="M1706" t="s">
        <v>980</v>
      </c>
      <c r="N1706" t="s">
        <v>988</v>
      </c>
      <c r="O1706" t="s">
        <v>988</v>
      </c>
      <c r="P1706" t="s">
        <v>1110</v>
      </c>
      <c r="Q1706" t="s">
        <v>3169</v>
      </c>
      <c r="R1706" t="s">
        <v>446</v>
      </c>
      <c r="S1706" t="s">
        <v>446</v>
      </c>
      <c r="T1706" t="s">
        <v>1965</v>
      </c>
      <c r="U1706" t="b">
        <v>0</v>
      </c>
      <c r="V1706" t="s">
        <v>446</v>
      </c>
    </row>
    <row r="1707" spans="1:22" x14ac:dyDescent="0.25">
      <c r="A1707" t="s">
        <v>42</v>
      </c>
      <c r="B1707">
        <v>208</v>
      </c>
      <c r="C1707" t="s">
        <v>993</v>
      </c>
      <c r="D1707" t="s">
        <v>4903</v>
      </c>
      <c r="E1707" t="s">
        <v>992</v>
      </c>
      <c r="F1707" t="s">
        <v>3218</v>
      </c>
      <c r="G1707" t="s">
        <v>24</v>
      </c>
      <c r="H1707" t="s">
        <v>26</v>
      </c>
      <c r="I1707" t="s">
        <v>3167</v>
      </c>
      <c r="J1707" t="s">
        <v>996</v>
      </c>
      <c r="K1707" t="s">
        <v>3173</v>
      </c>
      <c r="L1707" t="s">
        <v>996</v>
      </c>
      <c r="M1707" t="s">
        <v>980</v>
      </c>
      <c r="N1707" t="s">
        <v>994</v>
      </c>
      <c r="O1707" t="s">
        <v>994</v>
      </c>
      <c r="P1707" t="s">
        <v>1110</v>
      </c>
      <c r="Q1707" t="s">
        <v>3169</v>
      </c>
      <c r="R1707" t="s">
        <v>446</v>
      </c>
      <c r="S1707" t="s">
        <v>446</v>
      </c>
      <c r="T1707" t="s">
        <v>1965</v>
      </c>
      <c r="U1707" t="b">
        <v>0</v>
      </c>
      <c r="V1707" t="s">
        <v>446</v>
      </c>
    </row>
    <row r="1708" spans="1:22" x14ac:dyDescent="0.25">
      <c r="A1708" t="s">
        <v>42</v>
      </c>
      <c r="B1708">
        <v>208</v>
      </c>
      <c r="C1708" t="s">
        <v>999</v>
      </c>
      <c r="D1708" t="s">
        <v>4904</v>
      </c>
      <c r="E1708" t="s">
        <v>998</v>
      </c>
      <c r="F1708" t="s">
        <v>3275</v>
      </c>
      <c r="G1708" t="s">
        <v>24</v>
      </c>
      <c r="H1708" t="s">
        <v>26</v>
      </c>
      <c r="I1708" t="s">
        <v>3167</v>
      </c>
      <c r="J1708" t="s">
        <v>1003</v>
      </c>
      <c r="K1708" t="s">
        <v>3175</v>
      </c>
      <c r="L1708" t="s">
        <v>1003</v>
      </c>
      <c r="M1708" t="s">
        <v>1000</v>
      </c>
      <c r="N1708" t="s">
        <v>1001</v>
      </c>
      <c r="O1708" t="s">
        <v>1001</v>
      </c>
      <c r="P1708" t="s">
        <v>1110</v>
      </c>
      <c r="Q1708" t="s">
        <v>3169</v>
      </c>
      <c r="R1708" t="s">
        <v>446</v>
      </c>
      <c r="S1708" t="s">
        <v>446</v>
      </c>
      <c r="T1708" t="s">
        <v>1965</v>
      </c>
      <c r="U1708" t="b">
        <v>0</v>
      </c>
      <c r="V1708" t="s">
        <v>446</v>
      </c>
    </row>
    <row r="1709" spans="1:22" x14ac:dyDescent="0.25">
      <c r="A1709" t="s">
        <v>42</v>
      </c>
      <c r="B1709">
        <v>208</v>
      </c>
      <c r="C1709" t="s">
        <v>1005</v>
      </c>
      <c r="D1709" t="s">
        <v>4905</v>
      </c>
      <c r="E1709" t="s">
        <v>982</v>
      </c>
      <c r="F1709" t="s">
        <v>3275</v>
      </c>
      <c r="G1709" t="s">
        <v>24</v>
      </c>
      <c r="H1709" t="s">
        <v>26</v>
      </c>
      <c r="I1709" t="s">
        <v>3167</v>
      </c>
      <c r="J1709" t="s">
        <v>1003</v>
      </c>
      <c r="K1709" t="s">
        <v>3175</v>
      </c>
      <c r="L1709" t="s">
        <v>1003</v>
      </c>
      <c r="M1709" t="s">
        <v>1000</v>
      </c>
      <c r="N1709" t="s">
        <v>1001</v>
      </c>
      <c r="O1709" t="s">
        <v>1001</v>
      </c>
      <c r="P1709" t="s">
        <v>1110</v>
      </c>
      <c r="Q1709" t="s">
        <v>3169</v>
      </c>
      <c r="R1709" t="s">
        <v>446</v>
      </c>
      <c r="S1709" t="s">
        <v>446</v>
      </c>
      <c r="T1709" t="s">
        <v>1965</v>
      </c>
      <c r="U1709" t="b">
        <v>0</v>
      </c>
      <c r="V1709" t="s">
        <v>446</v>
      </c>
    </row>
    <row r="1710" spans="1:22" x14ac:dyDescent="0.25">
      <c r="A1710" t="s">
        <v>42</v>
      </c>
      <c r="B1710">
        <v>208</v>
      </c>
      <c r="C1710" t="s">
        <v>1007</v>
      </c>
      <c r="D1710" t="s">
        <v>4906</v>
      </c>
      <c r="E1710" t="s">
        <v>1006</v>
      </c>
      <c r="F1710" t="s">
        <v>3218</v>
      </c>
      <c r="G1710" t="s">
        <v>24</v>
      </c>
      <c r="H1710" t="s">
        <v>26</v>
      </c>
      <c r="I1710" t="s">
        <v>3167</v>
      </c>
      <c r="J1710" t="s">
        <v>1011</v>
      </c>
      <c r="K1710" t="s">
        <v>3179</v>
      </c>
      <c r="L1710" t="s">
        <v>1011</v>
      </c>
      <c r="M1710" t="s">
        <v>1008</v>
      </c>
      <c r="N1710" t="s">
        <v>1009</v>
      </c>
      <c r="O1710" t="s">
        <v>1009</v>
      </c>
      <c r="P1710" t="s">
        <v>1110</v>
      </c>
      <c r="Q1710" t="s">
        <v>3169</v>
      </c>
      <c r="R1710" t="s">
        <v>446</v>
      </c>
      <c r="S1710" t="s">
        <v>446</v>
      </c>
      <c r="T1710" t="s">
        <v>1965</v>
      </c>
      <c r="U1710" t="b">
        <v>0</v>
      </c>
      <c r="V1710" t="s">
        <v>446</v>
      </c>
    </row>
    <row r="1711" spans="1:22" x14ac:dyDescent="0.25">
      <c r="A1711" t="s">
        <v>42</v>
      </c>
      <c r="B1711">
        <v>208</v>
      </c>
      <c r="C1711" t="s">
        <v>1014</v>
      </c>
      <c r="D1711" t="s">
        <v>4907</v>
      </c>
      <c r="E1711" t="s">
        <v>1013</v>
      </c>
      <c r="F1711" t="s">
        <v>3218</v>
      </c>
      <c r="G1711" t="s">
        <v>24</v>
      </c>
      <c r="H1711" t="s">
        <v>26</v>
      </c>
      <c r="I1711" t="s">
        <v>3167</v>
      </c>
      <c r="J1711" t="s">
        <v>1016</v>
      </c>
      <c r="K1711" t="s">
        <v>3181</v>
      </c>
      <c r="L1711" t="s">
        <v>1016</v>
      </c>
      <c r="M1711" t="s">
        <v>980</v>
      </c>
      <c r="N1711" t="s">
        <v>1015</v>
      </c>
      <c r="O1711" t="s">
        <v>1015</v>
      </c>
      <c r="P1711" t="s">
        <v>1110</v>
      </c>
      <c r="Q1711" t="s">
        <v>3169</v>
      </c>
      <c r="R1711" t="s">
        <v>446</v>
      </c>
      <c r="S1711" t="s">
        <v>446</v>
      </c>
      <c r="T1711" t="s">
        <v>1965</v>
      </c>
      <c r="U1711" t="b">
        <v>0</v>
      </c>
      <c r="V1711" t="s">
        <v>446</v>
      </c>
    </row>
    <row r="1712" spans="1:22" x14ac:dyDescent="0.25">
      <c r="A1712" t="s">
        <v>42</v>
      </c>
      <c r="B1712">
        <v>208</v>
      </c>
      <c r="C1712" t="s">
        <v>1019</v>
      </c>
      <c r="D1712" t="s">
        <v>4908</v>
      </c>
      <c r="E1712" t="s">
        <v>1018</v>
      </c>
      <c r="F1712" t="s">
        <v>3218</v>
      </c>
      <c r="G1712" t="s">
        <v>24</v>
      </c>
      <c r="H1712" t="s">
        <v>26</v>
      </c>
      <c r="I1712" t="s">
        <v>3167</v>
      </c>
      <c r="J1712" t="s">
        <v>1021</v>
      </c>
      <c r="K1712" t="s">
        <v>3183</v>
      </c>
      <c r="L1712" t="s">
        <v>1021</v>
      </c>
      <c r="M1712" t="s">
        <v>980</v>
      </c>
      <c r="N1712" t="s">
        <v>1020</v>
      </c>
      <c r="O1712" t="s">
        <v>1020</v>
      </c>
      <c r="P1712" t="s">
        <v>1110</v>
      </c>
      <c r="Q1712" t="s">
        <v>3169</v>
      </c>
      <c r="R1712" t="s">
        <v>446</v>
      </c>
      <c r="S1712" t="s">
        <v>446</v>
      </c>
      <c r="T1712" t="s">
        <v>1965</v>
      </c>
      <c r="U1712" t="b">
        <v>0</v>
      </c>
      <c r="V1712" t="s">
        <v>446</v>
      </c>
    </row>
    <row r="1713" spans="1:22" x14ac:dyDescent="0.25">
      <c r="A1713" t="s">
        <v>42</v>
      </c>
      <c r="B1713">
        <v>208</v>
      </c>
      <c r="C1713" t="s">
        <v>1024</v>
      </c>
      <c r="D1713" t="s">
        <v>4909</v>
      </c>
      <c r="E1713" t="s">
        <v>1023</v>
      </c>
      <c r="F1713" t="s">
        <v>3218</v>
      </c>
      <c r="G1713" t="s">
        <v>24</v>
      </c>
      <c r="H1713" t="s">
        <v>26</v>
      </c>
      <c r="I1713" t="s">
        <v>3167</v>
      </c>
      <c r="J1713" t="s">
        <v>1026</v>
      </c>
      <c r="K1713" t="s">
        <v>3185</v>
      </c>
      <c r="L1713" t="s">
        <v>1026</v>
      </c>
      <c r="M1713" t="s">
        <v>1000</v>
      </c>
      <c r="N1713" t="s">
        <v>1025</v>
      </c>
      <c r="O1713" t="s">
        <v>1025</v>
      </c>
      <c r="P1713" t="s">
        <v>1110</v>
      </c>
      <c r="Q1713" t="s">
        <v>3169</v>
      </c>
      <c r="R1713" t="s">
        <v>446</v>
      </c>
      <c r="S1713" t="s">
        <v>446</v>
      </c>
      <c r="T1713" t="s">
        <v>1965</v>
      </c>
      <c r="U1713" t="b">
        <v>0</v>
      </c>
      <c r="V1713" t="s">
        <v>446</v>
      </c>
    </row>
    <row r="1714" spans="1:22" x14ac:dyDescent="0.25">
      <c r="A1714" t="s">
        <v>42</v>
      </c>
      <c r="B1714">
        <v>208</v>
      </c>
      <c r="C1714" t="s">
        <v>1028</v>
      </c>
      <c r="D1714" t="s">
        <v>4910</v>
      </c>
      <c r="E1714" t="s">
        <v>1010</v>
      </c>
      <c r="F1714" t="s">
        <v>3218</v>
      </c>
      <c r="G1714" t="s">
        <v>24</v>
      </c>
      <c r="H1714" t="s">
        <v>26</v>
      </c>
      <c r="I1714" t="s">
        <v>3167</v>
      </c>
      <c r="J1714" t="s">
        <v>1026</v>
      </c>
      <c r="K1714" t="s">
        <v>3185</v>
      </c>
      <c r="L1714" t="s">
        <v>1026</v>
      </c>
      <c r="M1714" t="s">
        <v>1000</v>
      </c>
      <c r="N1714" t="s">
        <v>1025</v>
      </c>
      <c r="O1714" t="s">
        <v>1025</v>
      </c>
      <c r="P1714" t="s">
        <v>1110</v>
      </c>
      <c r="Q1714" t="s">
        <v>3169</v>
      </c>
      <c r="R1714" t="s">
        <v>446</v>
      </c>
      <c r="S1714" t="s">
        <v>446</v>
      </c>
      <c r="T1714" t="s">
        <v>1965</v>
      </c>
      <c r="U1714" t="b">
        <v>0</v>
      </c>
      <c r="V1714" t="s">
        <v>446</v>
      </c>
    </row>
    <row r="1715" spans="1:22" x14ac:dyDescent="0.25">
      <c r="A1715" t="s">
        <v>42</v>
      </c>
      <c r="B1715">
        <v>208</v>
      </c>
      <c r="C1715" t="s">
        <v>1030</v>
      </c>
      <c r="D1715" t="s">
        <v>4911</v>
      </c>
      <c r="E1715" t="s">
        <v>1029</v>
      </c>
      <c r="F1715" t="s">
        <v>3218</v>
      </c>
      <c r="G1715" t="s">
        <v>24</v>
      </c>
      <c r="H1715" t="s">
        <v>26</v>
      </c>
      <c r="I1715" t="s">
        <v>3167</v>
      </c>
      <c r="J1715" t="s">
        <v>1033</v>
      </c>
      <c r="K1715" t="s">
        <v>3189</v>
      </c>
      <c r="L1715" t="s">
        <v>1033</v>
      </c>
      <c r="M1715" t="s">
        <v>980</v>
      </c>
      <c r="N1715" t="s">
        <v>1031</v>
      </c>
      <c r="O1715" t="s">
        <v>1031</v>
      </c>
      <c r="P1715" t="s">
        <v>1110</v>
      </c>
      <c r="Q1715" t="s">
        <v>3169</v>
      </c>
      <c r="R1715" t="s">
        <v>446</v>
      </c>
      <c r="S1715" t="s">
        <v>446</v>
      </c>
      <c r="T1715" t="s">
        <v>1965</v>
      </c>
      <c r="U1715" t="b">
        <v>0</v>
      </c>
      <c r="V1715" t="s">
        <v>446</v>
      </c>
    </row>
    <row r="1716" spans="1:22" x14ac:dyDescent="0.25">
      <c r="A1716" t="s">
        <v>42</v>
      </c>
      <c r="B1716">
        <v>208</v>
      </c>
      <c r="C1716" t="s">
        <v>1036</v>
      </c>
      <c r="D1716" t="s">
        <v>4912</v>
      </c>
      <c r="E1716" t="s">
        <v>1035</v>
      </c>
      <c r="F1716" t="s">
        <v>3218</v>
      </c>
      <c r="G1716" t="s">
        <v>24</v>
      </c>
      <c r="H1716" t="s">
        <v>26</v>
      </c>
      <c r="I1716" t="s">
        <v>3167</v>
      </c>
      <c r="J1716" t="s">
        <v>1038</v>
      </c>
      <c r="K1716" t="s">
        <v>3191</v>
      </c>
      <c r="L1716" t="s">
        <v>1038</v>
      </c>
      <c r="M1716" t="s">
        <v>980</v>
      </c>
      <c r="N1716" t="s">
        <v>1037</v>
      </c>
      <c r="O1716" t="s">
        <v>1037</v>
      </c>
      <c r="P1716" t="s">
        <v>1110</v>
      </c>
      <c r="Q1716" t="s">
        <v>3169</v>
      </c>
      <c r="R1716" t="s">
        <v>446</v>
      </c>
      <c r="S1716" t="s">
        <v>446</v>
      </c>
      <c r="T1716" t="s">
        <v>1965</v>
      </c>
      <c r="U1716" t="b">
        <v>0</v>
      </c>
      <c r="V1716" t="s">
        <v>446</v>
      </c>
    </row>
    <row r="1717" spans="1:22" x14ac:dyDescent="0.25">
      <c r="A1717" t="s">
        <v>42</v>
      </c>
      <c r="B1717">
        <v>208</v>
      </c>
      <c r="C1717" t="s">
        <v>1041</v>
      </c>
      <c r="D1717" t="s">
        <v>4913</v>
      </c>
      <c r="E1717" t="s">
        <v>1040</v>
      </c>
      <c r="F1717" t="s">
        <v>3218</v>
      </c>
      <c r="G1717" t="s">
        <v>24</v>
      </c>
      <c r="H1717" t="s">
        <v>26</v>
      </c>
      <c r="I1717" t="s">
        <v>3167</v>
      </c>
      <c r="J1717" t="s">
        <v>1043</v>
      </c>
      <c r="K1717" t="s">
        <v>3193</v>
      </c>
      <c r="L1717" t="s">
        <v>1043</v>
      </c>
      <c r="M1717" t="s">
        <v>980</v>
      </c>
      <c r="N1717" t="s">
        <v>1042</v>
      </c>
      <c r="O1717" t="s">
        <v>1042</v>
      </c>
      <c r="P1717" t="s">
        <v>1110</v>
      </c>
      <c r="Q1717" t="s">
        <v>3169</v>
      </c>
      <c r="R1717" t="s">
        <v>446</v>
      </c>
      <c r="S1717" t="s">
        <v>446</v>
      </c>
      <c r="T1717" t="s">
        <v>1965</v>
      </c>
      <c r="U1717" t="b">
        <v>0</v>
      </c>
      <c r="V1717" t="s">
        <v>446</v>
      </c>
    </row>
    <row r="1718" spans="1:22" x14ac:dyDescent="0.25">
      <c r="A1718" t="s">
        <v>42</v>
      </c>
      <c r="B1718">
        <v>208</v>
      </c>
      <c r="C1718" t="s">
        <v>1046</v>
      </c>
      <c r="D1718" t="s">
        <v>4914</v>
      </c>
      <c r="E1718" t="s">
        <v>1045</v>
      </c>
      <c r="F1718" t="s">
        <v>3218</v>
      </c>
      <c r="G1718" t="s">
        <v>24</v>
      </c>
      <c r="H1718" t="s">
        <v>26</v>
      </c>
      <c r="I1718" t="s">
        <v>3167</v>
      </c>
      <c r="J1718" t="s">
        <v>1048</v>
      </c>
      <c r="K1718" t="s">
        <v>3195</v>
      </c>
      <c r="L1718" t="s">
        <v>1048</v>
      </c>
      <c r="M1718" t="s">
        <v>1000</v>
      </c>
      <c r="N1718" t="s">
        <v>1047</v>
      </c>
      <c r="O1718" t="s">
        <v>1047</v>
      </c>
      <c r="P1718" t="s">
        <v>1110</v>
      </c>
      <c r="Q1718" t="s">
        <v>3169</v>
      </c>
      <c r="R1718" t="s">
        <v>446</v>
      </c>
      <c r="S1718" t="s">
        <v>446</v>
      </c>
      <c r="T1718" t="s">
        <v>1965</v>
      </c>
      <c r="U1718" t="b">
        <v>0</v>
      </c>
      <c r="V1718" t="s">
        <v>446</v>
      </c>
    </row>
    <row r="1719" spans="1:22" x14ac:dyDescent="0.25">
      <c r="A1719" t="s">
        <v>42</v>
      </c>
      <c r="B1719">
        <v>208</v>
      </c>
      <c r="C1719" t="s">
        <v>1050</v>
      </c>
      <c r="D1719" t="s">
        <v>4915</v>
      </c>
      <c r="E1719" t="s">
        <v>1032</v>
      </c>
      <c r="F1719" t="s">
        <v>3218</v>
      </c>
      <c r="G1719" t="s">
        <v>24</v>
      </c>
      <c r="H1719" t="s">
        <v>26</v>
      </c>
      <c r="I1719" t="s">
        <v>3167</v>
      </c>
      <c r="J1719" t="s">
        <v>1048</v>
      </c>
      <c r="K1719" t="s">
        <v>3195</v>
      </c>
      <c r="L1719" t="s">
        <v>1048</v>
      </c>
      <c r="M1719" t="s">
        <v>1000</v>
      </c>
      <c r="N1719" t="s">
        <v>1047</v>
      </c>
      <c r="O1719" t="s">
        <v>1047</v>
      </c>
      <c r="P1719" t="s">
        <v>1110</v>
      </c>
      <c r="Q1719" t="s">
        <v>3169</v>
      </c>
      <c r="R1719" t="s">
        <v>446</v>
      </c>
      <c r="S1719" t="s">
        <v>446</v>
      </c>
      <c r="T1719" t="s">
        <v>1965</v>
      </c>
      <c r="U1719" t="b">
        <v>0</v>
      </c>
      <c r="V1719" t="s">
        <v>446</v>
      </c>
    </row>
    <row r="1720" spans="1:22" x14ac:dyDescent="0.25">
      <c r="A1720" t="s">
        <v>42</v>
      </c>
      <c r="B1720">
        <v>208</v>
      </c>
      <c r="C1720" t="s">
        <v>1052</v>
      </c>
      <c r="D1720" t="s">
        <v>4916</v>
      </c>
      <c r="E1720" t="s">
        <v>1051</v>
      </c>
      <c r="F1720" t="s">
        <v>3218</v>
      </c>
      <c r="G1720" t="s">
        <v>24</v>
      </c>
      <c r="H1720" t="s">
        <v>26</v>
      </c>
      <c r="I1720" t="s">
        <v>3167</v>
      </c>
      <c r="J1720" t="s">
        <v>1055</v>
      </c>
      <c r="K1720" t="s">
        <v>3199</v>
      </c>
      <c r="L1720" t="s">
        <v>1055</v>
      </c>
      <c r="M1720" t="s">
        <v>980</v>
      </c>
      <c r="N1720" t="s">
        <v>1053</v>
      </c>
      <c r="O1720" t="s">
        <v>1053</v>
      </c>
      <c r="P1720" t="s">
        <v>1110</v>
      </c>
      <c r="Q1720" t="s">
        <v>3169</v>
      </c>
      <c r="R1720" t="s">
        <v>446</v>
      </c>
      <c r="S1720" t="s">
        <v>446</v>
      </c>
      <c r="T1720" t="s">
        <v>1965</v>
      </c>
      <c r="U1720" t="b">
        <v>0</v>
      </c>
      <c r="V1720" t="s">
        <v>446</v>
      </c>
    </row>
    <row r="1721" spans="1:22" x14ac:dyDescent="0.25">
      <c r="A1721" t="s">
        <v>42</v>
      </c>
      <c r="B1721">
        <v>209</v>
      </c>
      <c r="C1721" t="s">
        <v>979</v>
      </c>
      <c r="D1721" t="s">
        <v>1759</v>
      </c>
      <c r="E1721" t="s">
        <v>978</v>
      </c>
      <c r="G1721" t="s">
        <v>24</v>
      </c>
      <c r="H1721" t="s">
        <v>26</v>
      </c>
      <c r="I1721" t="s">
        <v>3167</v>
      </c>
      <c r="J1721" t="s">
        <v>984</v>
      </c>
      <c r="K1721" t="s">
        <v>3168</v>
      </c>
      <c r="L1721" t="s">
        <v>984</v>
      </c>
      <c r="M1721" t="s">
        <v>980</v>
      </c>
      <c r="N1721" t="s">
        <v>981</v>
      </c>
      <c r="O1721" t="s">
        <v>981</v>
      </c>
      <c r="P1721" t="s">
        <v>1110</v>
      </c>
      <c r="Q1721" t="s">
        <v>3169</v>
      </c>
      <c r="R1721" t="s">
        <v>446</v>
      </c>
      <c r="S1721" t="s">
        <v>446</v>
      </c>
      <c r="T1721" t="s">
        <v>3216</v>
      </c>
      <c r="U1721" t="b">
        <v>0</v>
      </c>
      <c r="V1721" t="s">
        <v>1094</v>
      </c>
    </row>
    <row r="1722" spans="1:22" x14ac:dyDescent="0.25">
      <c r="A1722" t="s">
        <v>42</v>
      </c>
      <c r="B1722">
        <v>209</v>
      </c>
      <c r="C1722" t="s">
        <v>987</v>
      </c>
      <c r="D1722" t="s">
        <v>1760</v>
      </c>
      <c r="E1722" t="s">
        <v>986</v>
      </c>
      <c r="G1722" t="s">
        <v>24</v>
      </c>
      <c r="H1722" t="s">
        <v>26</v>
      </c>
      <c r="I1722" t="s">
        <v>3167</v>
      </c>
      <c r="J1722" t="s">
        <v>990</v>
      </c>
      <c r="K1722" t="s">
        <v>3171</v>
      </c>
      <c r="L1722" t="s">
        <v>990</v>
      </c>
      <c r="M1722" t="s">
        <v>980</v>
      </c>
      <c r="N1722" t="s">
        <v>988</v>
      </c>
      <c r="O1722" t="s">
        <v>988</v>
      </c>
      <c r="P1722" t="s">
        <v>1110</v>
      </c>
      <c r="Q1722" t="s">
        <v>3169</v>
      </c>
      <c r="R1722" t="s">
        <v>446</v>
      </c>
      <c r="S1722" t="s">
        <v>446</v>
      </c>
      <c r="T1722" t="s">
        <v>3216</v>
      </c>
      <c r="U1722" t="b">
        <v>0</v>
      </c>
      <c r="V1722" t="s">
        <v>1094</v>
      </c>
    </row>
    <row r="1723" spans="1:22" x14ac:dyDescent="0.25">
      <c r="A1723" t="s">
        <v>42</v>
      </c>
      <c r="B1723">
        <v>209</v>
      </c>
      <c r="C1723" t="s">
        <v>993</v>
      </c>
      <c r="D1723" t="s">
        <v>1761</v>
      </c>
      <c r="E1723" t="s">
        <v>992</v>
      </c>
      <c r="G1723" t="s">
        <v>24</v>
      </c>
      <c r="H1723" t="s">
        <v>26</v>
      </c>
      <c r="I1723" t="s">
        <v>3167</v>
      </c>
      <c r="J1723" t="s">
        <v>996</v>
      </c>
      <c r="K1723" t="s">
        <v>3173</v>
      </c>
      <c r="L1723" t="s">
        <v>996</v>
      </c>
      <c r="M1723" t="s">
        <v>980</v>
      </c>
      <c r="N1723" t="s">
        <v>994</v>
      </c>
      <c r="O1723" t="s">
        <v>994</v>
      </c>
      <c r="P1723" t="s">
        <v>1110</v>
      </c>
      <c r="Q1723" t="s">
        <v>3169</v>
      </c>
      <c r="R1723" t="s">
        <v>446</v>
      </c>
      <c r="S1723" t="s">
        <v>446</v>
      </c>
      <c r="T1723" t="s">
        <v>3216</v>
      </c>
      <c r="U1723" t="b">
        <v>0</v>
      </c>
      <c r="V1723" t="s">
        <v>1094</v>
      </c>
    </row>
    <row r="1724" spans="1:22" x14ac:dyDescent="0.25">
      <c r="A1724" t="s">
        <v>42</v>
      </c>
      <c r="B1724">
        <v>209</v>
      </c>
      <c r="C1724" t="s">
        <v>999</v>
      </c>
      <c r="D1724" t="s">
        <v>1762</v>
      </c>
      <c r="E1724" t="s">
        <v>998</v>
      </c>
      <c r="G1724" t="s">
        <v>24</v>
      </c>
      <c r="H1724" t="s">
        <v>26</v>
      </c>
      <c r="I1724" t="s">
        <v>3167</v>
      </c>
      <c r="J1724" t="s">
        <v>1003</v>
      </c>
      <c r="K1724" t="s">
        <v>3175</v>
      </c>
      <c r="L1724" t="s">
        <v>1003</v>
      </c>
      <c r="M1724" t="s">
        <v>1000</v>
      </c>
      <c r="N1724" t="s">
        <v>1001</v>
      </c>
      <c r="O1724" t="s">
        <v>1001</v>
      </c>
      <c r="P1724" t="s">
        <v>1110</v>
      </c>
      <c r="Q1724" t="s">
        <v>3169</v>
      </c>
      <c r="R1724" t="s">
        <v>446</v>
      </c>
      <c r="S1724" t="s">
        <v>446</v>
      </c>
      <c r="T1724" t="s">
        <v>3216</v>
      </c>
      <c r="U1724" t="b">
        <v>0</v>
      </c>
      <c r="V1724" t="s">
        <v>1094</v>
      </c>
    </row>
    <row r="1725" spans="1:22" x14ac:dyDescent="0.25">
      <c r="A1725" t="s">
        <v>42</v>
      </c>
      <c r="B1725">
        <v>209</v>
      </c>
      <c r="C1725" t="s">
        <v>1005</v>
      </c>
      <c r="D1725" t="s">
        <v>4917</v>
      </c>
      <c r="E1725" t="s">
        <v>982</v>
      </c>
      <c r="F1725" t="s">
        <v>3218</v>
      </c>
      <c r="G1725" t="s">
        <v>24</v>
      </c>
      <c r="H1725" t="s">
        <v>26</v>
      </c>
      <c r="I1725" t="s">
        <v>3167</v>
      </c>
      <c r="J1725" t="s">
        <v>1003</v>
      </c>
      <c r="K1725" t="s">
        <v>3175</v>
      </c>
      <c r="L1725" t="s">
        <v>1003</v>
      </c>
      <c r="M1725" t="s">
        <v>1000</v>
      </c>
      <c r="N1725" t="s">
        <v>1001</v>
      </c>
      <c r="O1725" t="s">
        <v>1001</v>
      </c>
      <c r="P1725" t="s">
        <v>1110</v>
      </c>
      <c r="Q1725" t="s">
        <v>3169</v>
      </c>
      <c r="R1725" t="s">
        <v>446</v>
      </c>
      <c r="S1725" t="s">
        <v>446</v>
      </c>
      <c r="T1725" t="s">
        <v>1965</v>
      </c>
      <c r="U1725" t="b">
        <v>0</v>
      </c>
      <c r="V1725" t="s">
        <v>446</v>
      </c>
    </row>
    <row r="1726" spans="1:22" x14ac:dyDescent="0.25">
      <c r="A1726" t="s">
        <v>42</v>
      </c>
      <c r="B1726">
        <v>209</v>
      </c>
      <c r="C1726" t="s">
        <v>1007</v>
      </c>
      <c r="D1726" t="s">
        <v>1763</v>
      </c>
      <c r="E1726" t="s">
        <v>1006</v>
      </c>
      <c r="G1726" t="s">
        <v>24</v>
      </c>
      <c r="H1726" t="s">
        <v>26</v>
      </c>
      <c r="I1726" t="s">
        <v>3167</v>
      </c>
      <c r="J1726" t="s">
        <v>1011</v>
      </c>
      <c r="K1726" t="s">
        <v>3179</v>
      </c>
      <c r="L1726" t="s">
        <v>1011</v>
      </c>
      <c r="M1726" t="s">
        <v>1008</v>
      </c>
      <c r="N1726" t="s">
        <v>1009</v>
      </c>
      <c r="O1726" t="s">
        <v>1009</v>
      </c>
      <c r="P1726" t="s">
        <v>1110</v>
      </c>
      <c r="Q1726" t="s">
        <v>3169</v>
      </c>
      <c r="R1726" t="s">
        <v>446</v>
      </c>
      <c r="S1726" t="s">
        <v>446</v>
      </c>
      <c r="T1726" t="s">
        <v>3216</v>
      </c>
      <c r="U1726" t="b">
        <v>0</v>
      </c>
      <c r="V1726" t="s">
        <v>1094</v>
      </c>
    </row>
    <row r="1727" spans="1:22" x14ac:dyDescent="0.25">
      <c r="A1727" t="s">
        <v>42</v>
      </c>
      <c r="B1727">
        <v>209</v>
      </c>
      <c r="C1727" t="s">
        <v>1014</v>
      </c>
      <c r="D1727" t="s">
        <v>1764</v>
      </c>
      <c r="E1727" t="s">
        <v>1013</v>
      </c>
      <c r="G1727" t="s">
        <v>24</v>
      </c>
      <c r="H1727" t="s">
        <v>26</v>
      </c>
      <c r="I1727" t="s">
        <v>3167</v>
      </c>
      <c r="J1727" t="s">
        <v>1016</v>
      </c>
      <c r="K1727" t="s">
        <v>3181</v>
      </c>
      <c r="L1727" t="s">
        <v>1016</v>
      </c>
      <c r="M1727" t="s">
        <v>980</v>
      </c>
      <c r="N1727" t="s">
        <v>1015</v>
      </c>
      <c r="O1727" t="s">
        <v>1015</v>
      </c>
      <c r="P1727" t="s">
        <v>1110</v>
      </c>
      <c r="Q1727" t="s">
        <v>3169</v>
      </c>
      <c r="R1727" t="s">
        <v>446</v>
      </c>
      <c r="S1727" t="s">
        <v>446</v>
      </c>
      <c r="T1727" t="s">
        <v>3216</v>
      </c>
      <c r="U1727" t="b">
        <v>0</v>
      </c>
      <c r="V1727" t="s">
        <v>1094</v>
      </c>
    </row>
    <row r="1728" spans="1:22" x14ac:dyDescent="0.25">
      <c r="A1728" t="s">
        <v>42</v>
      </c>
      <c r="B1728">
        <v>209</v>
      </c>
      <c r="C1728" t="s">
        <v>1019</v>
      </c>
      <c r="D1728" t="s">
        <v>1765</v>
      </c>
      <c r="E1728" t="s">
        <v>1018</v>
      </c>
      <c r="G1728" t="s">
        <v>24</v>
      </c>
      <c r="H1728" t="s">
        <v>26</v>
      </c>
      <c r="I1728" t="s">
        <v>3167</v>
      </c>
      <c r="J1728" t="s">
        <v>1021</v>
      </c>
      <c r="K1728" t="s">
        <v>3183</v>
      </c>
      <c r="L1728" t="s">
        <v>1021</v>
      </c>
      <c r="M1728" t="s">
        <v>980</v>
      </c>
      <c r="N1728" t="s">
        <v>1020</v>
      </c>
      <c r="O1728" t="s">
        <v>1020</v>
      </c>
      <c r="P1728" t="s">
        <v>1110</v>
      </c>
      <c r="Q1728" t="s">
        <v>3169</v>
      </c>
      <c r="R1728" t="s">
        <v>446</v>
      </c>
      <c r="S1728" t="s">
        <v>446</v>
      </c>
      <c r="T1728" t="s">
        <v>3216</v>
      </c>
      <c r="U1728" t="b">
        <v>0</v>
      </c>
      <c r="V1728" t="s">
        <v>1094</v>
      </c>
    </row>
    <row r="1729" spans="1:22" x14ac:dyDescent="0.25">
      <c r="A1729" t="s">
        <v>42</v>
      </c>
      <c r="B1729">
        <v>209</v>
      </c>
      <c r="C1729" t="s">
        <v>1024</v>
      </c>
      <c r="D1729" t="s">
        <v>1766</v>
      </c>
      <c r="E1729" t="s">
        <v>1023</v>
      </c>
      <c r="G1729" t="s">
        <v>24</v>
      </c>
      <c r="H1729" t="s">
        <v>26</v>
      </c>
      <c r="I1729" t="s">
        <v>3167</v>
      </c>
      <c r="J1729" t="s">
        <v>1026</v>
      </c>
      <c r="K1729" t="s">
        <v>3185</v>
      </c>
      <c r="L1729" t="s">
        <v>1026</v>
      </c>
      <c r="M1729" t="s">
        <v>1000</v>
      </c>
      <c r="N1729" t="s">
        <v>1025</v>
      </c>
      <c r="O1729" t="s">
        <v>1025</v>
      </c>
      <c r="P1729" t="s">
        <v>1110</v>
      </c>
      <c r="Q1729" t="s">
        <v>3169</v>
      </c>
      <c r="R1729" t="s">
        <v>446</v>
      </c>
      <c r="S1729" t="s">
        <v>446</v>
      </c>
      <c r="T1729" t="s">
        <v>3216</v>
      </c>
      <c r="U1729" t="b">
        <v>0</v>
      </c>
      <c r="V1729" t="s">
        <v>1094</v>
      </c>
    </row>
    <row r="1730" spans="1:22" x14ac:dyDescent="0.25">
      <c r="A1730" t="s">
        <v>42</v>
      </c>
      <c r="B1730">
        <v>209</v>
      </c>
      <c r="C1730" t="s">
        <v>1028</v>
      </c>
      <c r="D1730" t="s">
        <v>4918</v>
      </c>
      <c r="E1730" t="s">
        <v>1010</v>
      </c>
      <c r="F1730" t="s">
        <v>3218</v>
      </c>
      <c r="G1730" t="s">
        <v>24</v>
      </c>
      <c r="H1730" t="s">
        <v>26</v>
      </c>
      <c r="I1730" t="s">
        <v>3167</v>
      </c>
      <c r="J1730" t="s">
        <v>1026</v>
      </c>
      <c r="K1730" t="s">
        <v>3185</v>
      </c>
      <c r="L1730" t="s">
        <v>1026</v>
      </c>
      <c r="M1730" t="s">
        <v>1000</v>
      </c>
      <c r="N1730" t="s">
        <v>1025</v>
      </c>
      <c r="O1730" t="s">
        <v>1025</v>
      </c>
      <c r="P1730" t="s">
        <v>1110</v>
      </c>
      <c r="Q1730" t="s">
        <v>3169</v>
      </c>
      <c r="R1730" t="s">
        <v>446</v>
      </c>
      <c r="S1730" t="s">
        <v>446</v>
      </c>
      <c r="T1730" t="s">
        <v>1965</v>
      </c>
      <c r="U1730" t="b">
        <v>0</v>
      </c>
      <c r="V1730" t="s">
        <v>446</v>
      </c>
    </row>
    <row r="1731" spans="1:22" x14ac:dyDescent="0.25">
      <c r="A1731" t="s">
        <v>42</v>
      </c>
      <c r="B1731">
        <v>209</v>
      </c>
      <c r="C1731" t="s">
        <v>1030</v>
      </c>
      <c r="D1731" t="s">
        <v>1767</v>
      </c>
      <c r="E1731" t="s">
        <v>1029</v>
      </c>
      <c r="G1731" t="s">
        <v>24</v>
      </c>
      <c r="H1731" t="s">
        <v>26</v>
      </c>
      <c r="I1731" t="s">
        <v>3167</v>
      </c>
      <c r="J1731" t="s">
        <v>1033</v>
      </c>
      <c r="K1731" t="s">
        <v>3189</v>
      </c>
      <c r="L1731" t="s">
        <v>1033</v>
      </c>
      <c r="M1731" t="s">
        <v>980</v>
      </c>
      <c r="N1731" t="s">
        <v>1031</v>
      </c>
      <c r="O1731" t="s">
        <v>1031</v>
      </c>
      <c r="P1731" t="s">
        <v>1110</v>
      </c>
      <c r="Q1731" t="s">
        <v>3169</v>
      </c>
      <c r="R1731" t="s">
        <v>446</v>
      </c>
      <c r="S1731" t="s">
        <v>446</v>
      </c>
      <c r="T1731" t="s">
        <v>3216</v>
      </c>
      <c r="U1731" t="b">
        <v>0</v>
      </c>
      <c r="V1731" t="s">
        <v>1094</v>
      </c>
    </row>
    <row r="1732" spans="1:22" x14ac:dyDescent="0.25">
      <c r="A1732" t="s">
        <v>42</v>
      </c>
      <c r="B1732">
        <v>209</v>
      </c>
      <c r="C1732" t="s">
        <v>1036</v>
      </c>
      <c r="D1732" t="s">
        <v>1768</v>
      </c>
      <c r="E1732" t="s">
        <v>1035</v>
      </c>
      <c r="G1732" t="s">
        <v>24</v>
      </c>
      <c r="H1732" t="s">
        <v>26</v>
      </c>
      <c r="I1732" t="s">
        <v>3167</v>
      </c>
      <c r="J1732" t="s">
        <v>1038</v>
      </c>
      <c r="K1732" t="s">
        <v>3191</v>
      </c>
      <c r="L1732" t="s">
        <v>1038</v>
      </c>
      <c r="M1732" t="s">
        <v>980</v>
      </c>
      <c r="N1732" t="s">
        <v>1037</v>
      </c>
      <c r="O1732" t="s">
        <v>1037</v>
      </c>
      <c r="P1732" t="s">
        <v>1110</v>
      </c>
      <c r="Q1732" t="s">
        <v>3169</v>
      </c>
      <c r="R1732" t="s">
        <v>446</v>
      </c>
      <c r="S1732" t="s">
        <v>446</v>
      </c>
      <c r="T1732" t="s">
        <v>3216</v>
      </c>
      <c r="U1732" t="b">
        <v>0</v>
      </c>
      <c r="V1732" t="s">
        <v>1094</v>
      </c>
    </row>
    <row r="1733" spans="1:22" x14ac:dyDescent="0.25">
      <c r="A1733" t="s">
        <v>42</v>
      </c>
      <c r="B1733">
        <v>209</v>
      </c>
      <c r="C1733" t="s">
        <v>1041</v>
      </c>
      <c r="D1733" t="s">
        <v>1769</v>
      </c>
      <c r="E1733" t="s">
        <v>1040</v>
      </c>
      <c r="G1733" t="s">
        <v>24</v>
      </c>
      <c r="H1733" t="s">
        <v>26</v>
      </c>
      <c r="I1733" t="s">
        <v>3167</v>
      </c>
      <c r="J1733" t="s">
        <v>1043</v>
      </c>
      <c r="K1733" t="s">
        <v>3193</v>
      </c>
      <c r="L1733" t="s">
        <v>1043</v>
      </c>
      <c r="M1733" t="s">
        <v>980</v>
      </c>
      <c r="N1733" t="s">
        <v>1042</v>
      </c>
      <c r="O1733" t="s">
        <v>1042</v>
      </c>
      <c r="P1733" t="s">
        <v>1110</v>
      </c>
      <c r="Q1733" t="s">
        <v>3169</v>
      </c>
      <c r="R1733" t="s">
        <v>446</v>
      </c>
      <c r="S1733" t="s">
        <v>446</v>
      </c>
      <c r="T1733" t="s">
        <v>3216</v>
      </c>
      <c r="U1733" t="b">
        <v>0</v>
      </c>
      <c r="V1733" t="s">
        <v>1094</v>
      </c>
    </row>
    <row r="1734" spans="1:22" x14ac:dyDescent="0.25">
      <c r="A1734" t="s">
        <v>42</v>
      </c>
      <c r="B1734">
        <v>209</v>
      </c>
      <c r="C1734" t="s">
        <v>1046</v>
      </c>
      <c r="D1734" t="s">
        <v>1770</v>
      </c>
      <c r="E1734" t="s">
        <v>1045</v>
      </c>
      <c r="G1734" t="s">
        <v>24</v>
      </c>
      <c r="H1734" t="s">
        <v>26</v>
      </c>
      <c r="I1734" t="s">
        <v>3167</v>
      </c>
      <c r="J1734" t="s">
        <v>1048</v>
      </c>
      <c r="K1734" t="s">
        <v>3195</v>
      </c>
      <c r="L1734" t="s">
        <v>1048</v>
      </c>
      <c r="M1734" t="s">
        <v>1000</v>
      </c>
      <c r="N1734" t="s">
        <v>1047</v>
      </c>
      <c r="O1734" t="s">
        <v>1047</v>
      </c>
      <c r="P1734" t="s">
        <v>1110</v>
      </c>
      <c r="Q1734" t="s">
        <v>3169</v>
      </c>
      <c r="R1734" t="s">
        <v>446</v>
      </c>
      <c r="S1734" t="s">
        <v>446</v>
      </c>
      <c r="T1734" t="s">
        <v>3216</v>
      </c>
      <c r="U1734" t="b">
        <v>0</v>
      </c>
      <c r="V1734" t="s">
        <v>1094</v>
      </c>
    </row>
    <row r="1735" spans="1:22" x14ac:dyDescent="0.25">
      <c r="A1735" t="s">
        <v>42</v>
      </c>
      <c r="B1735">
        <v>209</v>
      </c>
      <c r="C1735" t="s">
        <v>1050</v>
      </c>
      <c r="D1735" t="s">
        <v>4919</v>
      </c>
      <c r="E1735" t="s">
        <v>1032</v>
      </c>
      <c r="F1735" t="s">
        <v>3218</v>
      </c>
      <c r="G1735" t="s">
        <v>24</v>
      </c>
      <c r="H1735" t="s">
        <v>26</v>
      </c>
      <c r="I1735" t="s">
        <v>3167</v>
      </c>
      <c r="J1735" t="s">
        <v>1048</v>
      </c>
      <c r="K1735" t="s">
        <v>3195</v>
      </c>
      <c r="L1735" t="s">
        <v>1048</v>
      </c>
      <c r="M1735" t="s">
        <v>1000</v>
      </c>
      <c r="N1735" t="s">
        <v>1047</v>
      </c>
      <c r="O1735" t="s">
        <v>1047</v>
      </c>
      <c r="P1735" t="s">
        <v>1110</v>
      </c>
      <c r="Q1735" t="s">
        <v>3169</v>
      </c>
      <c r="R1735" t="s">
        <v>446</v>
      </c>
      <c r="S1735" t="s">
        <v>446</v>
      </c>
      <c r="T1735" t="s">
        <v>1965</v>
      </c>
      <c r="U1735" t="b">
        <v>0</v>
      </c>
      <c r="V1735" t="s">
        <v>446</v>
      </c>
    </row>
    <row r="1736" spans="1:22" x14ac:dyDescent="0.25">
      <c r="A1736" t="s">
        <v>42</v>
      </c>
      <c r="B1736">
        <v>209</v>
      </c>
      <c r="C1736" t="s">
        <v>1052</v>
      </c>
      <c r="D1736" t="s">
        <v>1771</v>
      </c>
      <c r="E1736" t="s">
        <v>1051</v>
      </c>
      <c r="G1736" t="s">
        <v>24</v>
      </c>
      <c r="H1736" t="s">
        <v>26</v>
      </c>
      <c r="I1736" t="s">
        <v>3167</v>
      </c>
      <c r="J1736" t="s">
        <v>1055</v>
      </c>
      <c r="K1736" t="s">
        <v>3199</v>
      </c>
      <c r="L1736" t="s">
        <v>1055</v>
      </c>
      <c r="M1736" t="s">
        <v>980</v>
      </c>
      <c r="N1736" t="s">
        <v>1053</v>
      </c>
      <c r="O1736" t="s">
        <v>1053</v>
      </c>
      <c r="P1736" t="s">
        <v>1110</v>
      </c>
      <c r="Q1736" t="s">
        <v>3169</v>
      </c>
      <c r="R1736" t="s">
        <v>446</v>
      </c>
      <c r="S1736" t="s">
        <v>446</v>
      </c>
      <c r="T1736" t="s">
        <v>3216</v>
      </c>
      <c r="U1736" t="b">
        <v>0</v>
      </c>
      <c r="V1736" t="s">
        <v>1094</v>
      </c>
    </row>
    <row r="1737" spans="1:22" x14ac:dyDescent="0.25">
      <c r="A1737" t="s">
        <v>42</v>
      </c>
      <c r="B1737">
        <v>210</v>
      </c>
      <c r="C1737" t="s">
        <v>979</v>
      </c>
      <c r="D1737" t="s">
        <v>4920</v>
      </c>
      <c r="E1737" t="s">
        <v>978</v>
      </c>
      <c r="F1737" t="s">
        <v>3218</v>
      </c>
      <c r="G1737" t="s">
        <v>24</v>
      </c>
      <c r="H1737" t="s">
        <v>26</v>
      </c>
      <c r="I1737" t="s">
        <v>3167</v>
      </c>
      <c r="J1737" t="s">
        <v>984</v>
      </c>
      <c r="K1737" t="s">
        <v>3168</v>
      </c>
      <c r="L1737" t="s">
        <v>984</v>
      </c>
      <c r="M1737" t="s">
        <v>980</v>
      </c>
      <c r="N1737" t="s">
        <v>981</v>
      </c>
      <c r="O1737" t="s">
        <v>981</v>
      </c>
      <c r="P1737" t="s">
        <v>1110</v>
      </c>
      <c r="Q1737" t="s">
        <v>3169</v>
      </c>
      <c r="R1737" t="s">
        <v>446</v>
      </c>
      <c r="S1737" t="s">
        <v>446</v>
      </c>
      <c r="T1737" t="s">
        <v>1965</v>
      </c>
      <c r="U1737" t="b">
        <v>0</v>
      </c>
      <c r="V1737" t="s">
        <v>446</v>
      </c>
    </row>
    <row r="1738" spans="1:22" x14ac:dyDescent="0.25">
      <c r="A1738" t="s">
        <v>42</v>
      </c>
      <c r="B1738">
        <v>210</v>
      </c>
      <c r="C1738" t="s">
        <v>987</v>
      </c>
      <c r="D1738" t="s">
        <v>4921</v>
      </c>
      <c r="E1738" t="s">
        <v>986</v>
      </c>
      <c r="F1738" t="s">
        <v>3218</v>
      </c>
      <c r="G1738" t="s">
        <v>24</v>
      </c>
      <c r="H1738" t="s">
        <v>26</v>
      </c>
      <c r="I1738" t="s">
        <v>3167</v>
      </c>
      <c r="J1738" t="s">
        <v>990</v>
      </c>
      <c r="K1738" t="s">
        <v>3171</v>
      </c>
      <c r="L1738" t="s">
        <v>990</v>
      </c>
      <c r="M1738" t="s">
        <v>980</v>
      </c>
      <c r="N1738" t="s">
        <v>988</v>
      </c>
      <c r="O1738" t="s">
        <v>988</v>
      </c>
      <c r="P1738" t="s">
        <v>1110</v>
      </c>
      <c r="Q1738" t="s">
        <v>3169</v>
      </c>
      <c r="R1738" t="s">
        <v>446</v>
      </c>
      <c r="S1738" t="s">
        <v>446</v>
      </c>
      <c r="T1738" t="s">
        <v>1965</v>
      </c>
      <c r="U1738" t="b">
        <v>0</v>
      </c>
      <c r="V1738" t="s">
        <v>446</v>
      </c>
    </row>
    <row r="1739" spans="1:22" x14ac:dyDescent="0.25">
      <c r="A1739" t="s">
        <v>42</v>
      </c>
      <c r="B1739">
        <v>210</v>
      </c>
      <c r="C1739" t="s">
        <v>993</v>
      </c>
      <c r="D1739" t="s">
        <v>4922</v>
      </c>
      <c r="E1739" t="s">
        <v>992</v>
      </c>
      <c r="F1739" t="s">
        <v>3218</v>
      </c>
      <c r="G1739" t="s">
        <v>24</v>
      </c>
      <c r="H1739" t="s">
        <v>26</v>
      </c>
      <c r="I1739" t="s">
        <v>3167</v>
      </c>
      <c r="J1739" t="s">
        <v>996</v>
      </c>
      <c r="K1739" t="s">
        <v>3173</v>
      </c>
      <c r="L1739" t="s">
        <v>996</v>
      </c>
      <c r="M1739" t="s">
        <v>980</v>
      </c>
      <c r="N1739" t="s">
        <v>994</v>
      </c>
      <c r="O1739" t="s">
        <v>994</v>
      </c>
      <c r="P1739" t="s">
        <v>1110</v>
      </c>
      <c r="Q1739" t="s">
        <v>3169</v>
      </c>
      <c r="R1739" t="s">
        <v>446</v>
      </c>
      <c r="S1739" t="s">
        <v>446</v>
      </c>
      <c r="T1739" t="s">
        <v>1965</v>
      </c>
      <c r="U1739" t="b">
        <v>0</v>
      </c>
      <c r="V1739" t="s">
        <v>446</v>
      </c>
    </row>
    <row r="1740" spans="1:22" x14ac:dyDescent="0.25">
      <c r="A1740" t="s">
        <v>42</v>
      </c>
      <c r="B1740">
        <v>210</v>
      </c>
      <c r="C1740" t="s">
        <v>999</v>
      </c>
      <c r="D1740" t="s">
        <v>4923</v>
      </c>
      <c r="E1740" t="s">
        <v>998</v>
      </c>
      <c r="F1740" t="s">
        <v>4047</v>
      </c>
      <c r="G1740" t="s">
        <v>24</v>
      </c>
      <c r="H1740" t="s">
        <v>26</v>
      </c>
      <c r="I1740" t="s">
        <v>3167</v>
      </c>
      <c r="J1740" t="s">
        <v>1003</v>
      </c>
      <c r="K1740" t="s">
        <v>3175</v>
      </c>
      <c r="L1740" t="s">
        <v>1003</v>
      </c>
      <c r="M1740" t="s">
        <v>1000</v>
      </c>
      <c r="N1740" t="s">
        <v>1001</v>
      </c>
      <c r="O1740" t="s">
        <v>1001</v>
      </c>
      <c r="P1740" t="s">
        <v>1110</v>
      </c>
      <c r="Q1740" t="s">
        <v>3169</v>
      </c>
      <c r="R1740" t="s">
        <v>446</v>
      </c>
      <c r="S1740" t="s">
        <v>446</v>
      </c>
      <c r="T1740" t="s">
        <v>1965</v>
      </c>
      <c r="U1740" t="b">
        <v>0</v>
      </c>
      <c r="V1740" t="s">
        <v>446</v>
      </c>
    </row>
    <row r="1741" spans="1:22" x14ac:dyDescent="0.25">
      <c r="A1741" t="s">
        <v>42</v>
      </c>
      <c r="B1741">
        <v>210</v>
      </c>
      <c r="C1741" t="s">
        <v>1005</v>
      </c>
      <c r="D1741" t="s">
        <v>4924</v>
      </c>
      <c r="E1741" t="s">
        <v>982</v>
      </c>
      <c r="F1741" t="s">
        <v>4047</v>
      </c>
      <c r="G1741" t="s">
        <v>24</v>
      </c>
      <c r="H1741" t="s">
        <v>26</v>
      </c>
      <c r="I1741" t="s">
        <v>3167</v>
      </c>
      <c r="J1741" t="s">
        <v>1003</v>
      </c>
      <c r="K1741" t="s">
        <v>3175</v>
      </c>
      <c r="L1741" t="s">
        <v>1003</v>
      </c>
      <c r="M1741" t="s">
        <v>1000</v>
      </c>
      <c r="N1741" t="s">
        <v>1001</v>
      </c>
      <c r="O1741" t="s">
        <v>1001</v>
      </c>
      <c r="P1741" t="s">
        <v>1110</v>
      </c>
      <c r="Q1741" t="s">
        <v>3169</v>
      </c>
      <c r="R1741" t="s">
        <v>446</v>
      </c>
      <c r="S1741" t="s">
        <v>446</v>
      </c>
      <c r="T1741" t="s">
        <v>1965</v>
      </c>
      <c r="U1741" t="b">
        <v>0</v>
      </c>
      <c r="V1741" t="s">
        <v>446</v>
      </c>
    </row>
    <row r="1742" spans="1:22" x14ac:dyDescent="0.25">
      <c r="A1742" t="s">
        <v>42</v>
      </c>
      <c r="B1742">
        <v>210</v>
      </c>
      <c r="C1742" t="s">
        <v>1007</v>
      </c>
      <c r="D1742" t="s">
        <v>4925</v>
      </c>
      <c r="E1742" t="s">
        <v>1006</v>
      </c>
      <c r="F1742" t="s">
        <v>3218</v>
      </c>
      <c r="G1742" t="s">
        <v>24</v>
      </c>
      <c r="H1742" t="s">
        <v>26</v>
      </c>
      <c r="I1742" t="s">
        <v>3167</v>
      </c>
      <c r="J1742" t="s">
        <v>1011</v>
      </c>
      <c r="K1742" t="s">
        <v>3179</v>
      </c>
      <c r="L1742" t="s">
        <v>1011</v>
      </c>
      <c r="M1742" t="s">
        <v>1008</v>
      </c>
      <c r="N1742" t="s">
        <v>1009</v>
      </c>
      <c r="O1742" t="s">
        <v>1009</v>
      </c>
      <c r="P1742" t="s">
        <v>1110</v>
      </c>
      <c r="Q1742" t="s">
        <v>3169</v>
      </c>
      <c r="R1742" t="s">
        <v>446</v>
      </c>
      <c r="S1742" t="s">
        <v>446</v>
      </c>
      <c r="T1742" t="s">
        <v>1965</v>
      </c>
      <c r="U1742" t="b">
        <v>0</v>
      </c>
      <c r="V1742" t="s">
        <v>446</v>
      </c>
    </row>
    <row r="1743" spans="1:22" x14ac:dyDescent="0.25">
      <c r="A1743" t="s">
        <v>42</v>
      </c>
      <c r="B1743">
        <v>210</v>
      </c>
      <c r="C1743" t="s">
        <v>1014</v>
      </c>
      <c r="D1743" t="s">
        <v>4926</v>
      </c>
      <c r="E1743" t="s">
        <v>1013</v>
      </c>
      <c r="F1743" t="s">
        <v>3218</v>
      </c>
      <c r="G1743" t="s">
        <v>24</v>
      </c>
      <c r="H1743" t="s">
        <v>26</v>
      </c>
      <c r="I1743" t="s">
        <v>3167</v>
      </c>
      <c r="J1743" t="s">
        <v>1016</v>
      </c>
      <c r="K1743" t="s">
        <v>3181</v>
      </c>
      <c r="L1743" t="s">
        <v>1016</v>
      </c>
      <c r="M1743" t="s">
        <v>980</v>
      </c>
      <c r="N1743" t="s">
        <v>1015</v>
      </c>
      <c r="O1743" t="s">
        <v>1015</v>
      </c>
      <c r="P1743" t="s">
        <v>1110</v>
      </c>
      <c r="Q1743" t="s">
        <v>3169</v>
      </c>
      <c r="R1743" t="s">
        <v>446</v>
      </c>
      <c r="S1743" t="s">
        <v>446</v>
      </c>
      <c r="T1743" t="s">
        <v>1965</v>
      </c>
      <c r="U1743" t="b">
        <v>0</v>
      </c>
      <c r="V1743" t="s">
        <v>446</v>
      </c>
    </row>
    <row r="1744" spans="1:22" x14ac:dyDescent="0.25">
      <c r="A1744" t="s">
        <v>42</v>
      </c>
      <c r="B1744">
        <v>210</v>
      </c>
      <c r="C1744" t="s">
        <v>1019</v>
      </c>
      <c r="D1744" t="s">
        <v>4927</v>
      </c>
      <c r="E1744" t="s">
        <v>1018</v>
      </c>
      <c r="F1744" t="s">
        <v>3218</v>
      </c>
      <c r="G1744" t="s">
        <v>24</v>
      </c>
      <c r="H1744" t="s">
        <v>26</v>
      </c>
      <c r="I1744" t="s">
        <v>3167</v>
      </c>
      <c r="J1744" t="s">
        <v>1021</v>
      </c>
      <c r="K1744" t="s">
        <v>3183</v>
      </c>
      <c r="L1744" t="s">
        <v>1021</v>
      </c>
      <c r="M1744" t="s">
        <v>980</v>
      </c>
      <c r="N1744" t="s">
        <v>1020</v>
      </c>
      <c r="O1744" t="s">
        <v>1020</v>
      </c>
      <c r="P1744" t="s">
        <v>1110</v>
      </c>
      <c r="Q1744" t="s">
        <v>3169</v>
      </c>
      <c r="R1744" t="s">
        <v>446</v>
      </c>
      <c r="S1744" t="s">
        <v>446</v>
      </c>
      <c r="T1744" t="s">
        <v>1965</v>
      </c>
      <c r="U1744" t="b">
        <v>0</v>
      </c>
      <c r="V1744" t="s">
        <v>446</v>
      </c>
    </row>
    <row r="1745" spans="1:22" x14ac:dyDescent="0.25">
      <c r="A1745" t="s">
        <v>42</v>
      </c>
      <c r="B1745">
        <v>210</v>
      </c>
      <c r="C1745" t="s">
        <v>1024</v>
      </c>
      <c r="D1745" t="s">
        <v>4928</v>
      </c>
      <c r="E1745" t="s">
        <v>1023</v>
      </c>
      <c r="F1745" t="s">
        <v>3218</v>
      </c>
      <c r="G1745" t="s">
        <v>24</v>
      </c>
      <c r="H1745" t="s">
        <v>26</v>
      </c>
      <c r="I1745" t="s">
        <v>3167</v>
      </c>
      <c r="J1745" t="s">
        <v>1026</v>
      </c>
      <c r="K1745" t="s">
        <v>3185</v>
      </c>
      <c r="L1745" t="s">
        <v>1026</v>
      </c>
      <c r="M1745" t="s">
        <v>1000</v>
      </c>
      <c r="N1745" t="s">
        <v>1025</v>
      </c>
      <c r="O1745" t="s">
        <v>1025</v>
      </c>
      <c r="P1745" t="s">
        <v>1110</v>
      </c>
      <c r="Q1745" t="s">
        <v>3169</v>
      </c>
      <c r="R1745" t="s">
        <v>446</v>
      </c>
      <c r="S1745" t="s">
        <v>446</v>
      </c>
      <c r="T1745" t="s">
        <v>1965</v>
      </c>
      <c r="U1745" t="b">
        <v>0</v>
      </c>
      <c r="V1745" t="s">
        <v>446</v>
      </c>
    </row>
    <row r="1746" spans="1:22" x14ac:dyDescent="0.25">
      <c r="A1746" t="s">
        <v>42</v>
      </c>
      <c r="B1746">
        <v>210</v>
      </c>
      <c r="C1746" t="s">
        <v>1028</v>
      </c>
      <c r="D1746" t="s">
        <v>4929</v>
      </c>
      <c r="E1746" t="s">
        <v>1010</v>
      </c>
      <c r="F1746" t="s">
        <v>3218</v>
      </c>
      <c r="G1746" t="s">
        <v>24</v>
      </c>
      <c r="H1746" t="s">
        <v>26</v>
      </c>
      <c r="I1746" t="s">
        <v>3167</v>
      </c>
      <c r="J1746" t="s">
        <v>1026</v>
      </c>
      <c r="K1746" t="s">
        <v>3185</v>
      </c>
      <c r="L1746" t="s">
        <v>1026</v>
      </c>
      <c r="M1746" t="s">
        <v>1000</v>
      </c>
      <c r="N1746" t="s">
        <v>1025</v>
      </c>
      <c r="O1746" t="s">
        <v>1025</v>
      </c>
      <c r="P1746" t="s">
        <v>1110</v>
      </c>
      <c r="Q1746" t="s">
        <v>3169</v>
      </c>
      <c r="R1746" t="s">
        <v>446</v>
      </c>
      <c r="S1746" t="s">
        <v>446</v>
      </c>
      <c r="T1746" t="s">
        <v>1965</v>
      </c>
      <c r="U1746" t="b">
        <v>0</v>
      </c>
      <c r="V1746" t="s">
        <v>446</v>
      </c>
    </row>
    <row r="1747" spans="1:22" x14ac:dyDescent="0.25">
      <c r="A1747" t="s">
        <v>42</v>
      </c>
      <c r="B1747">
        <v>210</v>
      </c>
      <c r="C1747" t="s">
        <v>1030</v>
      </c>
      <c r="D1747" t="s">
        <v>4930</v>
      </c>
      <c r="E1747" t="s">
        <v>1029</v>
      </c>
      <c r="F1747" t="s">
        <v>3218</v>
      </c>
      <c r="G1747" t="s">
        <v>24</v>
      </c>
      <c r="H1747" t="s">
        <v>26</v>
      </c>
      <c r="I1747" t="s">
        <v>3167</v>
      </c>
      <c r="J1747" t="s">
        <v>1033</v>
      </c>
      <c r="K1747" t="s">
        <v>3189</v>
      </c>
      <c r="L1747" t="s">
        <v>1033</v>
      </c>
      <c r="M1747" t="s">
        <v>980</v>
      </c>
      <c r="N1747" t="s">
        <v>1031</v>
      </c>
      <c r="O1747" t="s">
        <v>1031</v>
      </c>
      <c r="P1747" t="s">
        <v>1110</v>
      </c>
      <c r="Q1747" t="s">
        <v>3169</v>
      </c>
      <c r="R1747" t="s">
        <v>446</v>
      </c>
      <c r="S1747" t="s">
        <v>446</v>
      </c>
      <c r="T1747" t="s">
        <v>1965</v>
      </c>
      <c r="U1747" t="b">
        <v>0</v>
      </c>
      <c r="V1747" t="s">
        <v>446</v>
      </c>
    </row>
    <row r="1748" spans="1:22" x14ac:dyDescent="0.25">
      <c r="A1748" t="s">
        <v>42</v>
      </c>
      <c r="B1748">
        <v>210</v>
      </c>
      <c r="C1748" t="s">
        <v>1036</v>
      </c>
      <c r="D1748" t="s">
        <v>4931</v>
      </c>
      <c r="E1748" t="s">
        <v>1035</v>
      </c>
      <c r="F1748" t="s">
        <v>3218</v>
      </c>
      <c r="G1748" t="s">
        <v>24</v>
      </c>
      <c r="H1748" t="s">
        <v>26</v>
      </c>
      <c r="I1748" t="s">
        <v>3167</v>
      </c>
      <c r="J1748" t="s">
        <v>1038</v>
      </c>
      <c r="K1748" t="s">
        <v>3191</v>
      </c>
      <c r="L1748" t="s">
        <v>1038</v>
      </c>
      <c r="M1748" t="s">
        <v>980</v>
      </c>
      <c r="N1748" t="s">
        <v>1037</v>
      </c>
      <c r="O1748" t="s">
        <v>1037</v>
      </c>
      <c r="P1748" t="s">
        <v>1110</v>
      </c>
      <c r="Q1748" t="s">
        <v>3169</v>
      </c>
      <c r="R1748" t="s">
        <v>446</v>
      </c>
      <c r="S1748" t="s">
        <v>446</v>
      </c>
      <c r="T1748" t="s">
        <v>1965</v>
      </c>
      <c r="U1748" t="b">
        <v>0</v>
      </c>
      <c r="V1748" t="s">
        <v>446</v>
      </c>
    </row>
    <row r="1749" spans="1:22" x14ac:dyDescent="0.25">
      <c r="A1749" t="s">
        <v>42</v>
      </c>
      <c r="B1749">
        <v>210</v>
      </c>
      <c r="C1749" t="s">
        <v>1041</v>
      </c>
      <c r="D1749" t="s">
        <v>4932</v>
      </c>
      <c r="E1749" t="s">
        <v>1040</v>
      </c>
      <c r="F1749" t="s">
        <v>3218</v>
      </c>
      <c r="G1749" t="s">
        <v>24</v>
      </c>
      <c r="H1749" t="s">
        <v>26</v>
      </c>
      <c r="I1749" t="s">
        <v>3167</v>
      </c>
      <c r="J1749" t="s">
        <v>1043</v>
      </c>
      <c r="K1749" t="s">
        <v>3193</v>
      </c>
      <c r="L1749" t="s">
        <v>1043</v>
      </c>
      <c r="M1749" t="s">
        <v>980</v>
      </c>
      <c r="N1749" t="s">
        <v>1042</v>
      </c>
      <c r="O1749" t="s">
        <v>1042</v>
      </c>
      <c r="P1749" t="s">
        <v>1110</v>
      </c>
      <c r="Q1749" t="s">
        <v>3169</v>
      </c>
      <c r="R1749" t="s">
        <v>446</v>
      </c>
      <c r="S1749" t="s">
        <v>446</v>
      </c>
      <c r="T1749" t="s">
        <v>1965</v>
      </c>
      <c r="U1749" t="b">
        <v>0</v>
      </c>
      <c r="V1749" t="s">
        <v>446</v>
      </c>
    </row>
    <row r="1750" spans="1:22" x14ac:dyDescent="0.25">
      <c r="A1750" t="s">
        <v>42</v>
      </c>
      <c r="B1750">
        <v>210</v>
      </c>
      <c r="C1750" t="s">
        <v>1046</v>
      </c>
      <c r="D1750" t="s">
        <v>4933</v>
      </c>
      <c r="E1750" t="s">
        <v>1045</v>
      </c>
      <c r="F1750" t="s">
        <v>3218</v>
      </c>
      <c r="G1750" t="s">
        <v>24</v>
      </c>
      <c r="H1750" t="s">
        <v>26</v>
      </c>
      <c r="I1750" t="s">
        <v>3167</v>
      </c>
      <c r="J1750" t="s">
        <v>1048</v>
      </c>
      <c r="K1750" t="s">
        <v>3195</v>
      </c>
      <c r="L1750" t="s">
        <v>1048</v>
      </c>
      <c r="M1750" t="s">
        <v>1000</v>
      </c>
      <c r="N1750" t="s">
        <v>1047</v>
      </c>
      <c r="O1750" t="s">
        <v>1047</v>
      </c>
      <c r="P1750" t="s">
        <v>1110</v>
      </c>
      <c r="Q1750" t="s">
        <v>3169</v>
      </c>
      <c r="R1750" t="s">
        <v>446</v>
      </c>
      <c r="S1750" t="s">
        <v>446</v>
      </c>
      <c r="T1750" t="s">
        <v>1965</v>
      </c>
      <c r="U1750" t="b">
        <v>0</v>
      </c>
      <c r="V1750" t="s">
        <v>446</v>
      </c>
    </row>
    <row r="1751" spans="1:22" x14ac:dyDescent="0.25">
      <c r="A1751" t="s">
        <v>42</v>
      </c>
      <c r="B1751">
        <v>210</v>
      </c>
      <c r="C1751" t="s">
        <v>1050</v>
      </c>
      <c r="D1751" t="s">
        <v>4934</v>
      </c>
      <c r="E1751" t="s">
        <v>1032</v>
      </c>
      <c r="F1751" t="s">
        <v>3218</v>
      </c>
      <c r="G1751" t="s">
        <v>24</v>
      </c>
      <c r="H1751" t="s">
        <v>26</v>
      </c>
      <c r="I1751" t="s">
        <v>3167</v>
      </c>
      <c r="J1751" t="s">
        <v>1048</v>
      </c>
      <c r="K1751" t="s">
        <v>3195</v>
      </c>
      <c r="L1751" t="s">
        <v>1048</v>
      </c>
      <c r="M1751" t="s">
        <v>1000</v>
      </c>
      <c r="N1751" t="s">
        <v>1047</v>
      </c>
      <c r="O1751" t="s">
        <v>1047</v>
      </c>
      <c r="P1751" t="s">
        <v>1110</v>
      </c>
      <c r="Q1751" t="s">
        <v>3169</v>
      </c>
      <c r="R1751" t="s">
        <v>446</v>
      </c>
      <c r="S1751" t="s">
        <v>446</v>
      </c>
      <c r="T1751" t="s">
        <v>1965</v>
      </c>
      <c r="U1751" t="b">
        <v>0</v>
      </c>
      <c r="V1751" t="s">
        <v>446</v>
      </c>
    </row>
    <row r="1752" spans="1:22" x14ac:dyDescent="0.25">
      <c r="A1752" t="s">
        <v>42</v>
      </c>
      <c r="B1752">
        <v>210</v>
      </c>
      <c r="C1752" t="s">
        <v>1052</v>
      </c>
      <c r="D1752" t="s">
        <v>4935</v>
      </c>
      <c r="E1752" t="s">
        <v>1051</v>
      </c>
      <c r="F1752" t="s">
        <v>3218</v>
      </c>
      <c r="G1752" t="s">
        <v>24</v>
      </c>
      <c r="H1752" t="s">
        <v>26</v>
      </c>
      <c r="I1752" t="s">
        <v>3167</v>
      </c>
      <c r="J1752" t="s">
        <v>1055</v>
      </c>
      <c r="K1752" t="s">
        <v>3199</v>
      </c>
      <c r="L1752" t="s">
        <v>1055</v>
      </c>
      <c r="M1752" t="s">
        <v>980</v>
      </c>
      <c r="N1752" t="s">
        <v>1053</v>
      </c>
      <c r="O1752" t="s">
        <v>1053</v>
      </c>
      <c r="P1752" t="s">
        <v>1110</v>
      </c>
      <c r="Q1752" t="s">
        <v>3169</v>
      </c>
      <c r="R1752" t="s">
        <v>446</v>
      </c>
      <c r="S1752" t="s">
        <v>446</v>
      </c>
      <c r="T1752" t="s">
        <v>1965</v>
      </c>
      <c r="U1752" t="b">
        <v>0</v>
      </c>
      <c r="V1752" t="s">
        <v>446</v>
      </c>
    </row>
    <row r="1753" spans="1:22" x14ac:dyDescent="0.25">
      <c r="A1753" t="s">
        <v>42</v>
      </c>
      <c r="B1753">
        <v>214</v>
      </c>
      <c r="C1753" t="s">
        <v>987</v>
      </c>
      <c r="D1753" t="s">
        <v>4936</v>
      </c>
      <c r="E1753" t="s">
        <v>986</v>
      </c>
      <c r="G1753" t="s">
        <v>24</v>
      </c>
      <c r="H1753" t="s">
        <v>26</v>
      </c>
      <c r="I1753" t="s">
        <v>3167</v>
      </c>
      <c r="J1753" t="s">
        <v>990</v>
      </c>
      <c r="K1753" t="s">
        <v>3171</v>
      </c>
      <c r="L1753" t="s">
        <v>990</v>
      </c>
      <c r="M1753" t="s">
        <v>980</v>
      </c>
      <c r="N1753" t="s">
        <v>988</v>
      </c>
      <c r="O1753" t="s">
        <v>988</v>
      </c>
      <c r="P1753" t="s">
        <v>1110</v>
      </c>
      <c r="Q1753" t="s">
        <v>3169</v>
      </c>
      <c r="R1753" t="s">
        <v>446</v>
      </c>
      <c r="S1753" t="s">
        <v>446</v>
      </c>
      <c r="T1753" t="s">
        <v>1965</v>
      </c>
      <c r="U1753" t="b">
        <v>0</v>
      </c>
      <c r="V1753" t="s">
        <v>446</v>
      </c>
    </row>
    <row r="1754" spans="1:22" x14ac:dyDescent="0.25">
      <c r="A1754" t="s">
        <v>42</v>
      </c>
      <c r="B1754">
        <v>214</v>
      </c>
      <c r="C1754" t="s">
        <v>993</v>
      </c>
      <c r="D1754" t="s">
        <v>4937</v>
      </c>
      <c r="E1754" t="s">
        <v>992</v>
      </c>
      <c r="G1754" t="s">
        <v>24</v>
      </c>
      <c r="H1754" t="s">
        <v>26</v>
      </c>
      <c r="I1754" t="s">
        <v>3167</v>
      </c>
      <c r="J1754" t="s">
        <v>996</v>
      </c>
      <c r="K1754" t="s">
        <v>3173</v>
      </c>
      <c r="L1754" t="s">
        <v>996</v>
      </c>
      <c r="M1754" t="s">
        <v>980</v>
      </c>
      <c r="N1754" t="s">
        <v>994</v>
      </c>
      <c r="O1754" t="s">
        <v>994</v>
      </c>
      <c r="P1754" t="s">
        <v>1110</v>
      </c>
      <c r="Q1754" t="s">
        <v>3169</v>
      </c>
      <c r="R1754" t="s">
        <v>446</v>
      </c>
      <c r="S1754" t="s">
        <v>446</v>
      </c>
      <c r="T1754" t="s">
        <v>1965</v>
      </c>
      <c r="U1754" t="b">
        <v>0</v>
      </c>
      <c r="V1754" t="s">
        <v>446</v>
      </c>
    </row>
    <row r="1755" spans="1:22" x14ac:dyDescent="0.25">
      <c r="A1755" t="s">
        <v>42</v>
      </c>
      <c r="B1755">
        <v>214</v>
      </c>
      <c r="C1755" t="s">
        <v>999</v>
      </c>
      <c r="D1755" t="s">
        <v>4938</v>
      </c>
      <c r="E1755" t="s">
        <v>998</v>
      </c>
      <c r="G1755" t="s">
        <v>24</v>
      </c>
      <c r="H1755" t="s">
        <v>26</v>
      </c>
      <c r="I1755" t="s">
        <v>3167</v>
      </c>
      <c r="J1755" t="s">
        <v>1003</v>
      </c>
      <c r="K1755" t="s">
        <v>3175</v>
      </c>
      <c r="L1755" t="s">
        <v>1003</v>
      </c>
      <c r="M1755" t="s">
        <v>1000</v>
      </c>
      <c r="N1755" t="s">
        <v>1001</v>
      </c>
      <c r="O1755" t="s">
        <v>1001</v>
      </c>
      <c r="P1755" t="s">
        <v>1110</v>
      </c>
      <c r="Q1755" t="s">
        <v>3169</v>
      </c>
      <c r="R1755" t="s">
        <v>446</v>
      </c>
      <c r="S1755" t="s">
        <v>446</v>
      </c>
      <c r="T1755" t="s">
        <v>1965</v>
      </c>
      <c r="U1755" t="b">
        <v>0</v>
      </c>
      <c r="V1755" t="s">
        <v>446</v>
      </c>
    </row>
    <row r="1756" spans="1:22" x14ac:dyDescent="0.25">
      <c r="A1756" t="s">
        <v>42</v>
      </c>
      <c r="B1756">
        <v>214</v>
      </c>
      <c r="C1756" t="s">
        <v>1005</v>
      </c>
      <c r="D1756" t="s">
        <v>4939</v>
      </c>
      <c r="E1756" t="s">
        <v>982</v>
      </c>
      <c r="G1756" t="s">
        <v>24</v>
      </c>
      <c r="H1756" t="s">
        <v>26</v>
      </c>
      <c r="I1756" t="s">
        <v>3167</v>
      </c>
      <c r="J1756" t="s">
        <v>1003</v>
      </c>
      <c r="K1756" t="s">
        <v>3175</v>
      </c>
      <c r="L1756" t="s">
        <v>1003</v>
      </c>
      <c r="M1756" t="s">
        <v>1000</v>
      </c>
      <c r="N1756" t="s">
        <v>1001</v>
      </c>
      <c r="O1756" t="s">
        <v>1001</v>
      </c>
      <c r="P1756" t="s">
        <v>1110</v>
      </c>
      <c r="Q1756" t="s">
        <v>3169</v>
      </c>
      <c r="R1756" t="s">
        <v>446</v>
      </c>
      <c r="S1756" t="s">
        <v>446</v>
      </c>
      <c r="T1756" t="s">
        <v>1965</v>
      </c>
      <c r="U1756" t="b">
        <v>0</v>
      </c>
      <c r="V1756" t="s">
        <v>446</v>
      </c>
    </row>
    <row r="1757" spans="1:22" x14ac:dyDescent="0.25">
      <c r="A1757" t="s">
        <v>42</v>
      </c>
      <c r="B1757">
        <v>214</v>
      </c>
      <c r="C1757" t="s">
        <v>1007</v>
      </c>
      <c r="D1757" t="s">
        <v>4940</v>
      </c>
      <c r="E1757" t="s">
        <v>1006</v>
      </c>
      <c r="G1757" t="s">
        <v>24</v>
      </c>
      <c r="H1757" t="s">
        <v>26</v>
      </c>
      <c r="I1757" t="s">
        <v>3167</v>
      </c>
      <c r="J1757" t="s">
        <v>1011</v>
      </c>
      <c r="K1757" t="s">
        <v>3179</v>
      </c>
      <c r="L1757" t="s">
        <v>1011</v>
      </c>
      <c r="M1757" t="s">
        <v>1008</v>
      </c>
      <c r="N1757" t="s">
        <v>1009</v>
      </c>
      <c r="O1757" t="s">
        <v>1009</v>
      </c>
      <c r="P1757" t="s">
        <v>1110</v>
      </c>
      <c r="Q1757" t="s">
        <v>3169</v>
      </c>
      <c r="R1757" t="s">
        <v>446</v>
      </c>
      <c r="S1757" t="s">
        <v>446</v>
      </c>
      <c r="T1757" t="s">
        <v>1965</v>
      </c>
      <c r="U1757" t="b">
        <v>0</v>
      </c>
      <c r="V1757" t="s">
        <v>446</v>
      </c>
    </row>
    <row r="1758" spans="1:22" x14ac:dyDescent="0.25">
      <c r="A1758" t="s">
        <v>42</v>
      </c>
      <c r="B1758">
        <v>214</v>
      </c>
      <c r="C1758" t="s">
        <v>1014</v>
      </c>
      <c r="D1758" t="s">
        <v>4941</v>
      </c>
      <c r="E1758" t="s">
        <v>1013</v>
      </c>
      <c r="G1758" t="s">
        <v>24</v>
      </c>
      <c r="H1758" t="s">
        <v>26</v>
      </c>
      <c r="I1758" t="s">
        <v>3167</v>
      </c>
      <c r="J1758" t="s">
        <v>1016</v>
      </c>
      <c r="K1758" t="s">
        <v>3181</v>
      </c>
      <c r="L1758" t="s">
        <v>1016</v>
      </c>
      <c r="M1758" t="s">
        <v>980</v>
      </c>
      <c r="N1758" t="s">
        <v>1015</v>
      </c>
      <c r="O1758" t="s">
        <v>1015</v>
      </c>
      <c r="P1758" t="s">
        <v>1110</v>
      </c>
      <c r="Q1758" t="s">
        <v>3169</v>
      </c>
      <c r="R1758" t="s">
        <v>446</v>
      </c>
      <c r="S1758" t="s">
        <v>446</v>
      </c>
      <c r="T1758" t="s">
        <v>1965</v>
      </c>
      <c r="U1758" t="b">
        <v>0</v>
      </c>
      <c r="V1758" t="s">
        <v>446</v>
      </c>
    </row>
    <row r="1759" spans="1:22" x14ac:dyDescent="0.25">
      <c r="A1759" t="s">
        <v>42</v>
      </c>
      <c r="B1759">
        <v>214</v>
      </c>
      <c r="C1759" t="s">
        <v>1019</v>
      </c>
      <c r="D1759" t="s">
        <v>4942</v>
      </c>
      <c r="E1759" t="s">
        <v>1018</v>
      </c>
      <c r="G1759" t="s">
        <v>24</v>
      </c>
      <c r="H1759" t="s">
        <v>26</v>
      </c>
      <c r="I1759" t="s">
        <v>3167</v>
      </c>
      <c r="J1759" t="s">
        <v>1021</v>
      </c>
      <c r="K1759" t="s">
        <v>3183</v>
      </c>
      <c r="L1759" t="s">
        <v>1021</v>
      </c>
      <c r="M1759" t="s">
        <v>980</v>
      </c>
      <c r="N1759" t="s">
        <v>1020</v>
      </c>
      <c r="O1759" t="s">
        <v>1020</v>
      </c>
      <c r="P1759" t="s">
        <v>1110</v>
      </c>
      <c r="Q1759" t="s">
        <v>3169</v>
      </c>
      <c r="R1759" t="s">
        <v>446</v>
      </c>
      <c r="S1759" t="s">
        <v>446</v>
      </c>
      <c r="T1759" t="s">
        <v>1965</v>
      </c>
      <c r="U1759" t="b">
        <v>0</v>
      </c>
      <c r="V1759" t="s">
        <v>446</v>
      </c>
    </row>
    <row r="1760" spans="1:22" x14ac:dyDescent="0.25">
      <c r="A1760" t="s">
        <v>42</v>
      </c>
      <c r="B1760">
        <v>214</v>
      </c>
      <c r="C1760" t="s">
        <v>1024</v>
      </c>
      <c r="D1760" t="s">
        <v>4943</v>
      </c>
      <c r="E1760" t="s">
        <v>1023</v>
      </c>
      <c r="G1760" t="s">
        <v>24</v>
      </c>
      <c r="H1760" t="s">
        <v>26</v>
      </c>
      <c r="I1760" t="s">
        <v>3167</v>
      </c>
      <c r="J1760" t="s">
        <v>1026</v>
      </c>
      <c r="K1760" t="s">
        <v>3185</v>
      </c>
      <c r="L1760" t="s">
        <v>1026</v>
      </c>
      <c r="M1760" t="s">
        <v>1000</v>
      </c>
      <c r="N1760" t="s">
        <v>1025</v>
      </c>
      <c r="O1760" t="s">
        <v>1025</v>
      </c>
      <c r="P1760" t="s">
        <v>1110</v>
      </c>
      <c r="Q1760" t="s">
        <v>3169</v>
      </c>
      <c r="R1760" t="s">
        <v>446</v>
      </c>
      <c r="S1760" t="s">
        <v>446</v>
      </c>
      <c r="T1760" t="s">
        <v>1965</v>
      </c>
      <c r="U1760" t="b">
        <v>0</v>
      </c>
      <c r="V1760" t="s">
        <v>446</v>
      </c>
    </row>
    <row r="1761" spans="1:22" x14ac:dyDescent="0.25">
      <c r="A1761" t="s">
        <v>42</v>
      </c>
      <c r="B1761">
        <v>214</v>
      </c>
      <c r="C1761" t="s">
        <v>1028</v>
      </c>
      <c r="D1761" t="s">
        <v>4944</v>
      </c>
      <c r="E1761" t="s">
        <v>1010</v>
      </c>
      <c r="G1761" t="s">
        <v>24</v>
      </c>
      <c r="H1761" t="s">
        <v>26</v>
      </c>
      <c r="I1761" t="s">
        <v>3167</v>
      </c>
      <c r="J1761" t="s">
        <v>1026</v>
      </c>
      <c r="K1761" t="s">
        <v>3185</v>
      </c>
      <c r="L1761" t="s">
        <v>1026</v>
      </c>
      <c r="M1761" t="s">
        <v>1000</v>
      </c>
      <c r="N1761" t="s">
        <v>1025</v>
      </c>
      <c r="O1761" t="s">
        <v>1025</v>
      </c>
      <c r="P1761" t="s">
        <v>1110</v>
      </c>
      <c r="Q1761" t="s">
        <v>3169</v>
      </c>
      <c r="R1761" t="s">
        <v>446</v>
      </c>
      <c r="S1761" t="s">
        <v>446</v>
      </c>
      <c r="T1761" t="s">
        <v>1965</v>
      </c>
      <c r="U1761" t="b">
        <v>0</v>
      </c>
      <c r="V1761" t="s">
        <v>446</v>
      </c>
    </row>
    <row r="1762" spans="1:22" x14ac:dyDescent="0.25">
      <c r="A1762" t="s">
        <v>42</v>
      </c>
      <c r="B1762">
        <v>214</v>
      </c>
      <c r="C1762" t="s">
        <v>1030</v>
      </c>
      <c r="D1762" t="s">
        <v>4945</v>
      </c>
      <c r="E1762" t="s">
        <v>1029</v>
      </c>
      <c r="G1762" t="s">
        <v>24</v>
      </c>
      <c r="H1762" t="s">
        <v>26</v>
      </c>
      <c r="I1762" t="s">
        <v>3167</v>
      </c>
      <c r="J1762" t="s">
        <v>1033</v>
      </c>
      <c r="K1762" t="s">
        <v>3189</v>
      </c>
      <c r="L1762" t="s">
        <v>1033</v>
      </c>
      <c r="M1762" t="s">
        <v>980</v>
      </c>
      <c r="N1762" t="s">
        <v>1031</v>
      </c>
      <c r="O1762" t="s">
        <v>1031</v>
      </c>
      <c r="P1762" t="s">
        <v>1110</v>
      </c>
      <c r="Q1762" t="s">
        <v>3169</v>
      </c>
      <c r="R1762" t="s">
        <v>446</v>
      </c>
      <c r="S1762" t="s">
        <v>446</v>
      </c>
      <c r="T1762" t="s">
        <v>1965</v>
      </c>
      <c r="U1762" t="b">
        <v>0</v>
      </c>
      <c r="V1762" t="s">
        <v>446</v>
      </c>
    </row>
    <row r="1763" spans="1:22" x14ac:dyDescent="0.25">
      <c r="A1763" t="s">
        <v>42</v>
      </c>
      <c r="B1763">
        <v>214</v>
      </c>
      <c r="C1763" t="s">
        <v>1036</v>
      </c>
      <c r="D1763" t="s">
        <v>4946</v>
      </c>
      <c r="E1763" t="s">
        <v>1035</v>
      </c>
      <c r="G1763" t="s">
        <v>24</v>
      </c>
      <c r="H1763" t="s">
        <v>26</v>
      </c>
      <c r="I1763" t="s">
        <v>3167</v>
      </c>
      <c r="J1763" t="s">
        <v>1038</v>
      </c>
      <c r="K1763" t="s">
        <v>3191</v>
      </c>
      <c r="L1763" t="s">
        <v>1038</v>
      </c>
      <c r="M1763" t="s">
        <v>980</v>
      </c>
      <c r="N1763" t="s">
        <v>1037</v>
      </c>
      <c r="O1763" t="s">
        <v>1037</v>
      </c>
      <c r="P1763" t="s">
        <v>1110</v>
      </c>
      <c r="Q1763" t="s">
        <v>3169</v>
      </c>
      <c r="R1763" t="s">
        <v>446</v>
      </c>
      <c r="S1763" t="s">
        <v>446</v>
      </c>
      <c r="T1763" t="s">
        <v>1965</v>
      </c>
      <c r="U1763" t="b">
        <v>0</v>
      </c>
      <c r="V1763" t="s">
        <v>446</v>
      </c>
    </row>
    <row r="1764" spans="1:22" x14ac:dyDescent="0.25">
      <c r="A1764" t="s">
        <v>42</v>
      </c>
      <c r="B1764">
        <v>214</v>
      </c>
      <c r="C1764" t="s">
        <v>1041</v>
      </c>
      <c r="D1764" t="s">
        <v>4947</v>
      </c>
      <c r="E1764" t="s">
        <v>1040</v>
      </c>
      <c r="G1764" t="s">
        <v>24</v>
      </c>
      <c r="H1764" t="s">
        <v>26</v>
      </c>
      <c r="I1764" t="s">
        <v>3167</v>
      </c>
      <c r="J1764" t="s">
        <v>1043</v>
      </c>
      <c r="K1764" t="s">
        <v>3193</v>
      </c>
      <c r="L1764" t="s">
        <v>1043</v>
      </c>
      <c r="M1764" t="s">
        <v>980</v>
      </c>
      <c r="N1764" t="s">
        <v>1042</v>
      </c>
      <c r="O1764" t="s">
        <v>1042</v>
      </c>
      <c r="P1764" t="s">
        <v>1110</v>
      </c>
      <c r="Q1764" t="s">
        <v>3169</v>
      </c>
      <c r="R1764" t="s">
        <v>446</v>
      </c>
      <c r="S1764" t="s">
        <v>446</v>
      </c>
      <c r="T1764" t="s">
        <v>1965</v>
      </c>
      <c r="U1764" t="b">
        <v>0</v>
      </c>
      <c r="V1764" t="s">
        <v>446</v>
      </c>
    </row>
    <row r="1765" spans="1:22" x14ac:dyDescent="0.25">
      <c r="A1765" t="s">
        <v>42</v>
      </c>
      <c r="B1765">
        <v>214</v>
      </c>
      <c r="C1765" t="s">
        <v>1046</v>
      </c>
      <c r="D1765" t="s">
        <v>4948</v>
      </c>
      <c r="E1765" t="s">
        <v>1045</v>
      </c>
      <c r="G1765" t="s">
        <v>24</v>
      </c>
      <c r="H1765" t="s">
        <v>26</v>
      </c>
      <c r="I1765" t="s">
        <v>3167</v>
      </c>
      <c r="J1765" t="s">
        <v>1048</v>
      </c>
      <c r="K1765" t="s">
        <v>3195</v>
      </c>
      <c r="L1765" t="s">
        <v>1048</v>
      </c>
      <c r="M1765" t="s">
        <v>1000</v>
      </c>
      <c r="N1765" t="s">
        <v>1047</v>
      </c>
      <c r="O1765" t="s">
        <v>1047</v>
      </c>
      <c r="P1765" t="s">
        <v>1110</v>
      </c>
      <c r="Q1765" t="s">
        <v>3169</v>
      </c>
      <c r="R1765" t="s">
        <v>446</v>
      </c>
      <c r="S1765" t="s">
        <v>446</v>
      </c>
      <c r="T1765" t="s">
        <v>1965</v>
      </c>
      <c r="U1765" t="b">
        <v>0</v>
      </c>
      <c r="V1765" t="s">
        <v>446</v>
      </c>
    </row>
    <row r="1766" spans="1:22" x14ac:dyDescent="0.25">
      <c r="A1766" t="s">
        <v>42</v>
      </c>
      <c r="B1766">
        <v>214</v>
      </c>
      <c r="C1766" t="s">
        <v>1050</v>
      </c>
      <c r="D1766" t="s">
        <v>4949</v>
      </c>
      <c r="E1766" t="s">
        <v>1032</v>
      </c>
      <c r="G1766" t="s">
        <v>24</v>
      </c>
      <c r="H1766" t="s">
        <v>26</v>
      </c>
      <c r="I1766" t="s">
        <v>3167</v>
      </c>
      <c r="J1766" t="s">
        <v>1048</v>
      </c>
      <c r="K1766" t="s">
        <v>3195</v>
      </c>
      <c r="L1766" t="s">
        <v>1048</v>
      </c>
      <c r="M1766" t="s">
        <v>1000</v>
      </c>
      <c r="N1766" t="s">
        <v>1047</v>
      </c>
      <c r="O1766" t="s">
        <v>1047</v>
      </c>
      <c r="P1766" t="s">
        <v>1110</v>
      </c>
      <c r="Q1766" t="s">
        <v>3169</v>
      </c>
      <c r="R1766" t="s">
        <v>446</v>
      </c>
      <c r="S1766" t="s">
        <v>446</v>
      </c>
      <c r="T1766" t="s">
        <v>1965</v>
      </c>
      <c r="U1766" t="b">
        <v>0</v>
      </c>
      <c r="V1766" t="s">
        <v>446</v>
      </c>
    </row>
    <row r="1767" spans="1:22" x14ac:dyDescent="0.25">
      <c r="A1767" t="s">
        <v>42</v>
      </c>
      <c r="B1767">
        <v>214</v>
      </c>
      <c r="C1767" t="s">
        <v>1052</v>
      </c>
      <c r="D1767" t="s">
        <v>4950</v>
      </c>
      <c r="E1767" t="s">
        <v>1051</v>
      </c>
      <c r="G1767" t="s">
        <v>24</v>
      </c>
      <c r="H1767" t="s">
        <v>26</v>
      </c>
      <c r="I1767" t="s">
        <v>3167</v>
      </c>
      <c r="J1767" t="s">
        <v>1055</v>
      </c>
      <c r="K1767" t="s">
        <v>3199</v>
      </c>
      <c r="L1767" t="s">
        <v>1055</v>
      </c>
      <c r="M1767" t="s">
        <v>980</v>
      </c>
      <c r="N1767" t="s">
        <v>1053</v>
      </c>
      <c r="O1767" t="s">
        <v>1053</v>
      </c>
      <c r="P1767" t="s">
        <v>1110</v>
      </c>
      <c r="Q1767" t="s">
        <v>3169</v>
      </c>
      <c r="R1767" t="s">
        <v>446</v>
      </c>
      <c r="S1767" t="s">
        <v>446</v>
      </c>
      <c r="T1767" t="s">
        <v>1965</v>
      </c>
      <c r="U1767" t="b">
        <v>0</v>
      </c>
      <c r="V1767" t="s">
        <v>446</v>
      </c>
    </row>
    <row r="1768" spans="1:22" x14ac:dyDescent="0.25">
      <c r="A1768" t="s">
        <v>42</v>
      </c>
      <c r="B1768">
        <v>216</v>
      </c>
      <c r="C1768" t="s">
        <v>979</v>
      </c>
      <c r="D1768" t="s">
        <v>4951</v>
      </c>
      <c r="E1768" t="s">
        <v>978</v>
      </c>
      <c r="F1768" t="s">
        <v>3218</v>
      </c>
      <c r="G1768" t="s">
        <v>24</v>
      </c>
      <c r="H1768" t="s">
        <v>26</v>
      </c>
      <c r="I1768" t="s">
        <v>3167</v>
      </c>
      <c r="J1768" t="s">
        <v>984</v>
      </c>
      <c r="K1768" t="s">
        <v>3168</v>
      </c>
      <c r="L1768" t="s">
        <v>984</v>
      </c>
      <c r="M1768" t="s">
        <v>980</v>
      </c>
      <c r="N1768" t="s">
        <v>981</v>
      </c>
      <c r="O1768" t="s">
        <v>981</v>
      </c>
      <c r="P1768" t="s">
        <v>1089</v>
      </c>
      <c r="Q1768" t="s">
        <v>3169</v>
      </c>
      <c r="R1768" t="s">
        <v>446</v>
      </c>
      <c r="S1768" t="s">
        <v>446</v>
      </c>
      <c r="T1768" t="s">
        <v>1965</v>
      </c>
      <c r="U1768" t="b">
        <v>0</v>
      </c>
      <c r="V1768" t="s">
        <v>446</v>
      </c>
    </row>
    <row r="1769" spans="1:22" x14ac:dyDescent="0.25">
      <c r="A1769" t="s">
        <v>42</v>
      </c>
      <c r="B1769">
        <v>216</v>
      </c>
      <c r="C1769" t="s">
        <v>987</v>
      </c>
      <c r="D1769" t="s">
        <v>4952</v>
      </c>
      <c r="E1769" t="s">
        <v>986</v>
      </c>
      <c r="F1769" t="s">
        <v>3218</v>
      </c>
      <c r="G1769" t="s">
        <v>24</v>
      </c>
      <c r="H1769" t="s">
        <v>26</v>
      </c>
      <c r="I1769" t="s">
        <v>3167</v>
      </c>
      <c r="J1769" t="s">
        <v>990</v>
      </c>
      <c r="K1769" t="s">
        <v>3171</v>
      </c>
      <c r="L1769" t="s">
        <v>990</v>
      </c>
      <c r="M1769" t="s">
        <v>980</v>
      </c>
      <c r="N1769" t="s">
        <v>988</v>
      </c>
      <c r="O1769" t="s">
        <v>988</v>
      </c>
      <c r="P1769" t="s">
        <v>1089</v>
      </c>
      <c r="Q1769" t="s">
        <v>3169</v>
      </c>
      <c r="R1769" t="s">
        <v>446</v>
      </c>
      <c r="S1769" t="s">
        <v>446</v>
      </c>
      <c r="T1769" t="s">
        <v>1965</v>
      </c>
      <c r="U1769" t="b">
        <v>0</v>
      </c>
      <c r="V1769" t="s">
        <v>446</v>
      </c>
    </row>
    <row r="1770" spans="1:22" x14ac:dyDescent="0.25">
      <c r="A1770" t="s">
        <v>42</v>
      </c>
      <c r="B1770">
        <v>216</v>
      </c>
      <c r="C1770" t="s">
        <v>993</v>
      </c>
      <c r="D1770" t="s">
        <v>4953</v>
      </c>
      <c r="E1770" t="s">
        <v>992</v>
      </c>
      <c r="F1770" t="s">
        <v>3218</v>
      </c>
      <c r="G1770" t="s">
        <v>24</v>
      </c>
      <c r="H1770" t="s">
        <v>26</v>
      </c>
      <c r="I1770" t="s">
        <v>3167</v>
      </c>
      <c r="J1770" t="s">
        <v>996</v>
      </c>
      <c r="K1770" t="s">
        <v>3173</v>
      </c>
      <c r="L1770" t="s">
        <v>996</v>
      </c>
      <c r="M1770" t="s">
        <v>980</v>
      </c>
      <c r="N1770" t="s">
        <v>994</v>
      </c>
      <c r="O1770" t="s">
        <v>994</v>
      </c>
      <c r="P1770" t="s">
        <v>1089</v>
      </c>
      <c r="Q1770" t="s">
        <v>3169</v>
      </c>
      <c r="R1770" t="s">
        <v>446</v>
      </c>
      <c r="S1770" t="s">
        <v>446</v>
      </c>
      <c r="T1770" t="s">
        <v>1965</v>
      </c>
      <c r="U1770" t="b">
        <v>0</v>
      </c>
      <c r="V1770" t="s">
        <v>446</v>
      </c>
    </row>
    <row r="1771" spans="1:22" x14ac:dyDescent="0.25">
      <c r="A1771" t="s">
        <v>42</v>
      </c>
      <c r="B1771">
        <v>216</v>
      </c>
      <c r="C1771" t="s">
        <v>999</v>
      </c>
      <c r="D1771" t="s">
        <v>4954</v>
      </c>
      <c r="E1771" t="s">
        <v>998</v>
      </c>
      <c r="F1771" t="s">
        <v>3218</v>
      </c>
      <c r="G1771" t="s">
        <v>24</v>
      </c>
      <c r="H1771" t="s">
        <v>26</v>
      </c>
      <c r="I1771" t="s">
        <v>3167</v>
      </c>
      <c r="J1771" t="s">
        <v>1003</v>
      </c>
      <c r="K1771" t="s">
        <v>3175</v>
      </c>
      <c r="L1771" t="s">
        <v>1003</v>
      </c>
      <c r="M1771" t="s">
        <v>1000</v>
      </c>
      <c r="N1771" t="s">
        <v>1001</v>
      </c>
      <c r="O1771" t="s">
        <v>1001</v>
      </c>
      <c r="P1771" t="s">
        <v>1089</v>
      </c>
      <c r="Q1771" t="s">
        <v>3169</v>
      </c>
      <c r="R1771" t="s">
        <v>446</v>
      </c>
      <c r="S1771" t="s">
        <v>446</v>
      </c>
      <c r="T1771" t="s">
        <v>1965</v>
      </c>
      <c r="U1771" t="b">
        <v>0</v>
      </c>
      <c r="V1771" t="s">
        <v>446</v>
      </c>
    </row>
    <row r="1772" spans="1:22" x14ac:dyDescent="0.25">
      <c r="A1772" t="s">
        <v>42</v>
      </c>
      <c r="B1772">
        <v>216</v>
      </c>
      <c r="C1772" t="s">
        <v>1005</v>
      </c>
      <c r="D1772" t="s">
        <v>4955</v>
      </c>
      <c r="E1772" t="s">
        <v>982</v>
      </c>
      <c r="F1772" t="s">
        <v>3166</v>
      </c>
      <c r="G1772" t="s">
        <v>24</v>
      </c>
      <c r="H1772" t="s">
        <v>26</v>
      </c>
      <c r="I1772" t="s">
        <v>3167</v>
      </c>
      <c r="J1772" t="s">
        <v>1003</v>
      </c>
      <c r="K1772" t="s">
        <v>3175</v>
      </c>
      <c r="L1772" t="s">
        <v>1003</v>
      </c>
      <c r="M1772" t="s">
        <v>1000</v>
      </c>
      <c r="N1772" t="s">
        <v>1001</v>
      </c>
      <c r="O1772" t="s">
        <v>1001</v>
      </c>
      <c r="P1772" t="s">
        <v>1089</v>
      </c>
      <c r="Q1772" t="s">
        <v>3169</v>
      </c>
      <c r="R1772" t="s">
        <v>446</v>
      </c>
      <c r="S1772" t="s">
        <v>446</v>
      </c>
      <c r="T1772" t="s">
        <v>1965</v>
      </c>
      <c r="U1772" t="b">
        <v>0</v>
      </c>
      <c r="V1772" t="s">
        <v>446</v>
      </c>
    </row>
    <row r="1773" spans="1:22" x14ac:dyDescent="0.25">
      <c r="A1773" t="s">
        <v>42</v>
      </c>
      <c r="B1773">
        <v>216</v>
      </c>
      <c r="C1773" t="s">
        <v>1007</v>
      </c>
      <c r="D1773" t="s">
        <v>4956</v>
      </c>
      <c r="E1773" t="s">
        <v>1006</v>
      </c>
      <c r="F1773" t="s">
        <v>3218</v>
      </c>
      <c r="G1773" t="s">
        <v>24</v>
      </c>
      <c r="H1773" t="s">
        <v>26</v>
      </c>
      <c r="I1773" t="s">
        <v>3167</v>
      </c>
      <c r="J1773" t="s">
        <v>1011</v>
      </c>
      <c r="K1773" t="s">
        <v>3179</v>
      </c>
      <c r="L1773" t="s">
        <v>1011</v>
      </c>
      <c r="M1773" t="s">
        <v>1008</v>
      </c>
      <c r="N1773" t="s">
        <v>1009</v>
      </c>
      <c r="O1773" t="s">
        <v>1009</v>
      </c>
      <c r="P1773" t="s">
        <v>1089</v>
      </c>
      <c r="Q1773" t="s">
        <v>3169</v>
      </c>
      <c r="R1773" t="s">
        <v>446</v>
      </c>
      <c r="S1773" t="s">
        <v>446</v>
      </c>
      <c r="T1773" t="s">
        <v>1965</v>
      </c>
      <c r="U1773" t="b">
        <v>0</v>
      </c>
      <c r="V1773" t="s">
        <v>446</v>
      </c>
    </row>
    <row r="1774" spans="1:22" x14ac:dyDescent="0.25">
      <c r="A1774" t="s">
        <v>42</v>
      </c>
      <c r="B1774">
        <v>216</v>
      </c>
      <c r="C1774" t="s">
        <v>1014</v>
      </c>
      <c r="D1774" t="s">
        <v>4957</v>
      </c>
      <c r="E1774" t="s">
        <v>1013</v>
      </c>
      <c r="F1774" t="s">
        <v>3218</v>
      </c>
      <c r="G1774" t="s">
        <v>24</v>
      </c>
      <c r="H1774" t="s">
        <v>26</v>
      </c>
      <c r="I1774" t="s">
        <v>3167</v>
      </c>
      <c r="J1774" t="s">
        <v>1016</v>
      </c>
      <c r="K1774" t="s">
        <v>3181</v>
      </c>
      <c r="L1774" t="s">
        <v>1016</v>
      </c>
      <c r="M1774" t="s">
        <v>980</v>
      </c>
      <c r="N1774" t="s">
        <v>1015</v>
      </c>
      <c r="O1774" t="s">
        <v>1015</v>
      </c>
      <c r="P1774" t="s">
        <v>1089</v>
      </c>
      <c r="Q1774" t="s">
        <v>3169</v>
      </c>
      <c r="R1774" t="s">
        <v>446</v>
      </c>
      <c r="S1774" t="s">
        <v>446</v>
      </c>
      <c r="T1774" t="s">
        <v>1965</v>
      </c>
      <c r="U1774" t="b">
        <v>0</v>
      </c>
      <c r="V1774" t="s">
        <v>446</v>
      </c>
    </row>
    <row r="1775" spans="1:22" x14ac:dyDescent="0.25">
      <c r="A1775" t="s">
        <v>42</v>
      </c>
      <c r="B1775">
        <v>216</v>
      </c>
      <c r="C1775" t="s">
        <v>1019</v>
      </c>
      <c r="D1775" t="s">
        <v>4958</v>
      </c>
      <c r="E1775" t="s">
        <v>1018</v>
      </c>
      <c r="F1775" t="s">
        <v>3218</v>
      </c>
      <c r="G1775" t="s">
        <v>24</v>
      </c>
      <c r="H1775" t="s">
        <v>26</v>
      </c>
      <c r="I1775" t="s">
        <v>3167</v>
      </c>
      <c r="J1775" t="s">
        <v>1021</v>
      </c>
      <c r="K1775" t="s">
        <v>3183</v>
      </c>
      <c r="L1775" t="s">
        <v>1021</v>
      </c>
      <c r="M1775" t="s">
        <v>980</v>
      </c>
      <c r="N1775" t="s">
        <v>1020</v>
      </c>
      <c r="O1775" t="s">
        <v>1020</v>
      </c>
      <c r="P1775" t="s">
        <v>1089</v>
      </c>
      <c r="Q1775" t="s">
        <v>3169</v>
      </c>
      <c r="R1775" t="s">
        <v>446</v>
      </c>
      <c r="S1775" t="s">
        <v>446</v>
      </c>
      <c r="T1775" t="s">
        <v>1965</v>
      </c>
      <c r="U1775" t="b">
        <v>0</v>
      </c>
      <c r="V1775" t="s">
        <v>446</v>
      </c>
    </row>
    <row r="1776" spans="1:22" x14ac:dyDescent="0.25">
      <c r="A1776" t="s">
        <v>42</v>
      </c>
      <c r="B1776">
        <v>216</v>
      </c>
      <c r="C1776" t="s">
        <v>1024</v>
      </c>
      <c r="D1776" t="s">
        <v>4959</v>
      </c>
      <c r="E1776" t="s">
        <v>1023</v>
      </c>
      <c r="F1776" t="s">
        <v>3218</v>
      </c>
      <c r="G1776" t="s">
        <v>24</v>
      </c>
      <c r="H1776" t="s">
        <v>26</v>
      </c>
      <c r="I1776" t="s">
        <v>3167</v>
      </c>
      <c r="J1776" t="s">
        <v>1026</v>
      </c>
      <c r="K1776" t="s">
        <v>3185</v>
      </c>
      <c r="L1776" t="s">
        <v>1026</v>
      </c>
      <c r="M1776" t="s">
        <v>1000</v>
      </c>
      <c r="N1776" t="s">
        <v>1025</v>
      </c>
      <c r="O1776" t="s">
        <v>1025</v>
      </c>
      <c r="P1776" t="s">
        <v>1089</v>
      </c>
      <c r="Q1776" t="s">
        <v>3169</v>
      </c>
      <c r="R1776" t="s">
        <v>446</v>
      </c>
      <c r="S1776" t="s">
        <v>446</v>
      </c>
      <c r="T1776" t="s">
        <v>1965</v>
      </c>
      <c r="U1776" t="b">
        <v>0</v>
      </c>
      <c r="V1776" t="s">
        <v>446</v>
      </c>
    </row>
    <row r="1777" spans="1:22" x14ac:dyDescent="0.25">
      <c r="A1777" t="s">
        <v>42</v>
      </c>
      <c r="B1777">
        <v>216</v>
      </c>
      <c r="C1777" t="s">
        <v>1028</v>
      </c>
      <c r="D1777" t="s">
        <v>4960</v>
      </c>
      <c r="E1777" t="s">
        <v>1010</v>
      </c>
      <c r="F1777" t="s">
        <v>3178</v>
      </c>
      <c r="G1777" t="s">
        <v>24</v>
      </c>
      <c r="H1777" t="s">
        <v>26</v>
      </c>
      <c r="I1777" t="s">
        <v>3167</v>
      </c>
      <c r="J1777" t="s">
        <v>1026</v>
      </c>
      <c r="K1777" t="s">
        <v>3185</v>
      </c>
      <c r="L1777" t="s">
        <v>1026</v>
      </c>
      <c r="M1777" t="s">
        <v>1000</v>
      </c>
      <c r="N1777" t="s">
        <v>1025</v>
      </c>
      <c r="O1777" t="s">
        <v>1025</v>
      </c>
      <c r="P1777" t="s">
        <v>1089</v>
      </c>
      <c r="Q1777" t="s">
        <v>3169</v>
      </c>
      <c r="R1777" t="s">
        <v>446</v>
      </c>
      <c r="S1777" t="s">
        <v>446</v>
      </c>
      <c r="T1777" t="s">
        <v>1965</v>
      </c>
      <c r="U1777" t="b">
        <v>0</v>
      </c>
      <c r="V1777" t="s">
        <v>446</v>
      </c>
    </row>
    <row r="1778" spans="1:22" x14ac:dyDescent="0.25">
      <c r="A1778" t="s">
        <v>42</v>
      </c>
      <c r="B1778">
        <v>216</v>
      </c>
      <c r="C1778" t="s">
        <v>1030</v>
      </c>
      <c r="D1778" t="s">
        <v>4961</v>
      </c>
      <c r="E1778" t="s">
        <v>1029</v>
      </c>
      <c r="F1778" t="s">
        <v>3218</v>
      </c>
      <c r="G1778" t="s">
        <v>24</v>
      </c>
      <c r="H1778" t="s">
        <v>26</v>
      </c>
      <c r="I1778" t="s">
        <v>3167</v>
      </c>
      <c r="J1778" t="s">
        <v>1033</v>
      </c>
      <c r="K1778" t="s">
        <v>3189</v>
      </c>
      <c r="L1778" t="s">
        <v>1033</v>
      </c>
      <c r="M1778" t="s">
        <v>980</v>
      </c>
      <c r="N1778" t="s">
        <v>1031</v>
      </c>
      <c r="O1778" t="s">
        <v>1031</v>
      </c>
      <c r="P1778" t="s">
        <v>1089</v>
      </c>
      <c r="Q1778" t="s">
        <v>3169</v>
      </c>
      <c r="R1778" t="s">
        <v>446</v>
      </c>
      <c r="S1778" t="s">
        <v>446</v>
      </c>
      <c r="T1778" t="s">
        <v>1965</v>
      </c>
      <c r="U1778" t="b">
        <v>0</v>
      </c>
      <c r="V1778" t="s">
        <v>446</v>
      </c>
    </row>
    <row r="1779" spans="1:22" x14ac:dyDescent="0.25">
      <c r="A1779" t="s">
        <v>42</v>
      </c>
      <c r="B1779">
        <v>216</v>
      </c>
      <c r="C1779" t="s">
        <v>1036</v>
      </c>
      <c r="D1779" t="s">
        <v>4962</v>
      </c>
      <c r="E1779" t="s">
        <v>1035</v>
      </c>
      <c r="F1779" t="s">
        <v>3218</v>
      </c>
      <c r="G1779" t="s">
        <v>24</v>
      </c>
      <c r="H1779" t="s">
        <v>26</v>
      </c>
      <c r="I1779" t="s">
        <v>3167</v>
      </c>
      <c r="J1779" t="s">
        <v>1038</v>
      </c>
      <c r="K1779" t="s">
        <v>3191</v>
      </c>
      <c r="L1779" t="s">
        <v>1038</v>
      </c>
      <c r="M1779" t="s">
        <v>980</v>
      </c>
      <c r="N1779" t="s">
        <v>1037</v>
      </c>
      <c r="O1779" t="s">
        <v>1037</v>
      </c>
      <c r="P1779" t="s">
        <v>1089</v>
      </c>
      <c r="Q1779" t="s">
        <v>3169</v>
      </c>
      <c r="R1779" t="s">
        <v>446</v>
      </c>
      <c r="S1779" t="s">
        <v>446</v>
      </c>
      <c r="T1779" t="s">
        <v>1965</v>
      </c>
      <c r="U1779" t="b">
        <v>0</v>
      </c>
      <c r="V1779" t="s">
        <v>446</v>
      </c>
    </row>
    <row r="1780" spans="1:22" x14ac:dyDescent="0.25">
      <c r="A1780" t="s">
        <v>42</v>
      </c>
      <c r="B1780">
        <v>216</v>
      </c>
      <c r="C1780" t="s">
        <v>1041</v>
      </c>
      <c r="D1780" t="s">
        <v>4963</v>
      </c>
      <c r="E1780" t="s">
        <v>1040</v>
      </c>
      <c r="F1780" t="s">
        <v>3218</v>
      </c>
      <c r="G1780" t="s">
        <v>24</v>
      </c>
      <c r="H1780" t="s">
        <v>26</v>
      </c>
      <c r="I1780" t="s">
        <v>3167</v>
      </c>
      <c r="J1780" t="s">
        <v>1043</v>
      </c>
      <c r="K1780" t="s">
        <v>3193</v>
      </c>
      <c r="L1780" t="s">
        <v>1043</v>
      </c>
      <c r="M1780" t="s">
        <v>980</v>
      </c>
      <c r="N1780" t="s">
        <v>1042</v>
      </c>
      <c r="O1780" t="s">
        <v>1042</v>
      </c>
      <c r="P1780" t="s">
        <v>1089</v>
      </c>
      <c r="Q1780" t="s">
        <v>3169</v>
      </c>
      <c r="R1780" t="s">
        <v>446</v>
      </c>
      <c r="S1780" t="s">
        <v>446</v>
      </c>
      <c r="T1780" t="s">
        <v>1965</v>
      </c>
      <c r="U1780" t="b">
        <v>0</v>
      </c>
      <c r="V1780" t="s">
        <v>446</v>
      </c>
    </row>
    <row r="1781" spans="1:22" x14ac:dyDescent="0.25">
      <c r="A1781" t="s">
        <v>42</v>
      </c>
      <c r="B1781">
        <v>216</v>
      </c>
      <c r="C1781" t="s">
        <v>1046</v>
      </c>
      <c r="D1781" t="s">
        <v>4964</v>
      </c>
      <c r="E1781" t="s">
        <v>1045</v>
      </c>
      <c r="F1781" t="s">
        <v>3218</v>
      </c>
      <c r="G1781" t="s">
        <v>24</v>
      </c>
      <c r="H1781" t="s">
        <v>26</v>
      </c>
      <c r="I1781" t="s">
        <v>3167</v>
      </c>
      <c r="J1781" t="s">
        <v>1048</v>
      </c>
      <c r="K1781" t="s">
        <v>3195</v>
      </c>
      <c r="L1781" t="s">
        <v>1048</v>
      </c>
      <c r="M1781" t="s">
        <v>1000</v>
      </c>
      <c r="N1781" t="s">
        <v>1047</v>
      </c>
      <c r="O1781" t="s">
        <v>1047</v>
      </c>
      <c r="P1781" t="s">
        <v>1089</v>
      </c>
      <c r="Q1781" t="s">
        <v>3169</v>
      </c>
      <c r="R1781" t="s">
        <v>446</v>
      </c>
      <c r="S1781" t="s">
        <v>446</v>
      </c>
      <c r="T1781" t="s">
        <v>1965</v>
      </c>
      <c r="U1781" t="b">
        <v>0</v>
      </c>
      <c r="V1781" t="s">
        <v>446</v>
      </c>
    </row>
    <row r="1782" spans="1:22" x14ac:dyDescent="0.25">
      <c r="A1782" t="s">
        <v>42</v>
      </c>
      <c r="B1782">
        <v>216</v>
      </c>
      <c r="C1782" t="s">
        <v>1050</v>
      </c>
      <c r="D1782" t="s">
        <v>4965</v>
      </c>
      <c r="E1782" t="s">
        <v>1032</v>
      </c>
      <c r="F1782" t="s">
        <v>3188</v>
      </c>
      <c r="G1782" t="s">
        <v>24</v>
      </c>
      <c r="H1782" t="s">
        <v>26</v>
      </c>
      <c r="I1782" t="s">
        <v>3167</v>
      </c>
      <c r="J1782" t="s">
        <v>1048</v>
      </c>
      <c r="K1782" t="s">
        <v>3195</v>
      </c>
      <c r="L1782" t="s">
        <v>1048</v>
      </c>
      <c r="M1782" t="s">
        <v>1000</v>
      </c>
      <c r="N1782" t="s">
        <v>1047</v>
      </c>
      <c r="O1782" t="s">
        <v>1047</v>
      </c>
      <c r="P1782" t="s">
        <v>1089</v>
      </c>
      <c r="Q1782" t="s">
        <v>3169</v>
      </c>
      <c r="R1782" t="s">
        <v>446</v>
      </c>
      <c r="S1782" t="s">
        <v>446</v>
      </c>
      <c r="T1782" t="s">
        <v>1965</v>
      </c>
      <c r="U1782" t="b">
        <v>0</v>
      </c>
      <c r="V1782" t="s">
        <v>446</v>
      </c>
    </row>
    <row r="1783" spans="1:22" x14ac:dyDescent="0.25">
      <c r="A1783" t="s">
        <v>42</v>
      </c>
      <c r="B1783">
        <v>216</v>
      </c>
      <c r="C1783" t="s">
        <v>1052</v>
      </c>
      <c r="D1783" t="s">
        <v>4966</v>
      </c>
      <c r="E1783" t="s">
        <v>1051</v>
      </c>
      <c r="F1783" t="s">
        <v>3218</v>
      </c>
      <c r="G1783" t="s">
        <v>24</v>
      </c>
      <c r="H1783" t="s">
        <v>26</v>
      </c>
      <c r="I1783" t="s">
        <v>3167</v>
      </c>
      <c r="J1783" t="s">
        <v>1055</v>
      </c>
      <c r="K1783" t="s">
        <v>3199</v>
      </c>
      <c r="L1783" t="s">
        <v>1055</v>
      </c>
      <c r="M1783" t="s">
        <v>980</v>
      </c>
      <c r="N1783" t="s">
        <v>1053</v>
      </c>
      <c r="O1783" t="s">
        <v>1053</v>
      </c>
      <c r="P1783" t="s">
        <v>1089</v>
      </c>
      <c r="Q1783" t="s">
        <v>3169</v>
      </c>
      <c r="R1783" t="s">
        <v>446</v>
      </c>
      <c r="S1783" t="s">
        <v>446</v>
      </c>
      <c r="T1783" t="s">
        <v>1965</v>
      </c>
      <c r="U1783" t="b">
        <v>0</v>
      </c>
      <c r="V1783" t="s">
        <v>446</v>
      </c>
    </row>
    <row r="1784" spans="1:22" x14ac:dyDescent="0.25">
      <c r="A1784" t="s">
        <v>42</v>
      </c>
      <c r="B1784">
        <v>218</v>
      </c>
      <c r="C1784" t="s">
        <v>979</v>
      </c>
      <c r="D1784" t="s">
        <v>4967</v>
      </c>
      <c r="E1784" t="s">
        <v>978</v>
      </c>
      <c r="F1784" t="s">
        <v>4968</v>
      </c>
      <c r="G1784" t="s">
        <v>24</v>
      </c>
      <c r="H1784" t="s">
        <v>26</v>
      </c>
      <c r="I1784" t="s">
        <v>3167</v>
      </c>
      <c r="J1784" t="s">
        <v>984</v>
      </c>
      <c r="K1784" t="s">
        <v>3168</v>
      </c>
      <c r="L1784" t="s">
        <v>984</v>
      </c>
      <c r="M1784" t="s">
        <v>980</v>
      </c>
      <c r="N1784" t="s">
        <v>981</v>
      </c>
      <c r="O1784" t="s">
        <v>981</v>
      </c>
      <c r="P1784" t="s">
        <v>1089</v>
      </c>
      <c r="Q1784" t="s">
        <v>3169</v>
      </c>
      <c r="R1784" t="s">
        <v>446</v>
      </c>
      <c r="S1784" t="s">
        <v>446</v>
      </c>
      <c r="T1784" t="s">
        <v>1965</v>
      </c>
      <c r="U1784" t="b">
        <v>0</v>
      </c>
      <c r="V1784" t="s">
        <v>446</v>
      </c>
    </row>
    <row r="1785" spans="1:22" x14ac:dyDescent="0.25">
      <c r="A1785" t="s">
        <v>42</v>
      </c>
      <c r="B1785">
        <v>218</v>
      </c>
      <c r="C1785" t="s">
        <v>987</v>
      </c>
      <c r="D1785" t="s">
        <v>4969</v>
      </c>
      <c r="E1785" t="s">
        <v>986</v>
      </c>
      <c r="F1785" t="s">
        <v>4970</v>
      </c>
      <c r="G1785" t="s">
        <v>24</v>
      </c>
      <c r="H1785" t="s">
        <v>26</v>
      </c>
      <c r="I1785" t="s">
        <v>3167</v>
      </c>
      <c r="J1785" t="s">
        <v>990</v>
      </c>
      <c r="K1785" t="s">
        <v>3171</v>
      </c>
      <c r="L1785" t="s">
        <v>990</v>
      </c>
      <c r="M1785" t="s">
        <v>980</v>
      </c>
      <c r="N1785" t="s">
        <v>988</v>
      </c>
      <c r="O1785" t="s">
        <v>988</v>
      </c>
      <c r="P1785" t="s">
        <v>1089</v>
      </c>
      <c r="Q1785" t="s">
        <v>3169</v>
      </c>
      <c r="R1785" t="s">
        <v>446</v>
      </c>
      <c r="S1785" t="s">
        <v>446</v>
      </c>
      <c r="T1785" t="s">
        <v>1965</v>
      </c>
      <c r="U1785" t="b">
        <v>0</v>
      </c>
      <c r="V1785" t="s">
        <v>446</v>
      </c>
    </row>
    <row r="1786" spans="1:22" x14ac:dyDescent="0.25">
      <c r="A1786" t="s">
        <v>42</v>
      </c>
      <c r="B1786">
        <v>218</v>
      </c>
      <c r="C1786" t="s">
        <v>993</v>
      </c>
      <c r="D1786" t="s">
        <v>4971</v>
      </c>
      <c r="E1786" t="s">
        <v>992</v>
      </c>
      <c r="F1786" t="s">
        <v>4972</v>
      </c>
      <c r="G1786" t="s">
        <v>24</v>
      </c>
      <c r="H1786" t="s">
        <v>26</v>
      </c>
      <c r="I1786" t="s">
        <v>3167</v>
      </c>
      <c r="J1786" t="s">
        <v>996</v>
      </c>
      <c r="K1786" t="s">
        <v>3173</v>
      </c>
      <c r="L1786" t="s">
        <v>996</v>
      </c>
      <c r="M1786" t="s">
        <v>980</v>
      </c>
      <c r="N1786" t="s">
        <v>994</v>
      </c>
      <c r="O1786" t="s">
        <v>994</v>
      </c>
      <c r="P1786" t="s">
        <v>1089</v>
      </c>
      <c r="Q1786" t="s">
        <v>3169</v>
      </c>
      <c r="R1786" t="s">
        <v>446</v>
      </c>
      <c r="S1786" t="s">
        <v>446</v>
      </c>
      <c r="T1786" t="s">
        <v>1965</v>
      </c>
      <c r="U1786" t="b">
        <v>0</v>
      </c>
      <c r="V1786" t="s">
        <v>446</v>
      </c>
    </row>
    <row r="1787" spans="1:22" x14ac:dyDescent="0.25">
      <c r="A1787" t="s">
        <v>42</v>
      </c>
      <c r="B1787">
        <v>218</v>
      </c>
      <c r="C1787" t="s">
        <v>999</v>
      </c>
      <c r="D1787" t="s">
        <v>4973</v>
      </c>
      <c r="E1787" t="s">
        <v>998</v>
      </c>
      <c r="F1787" t="s">
        <v>4048</v>
      </c>
      <c r="G1787" t="s">
        <v>24</v>
      </c>
      <c r="H1787" t="s">
        <v>26</v>
      </c>
      <c r="I1787" t="s">
        <v>3167</v>
      </c>
      <c r="J1787" t="s">
        <v>1003</v>
      </c>
      <c r="K1787" t="s">
        <v>3175</v>
      </c>
      <c r="L1787" t="s">
        <v>1003</v>
      </c>
      <c r="M1787" t="s">
        <v>1000</v>
      </c>
      <c r="N1787" t="s">
        <v>1001</v>
      </c>
      <c r="O1787" t="s">
        <v>1001</v>
      </c>
      <c r="P1787" t="s">
        <v>1089</v>
      </c>
      <c r="Q1787" t="s">
        <v>3169</v>
      </c>
      <c r="R1787" t="s">
        <v>446</v>
      </c>
      <c r="S1787" t="s">
        <v>446</v>
      </c>
      <c r="T1787" t="s">
        <v>1965</v>
      </c>
      <c r="U1787" t="b">
        <v>0</v>
      </c>
      <c r="V1787" t="s">
        <v>446</v>
      </c>
    </row>
    <row r="1788" spans="1:22" x14ac:dyDescent="0.25">
      <c r="A1788" t="s">
        <v>42</v>
      </c>
      <c r="B1788">
        <v>218</v>
      </c>
      <c r="C1788" t="s">
        <v>1005</v>
      </c>
      <c r="D1788" t="s">
        <v>4974</v>
      </c>
      <c r="E1788" t="s">
        <v>982</v>
      </c>
      <c r="F1788" t="s">
        <v>4048</v>
      </c>
      <c r="G1788" t="s">
        <v>24</v>
      </c>
      <c r="H1788" t="s">
        <v>26</v>
      </c>
      <c r="I1788" t="s">
        <v>3167</v>
      </c>
      <c r="J1788" t="s">
        <v>1003</v>
      </c>
      <c r="K1788" t="s">
        <v>3175</v>
      </c>
      <c r="L1788" t="s">
        <v>1003</v>
      </c>
      <c r="M1788" t="s">
        <v>1000</v>
      </c>
      <c r="N1788" t="s">
        <v>1001</v>
      </c>
      <c r="O1788" t="s">
        <v>1001</v>
      </c>
      <c r="P1788" t="s">
        <v>1089</v>
      </c>
      <c r="Q1788" t="s">
        <v>3169</v>
      </c>
      <c r="R1788" t="s">
        <v>446</v>
      </c>
      <c r="S1788" t="s">
        <v>446</v>
      </c>
      <c r="T1788" t="s">
        <v>1965</v>
      </c>
      <c r="U1788" t="b">
        <v>0</v>
      </c>
      <c r="V1788" t="s">
        <v>446</v>
      </c>
    </row>
    <row r="1789" spans="1:22" x14ac:dyDescent="0.25">
      <c r="A1789" t="s">
        <v>42</v>
      </c>
      <c r="B1789">
        <v>218</v>
      </c>
      <c r="C1789" t="s">
        <v>1007</v>
      </c>
      <c r="D1789" t="s">
        <v>4975</v>
      </c>
      <c r="E1789" t="s">
        <v>1006</v>
      </c>
      <c r="F1789" t="s">
        <v>4976</v>
      </c>
      <c r="G1789" t="s">
        <v>24</v>
      </c>
      <c r="H1789" t="s">
        <v>26</v>
      </c>
      <c r="I1789" t="s">
        <v>3167</v>
      </c>
      <c r="J1789" t="s">
        <v>1011</v>
      </c>
      <c r="K1789" t="s">
        <v>3179</v>
      </c>
      <c r="L1789" t="s">
        <v>1011</v>
      </c>
      <c r="M1789" t="s">
        <v>1008</v>
      </c>
      <c r="N1789" t="s">
        <v>1009</v>
      </c>
      <c r="O1789" t="s">
        <v>1009</v>
      </c>
      <c r="P1789" t="s">
        <v>1089</v>
      </c>
      <c r="Q1789" t="s">
        <v>3169</v>
      </c>
      <c r="R1789" t="s">
        <v>446</v>
      </c>
      <c r="S1789" t="s">
        <v>446</v>
      </c>
      <c r="T1789" t="s">
        <v>1965</v>
      </c>
      <c r="U1789" t="b">
        <v>0</v>
      </c>
      <c r="V1789" t="s">
        <v>446</v>
      </c>
    </row>
    <row r="1790" spans="1:22" x14ac:dyDescent="0.25">
      <c r="A1790" t="s">
        <v>42</v>
      </c>
      <c r="B1790">
        <v>218</v>
      </c>
      <c r="C1790" t="s">
        <v>1014</v>
      </c>
      <c r="D1790" t="s">
        <v>4977</v>
      </c>
      <c r="E1790" t="s">
        <v>1013</v>
      </c>
      <c r="F1790" t="s">
        <v>4978</v>
      </c>
      <c r="G1790" t="s">
        <v>24</v>
      </c>
      <c r="H1790" t="s">
        <v>26</v>
      </c>
      <c r="I1790" t="s">
        <v>3167</v>
      </c>
      <c r="J1790" t="s">
        <v>1016</v>
      </c>
      <c r="K1790" t="s">
        <v>3181</v>
      </c>
      <c r="L1790" t="s">
        <v>1016</v>
      </c>
      <c r="M1790" t="s">
        <v>980</v>
      </c>
      <c r="N1790" t="s">
        <v>1015</v>
      </c>
      <c r="O1790" t="s">
        <v>1015</v>
      </c>
      <c r="P1790" t="s">
        <v>1089</v>
      </c>
      <c r="Q1790" t="s">
        <v>3169</v>
      </c>
      <c r="R1790" t="s">
        <v>446</v>
      </c>
      <c r="S1790" t="s">
        <v>446</v>
      </c>
      <c r="T1790" t="s">
        <v>1965</v>
      </c>
      <c r="U1790" t="b">
        <v>0</v>
      </c>
      <c r="V1790" t="s">
        <v>446</v>
      </c>
    </row>
    <row r="1791" spans="1:22" x14ac:dyDescent="0.25">
      <c r="A1791" t="s">
        <v>42</v>
      </c>
      <c r="B1791">
        <v>218</v>
      </c>
      <c r="C1791" t="s">
        <v>1019</v>
      </c>
      <c r="D1791" t="s">
        <v>4979</v>
      </c>
      <c r="E1791" t="s">
        <v>1018</v>
      </c>
      <c r="F1791" t="s">
        <v>4980</v>
      </c>
      <c r="G1791" t="s">
        <v>24</v>
      </c>
      <c r="H1791" t="s">
        <v>26</v>
      </c>
      <c r="I1791" t="s">
        <v>3167</v>
      </c>
      <c r="J1791" t="s">
        <v>1021</v>
      </c>
      <c r="K1791" t="s">
        <v>3183</v>
      </c>
      <c r="L1791" t="s">
        <v>1021</v>
      </c>
      <c r="M1791" t="s">
        <v>980</v>
      </c>
      <c r="N1791" t="s">
        <v>1020</v>
      </c>
      <c r="O1791" t="s">
        <v>1020</v>
      </c>
      <c r="P1791" t="s">
        <v>1089</v>
      </c>
      <c r="Q1791" t="s">
        <v>3169</v>
      </c>
      <c r="R1791" t="s">
        <v>446</v>
      </c>
      <c r="S1791" t="s">
        <v>446</v>
      </c>
      <c r="T1791" t="s">
        <v>1965</v>
      </c>
      <c r="U1791" t="b">
        <v>0</v>
      </c>
      <c r="V1791" t="s">
        <v>446</v>
      </c>
    </row>
    <row r="1792" spans="1:22" x14ac:dyDescent="0.25">
      <c r="A1792" t="s">
        <v>42</v>
      </c>
      <c r="B1792">
        <v>218</v>
      </c>
      <c r="C1792" t="s">
        <v>1024</v>
      </c>
      <c r="D1792" t="s">
        <v>4981</v>
      </c>
      <c r="E1792" t="s">
        <v>1023</v>
      </c>
      <c r="F1792" t="s">
        <v>4049</v>
      </c>
      <c r="G1792" t="s">
        <v>24</v>
      </c>
      <c r="H1792" t="s">
        <v>26</v>
      </c>
      <c r="I1792" t="s">
        <v>3167</v>
      </c>
      <c r="J1792" t="s">
        <v>1026</v>
      </c>
      <c r="K1792" t="s">
        <v>3185</v>
      </c>
      <c r="L1792" t="s">
        <v>1026</v>
      </c>
      <c r="M1792" t="s">
        <v>1000</v>
      </c>
      <c r="N1792" t="s">
        <v>1025</v>
      </c>
      <c r="O1792" t="s">
        <v>1025</v>
      </c>
      <c r="P1792" t="s">
        <v>1089</v>
      </c>
      <c r="Q1792" t="s">
        <v>3169</v>
      </c>
      <c r="R1792" t="s">
        <v>446</v>
      </c>
      <c r="S1792" t="s">
        <v>446</v>
      </c>
      <c r="T1792" t="s">
        <v>1965</v>
      </c>
      <c r="U1792" t="b">
        <v>0</v>
      </c>
      <c r="V1792" t="s">
        <v>446</v>
      </c>
    </row>
    <row r="1793" spans="1:22" x14ac:dyDescent="0.25">
      <c r="A1793" t="s">
        <v>42</v>
      </c>
      <c r="B1793">
        <v>218</v>
      </c>
      <c r="C1793" t="s">
        <v>1028</v>
      </c>
      <c r="D1793" t="s">
        <v>4982</v>
      </c>
      <c r="E1793" t="s">
        <v>1010</v>
      </c>
      <c r="F1793" t="s">
        <v>4049</v>
      </c>
      <c r="G1793" t="s">
        <v>24</v>
      </c>
      <c r="H1793" t="s">
        <v>26</v>
      </c>
      <c r="I1793" t="s">
        <v>3167</v>
      </c>
      <c r="J1793" t="s">
        <v>1026</v>
      </c>
      <c r="K1793" t="s">
        <v>3185</v>
      </c>
      <c r="L1793" t="s">
        <v>1026</v>
      </c>
      <c r="M1793" t="s">
        <v>1000</v>
      </c>
      <c r="N1793" t="s">
        <v>1025</v>
      </c>
      <c r="O1793" t="s">
        <v>1025</v>
      </c>
      <c r="P1793" t="s">
        <v>1089</v>
      </c>
      <c r="Q1793" t="s">
        <v>3169</v>
      </c>
      <c r="R1793" t="s">
        <v>446</v>
      </c>
      <c r="S1793" t="s">
        <v>446</v>
      </c>
      <c r="T1793" t="s">
        <v>1965</v>
      </c>
      <c r="U1793" t="b">
        <v>0</v>
      </c>
      <c r="V1793" t="s">
        <v>446</v>
      </c>
    </row>
    <row r="1794" spans="1:22" x14ac:dyDescent="0.25">
      <c r="A1794" t="s">
        <v>42</v>
      </c>
      <c r="B1794">
        <v>218</v>
      </c>
      <c r="C1794" t="s">
        <v>1030</v>
      </c>
      <c r="D1794" t="s">
        <v>4983</v>
      </c>
      <c r="E1794" t="s">
        <v>1029</v>
      </c>
      <c r="F1794" t="s">
        <v>4984</v>
      </c>
      <c r="G1794" t="s">
        <v>24</v>
      </c>
      <c r="H1794" t="s">
        <v>26</v>
      </c>
      <c r="I1794" t="s">
        <v>3167</v>
      </c>
      <c r="J1794" t="s">
        <v>1033</v>
      </c>
      <c r="K1794" t="s">
        <v>3189</v>
      </c>
      <c r="L1794" t="s">
        <v>1033</v>
      </c>
      <c r="M1794" t="s">
        <v>980</v>
      </c>
      <c r="N1794" t="s">
        <v>1031</v>
      </c>
      <c r="O1794" t="s">
        <v>1031</v>
      </c>
      <c r="P1794" t="s">
        <v>1089</v>
      </c>
      <c r="Q1794" t="s">
        <v>3169</v>
      </c>
      <c r="R1794" t="s">
        <v>446</v>
      </c>
      <c r="S1794" t="s">
        <v>446</v>
      </c>
      <c r="T1794" t="s">
        <v>1965</v>
      </c>
      <c r="U1794" t="b">
        <v>0</v>
      </c>
      <c r="V1794" t="s">
        <v>446</v>
      </c>
    </row>
    <row r="1795" spans="1:22" x14ac:dyDescent="0.25">
      <c r="A1795" t="s">
        <v>42</v>
      </c>
      <c r="B1795">
        <v>218</v>
      </c>
      <c r="C1795" t="s">
        <v>1036</v>
      </c>
      <c r="D1795" t="s">
        <v>4985</v>
      </c>
      <c r="E1795" t="s">
        <v>1035</v>
      </c>
      <c r="F1795" t="s">
        <v>4986</v>
      </c>
      <c r="G1795" t="s">
        <v>24</v>
      </c>
      <c r="H1795" t="s">
        <v>26</v>
      </c>
      <c r="I1795" t="s">
        <v>3167</v>
      </c>
      <c r="J1795" t="s">
        <v>1038</v>
      </c>
      <c r="K1795" t="s">
        <v>3191</v>
      </c>
      <c r="L1795" t="s">
        <v>1038</v>
      </c>
      <c r="M1795" t="s">
        <v>980</v>
      </c>
      <c r="N1795" t="s">
        <v>1037</v>
      </c>
      <c r="O1795" t="s">
        <v>1037</v>
      </c>
      <c r="P1795" t="s">
        <v>1089</v>
      </c>
      <c r="Q1795" t="s">
        <v>3169</v>
      </c>
      <c r="R1795" t="s">
        <v>446</v>
      </c>
      <c r="S1795" t="s">
        <v>446</v>
      </c>
      <c r="T1795" t="s">
        <v>1965</v>
      </c>
      <c r="U1795" t="b">
        <v>0</v>
      </c>
      <c r="V1795" t="s">
        <v>446</v>
      </c>
    </row>
    <row r="1796" spans="1:22" x14ac:dyDescent="0.25">
      <c r="A1796" t="s">
        <v>42</v>
      </c>
      <c r="B1796">
        <v>218</v>
      </c>
      <c r="C1796" t="s">
        <v>1041</v>
      </c>
      <c r="D1796" t="s">
        <v>4987</v>
      </c>
      <c r="E1796" t="s">
        <v>1040</v>
      </c>
      <c r="F1796" t="s">
        <v>4988</v>
      </c>
      <c r="G1796" t="s">
        <v>24</v>
      </c>
      <c r="H1796" t="s">
        <v>26</v>
      </c>
      <c r="I1796" t="s">
        <v>3167</v>
      </c>
      <c r="J1796" t="s">
        <v>1043</v>
      </c>
      <c r="K1796" t="s">
        <v>3193</v>
      </c>
      <c r="L1796" t="s">
        <v>1043</v>
      </c>
      <c r="M1796" t="s">
        <v>980</v>
      </c>
      <c r="N1796" t="s">
        <v>1042</v>
      </c>
      <c r="O1796" t="s">
        <v>1042</v>
      </c>
      <c r="P1796" t="s">
        <v>1089</v>
      </c>
      <c r="Q1796" t="s">
        <v>3169</v>
      </c>
      <c r="R1796" t="s">
        <v>446</v>
      </c>
      <c r="S1796" t="s">
        <v>446</v>
      </c>
      <c r="T1796" t="s">
        <v>1965</v>
      </c>
      <c r="U1796" t="b">
        <v>0</v>
      </c>
      <c r="V1796" t="s">
        <v>446</v>
      </c>
    </row>
    <row r="1797" spans="1:22" x14ac:dyDescent="0.25">
      <c r="A1797" t="s">
        <v>42</v>
      </c>
      <c r="B1797">
        <v>218</v>
      </c>
      <c r="C1797" t="s">
        <v>1046</v>
      </c>
      <c r="D1797" t="s">
        <v>4989</v>
      </c>
      <c r="E1797" t="s">
        <v>1045</v>
      </c>
      <c r="F1797" t="s">
        <v>4050</v>
      </c>
      <c r="G1797" t="s">
        <v>24</v>
      </c>
      <c r="H1797" t="s">
        <v>26</v>
      </c>
      <c r="I1797" t="s">
        <v>3167</v>
      </c>
      <c r="J1797" t="s">
        <v>1048</v>
      </c>
      <c r="K1797" t="s">
        <v>3195</v>
      </c>
      <c r="L1797" t="s">
        <v>1048</v>
      </c>
      <c r="M1797" t="s">
        <v>1000</v>
      </c>
      <c r="N1797" t="s">
        <v>1047</v>
      </c>
      <c r="O1797" t="s">
        <v>1047</v>
      </c>
      <c r="P1797" t="s">
        <v>1089</v>
      </c>
      <c r="Q1797" t="s">
        <v>3169</v>
      </c>
      <c r="R1797" t="s">
        <v>446</v>
      </c>
      <c r="S1797" t="s">
        <v>446</v>
      </c>
      <c r="T1797" t="s">
        <v>1965</v>
      </c>
      <c r="U1797" t="b">
        <v>0</v>
      </c>
      <c r="V1797" t="s">
        <v>446</v>
      </c>
    </row>
    <row r="1798" spans="1:22" x14ac:dyDescent="0.25">
      <c r="A1798" t="s">
        <v>42</v>
      </c>
      <c r="B1798">
        <v>218</v>
      </c>
      <c r="C1798" t="s">
        <v>1050</v>
      </c>
      <c r="D1798" t="s">
        <v>4990</v>
      </c>
      <c r="E1798" t="s">
        <v>1032</v>
      </c>
      <c r="F1798" t="s">
        <v>4050</v>
      </c>
      <c r="G1798" t="s">
        <v>24</v>
      </c>
      <c r="H1798" t="s">
        <v>26</v>
      </c>
      <c r="I1798" t="s">
        <v>3167</v>
      </c>
      <c r="J1798" t="s">
        <v>1048</v>
      </c>
      <c r="K1798" t="s">
        <v>3195</v>
      </c>
      <c r="L1798" t="s">
        <v>1048</v>
      </c>
      <c r="M1798" t="s">
        <v>1000</v>
      </c>
      <c r="N1798" t="s">
        <v>1047</v>
      </c>
      <c r="O1798" t="s">
        <v>1047</v>
      </c>
      <c r="P1798" t="s">
        <v>1089</v>
      </c>
      <c r="Q1798" t="s">
        <v>3169</v>
      </c>
      <c r="R1798" t="s">
        <v>446</v>
      </c>
      <c r="S1798" t="s">
        <v>446</v>
      </c>
      <c r="T1798" t="s">
        <v>1965</v>
      </c>
      <c r="U1798" t="b">
        <v>0</v>
      </c>
      <c r="V1798" t="s">
        <v>446</v>
      </c>
    </row>
    <row r="1799" spans="1:22" x14ac:dyDescent="0.25">
      <c r="A1799" t="s">
        <v>42</v>
      </c>
      <c r="B1799">
        <v>218</v>
      </c>
      <c r="C1799" t="s">
        <v>1052</v>
      </c>
      <c r="D1799" t="s">
        <v>4991</v>
      </c>
      <c r="E1799" t="s">
        <v>1051</v>
      </c>
      <c r="F1799" t="s">
        <v>4992</v>
      </c>
      <c r="G1799" t="s">
        <v>24</v>
      </c>
      <c r="H1799" t="s">
        <v>26</v>
      </c>
      <c r="I1799" t="s">
        <v>3167</v>
      </c>
      <c r="J1799" t="s">
        <v>1055</v>
      </c>
      <c r="K1799" t="s">
        <v>3199</v>
      </c>
      <c r="L1799" t="s">
        <v>1055</v>
      </c>
      <c r="M1799" t="s">
        <v>980</v>
      </c>
      <c r="N1799" t="s">
        <v>1053</v>
      </c>
      <c r="O1799" t="s">
        <v>1053</v>
      </c>
      <c r="P1799" t="s">
        <v>1089</v>
      </c>
      <c r="Q1799" t="s">
        <v>3169</v>
      </c>
      <c r="R1799" t="s">
        <v>446</v>
      </c>
      <c r="S1799" t="s">
        <v>446</v>
      </c>
      <c r="T1799" t="s">
        <v>1965</v>
      </c>
      <c r="U1799" t="b">
        <v>0</v>
      </c>
      <c r="V1799" t="s">
        <v>446</v>
      </c>
    </row>
    <row r="1800" spans="1:22" x14ac:dyDescent="0.25">
      <c r="A1800" t="s">
        <v>42</v>
      </c>
      <c r="B1800">
        <v>219</v>
      </c>
      <c r="C1800" t="s">
        <v>979</v>
      </c>
      <c r="D1800" t="s">
        <v>4993</v>
      </c>
      <c r="E1800" t="s">
        <v>978</v>
      </c>
      <c r="F1800" t="s">
        <v>4994</v>
      </c>
      <c r="G1800" t="s">
        <v>24</v>
      </c>
      <c r="H1800" t="s">
        <v>26</v>
      </c>
      <c r="I1800" t="s">
        <v>3167</v>
      </c>
      <c r="J1800" t="s">
        <v>984</v>
      </c>
      <c r="K1800" t="s">
        <v>3168</v>
      </c>
      <c r="L1800" t="s">
        <v>984</v>
      </c>
      <c r="M1800" t="s">
        <v>980</v>
      </c>
      <c r="N1800" t="s">
        <v>981</v>
      </c>
      <c r="O1800" t="s">
        <v>981</v>
      </c>
      <c r="P1800" t="s">
        <v>1089</v>
      </c>
      <c r="Q1800" t="s">
        <v>3169</v>
      </c>
      <c r="R1800" t="s">
        <v>446</v>
      </c>
      <c r="S1800" t="s">
        <v>446</v>
      </c>
      <c r="T1800" t="s">
        <v>1965</v>
      </c>
      <c r="U1800" t="b">
        <v>0</v>
      </c>
      <c r="V1800" t="s">
        <v>446</v>
      </c>
    </row>
    <row r="1801" spans="1:22" x14ac:dyDescent="0.25">
      <c r="A1801" t="s">
        <v>42</v>
      </c>
      <c r="B1801">
        <v>219</v>
      </c>
      <c r="C1801" t="s">
        <v>987</v>
      </c>
      <c r="D1801" t="s">
        <v>4995</v>
      </c>
      <c r="E1801" t="s">
        <v>986</v>
      </c>
      <c r="F1801" t="s">
        <v>4996</v>
      </c>
      <c r="G1801" t="s">
        <v>24</v>
      </c>
      <c r="H1801" t="s">
        <v>26</v>
      </c>
      <c r="I1801" t="s">
        <v>3167</v>
      </c>
      <c r="J1801" t="s">
        <v>990</v>
      </c>
      <c r="K1801" t="s">
        <v>3171</v>
      </c>
      <c r="L1801" t="s">
        <v>990</v>
      </c>
      <c r="M1801" t="s">
        <v>980</v>
      </c>
      <c r="N1801" t="s">
        <v>988</v>
      </c>
      <c r="O1801" t="s">
        <v>988</v>
      </c>
      <c r="P1801" t="s">
        <v>1089</v>
      </c>
      <c r="Q1801" t="s">
        <v>3169</v>
      </c>
      <c r="R1801" t="s">
        <v>446</v>
      </c>
      <c r="S1801" t="s">
        <v>446</v>
      </c>
      <c r="T1801" t="s">
        <v>1965</v>
      </c>
      <c r="U1801" t="b">
        <v>0</v>
      </c>
      <c r="V1801" t="s">
        <v>446</v>
      </c>
    </row>
    <row r="1802" spans="1:22" x14ac:dyDescent="0.25">
      <c r="A1802" t="s">
        <v>42</v>
      </c>
      <c r="B1802">
        <v>219</v>
      </c>
      <c r="C1802" t="s">
        <v>993</v>
      </c>
      <c r="D1802" t="s">
        <v>4997</v>
      </c>
      <c r="E1802" t="s">
        <v>992</v>
      </c>
      <c r="F1802" t="s">
        <v>4998</v>
      </c>
      <c r="G1802" t="s">
        <v>24</v>
      </c>
      <c r="H1802" t="s">
        <v>26</v>
      </c>
      <c r="I1802" t="s">
        <v>3167</v>
      </c>
      <c r="J1802" t="s">
        <v>996</v>
      </c>
      <c r="K1802" t="s">
        <v>3173</v>
      </c>
      <c r="L1802" t="s">
        <v>996</v>
      </c>
      <c r="M1802" t="s">
        <v>980</v>
      </c>
      <c r="N1802" t="s">
        <v>994</v>
      </c>
      <c r="O1802" t="s">
        <v>994</v>
      </c>
      <c r="P1802" t="s">
        <v>1089</v>
      </c>
      <c r="Q1802" t="s">
        <v>3169</v>
      </c>
      <c r="R1802" t="s">
        <v>446</v>
      </c>
      <c r="S1802" t="s">
        <v>446</v>
      </c>
      <c r="T1802" t="s">
        <v>1965</v>
      </c>
      <c r="U1802" t="b">
        <v>0</v>
      </c>
      <c r="V1802" t="s">
        <v>446</v>
      </c>
    </row>
    <row r="1803" spans="1:22" x14ac:dyDescent="0.25">
      <c r="A1803" t="s">
        <v>42</v>
      </c>
      <c r="B1803">
        <v>219</v>
      </c>
      <c r="C1803" t="s">
        <v>999</v>
      </c>
      <c r="D1803" t="s">
        <v>4999</v>
      </c>
      <c r="E1803" t="s">
        <v>998</v>
      </c>
      <c r="F1803" t="s">
        <v>5000</v>
      </c>
      <c r="G1803" t="s">
        <v>24</v>
      </c>
      <c r="H1803" t="s">
        <v>26</v>
      </c>
      <c r="I1803" t="s">
        <v>3167</v>
      </c>
      <c r="J1803" t="s">
        <v>1003</v>
      </c>
      <c r="K1803" t="s">
        <v>3175</v>
      </c>
      <c r="L1803" t="s">
        <v>1003</v>
      </c>
      <c r="M1803" t="s">
        <v>1000</v>
      </c>
      <c r="N1803" t="s">
        <v>1001</v>
      </c>
      <c r="O1803" t="s">
        <v>1001</v>
      </c>
      <c r="P1803" t="s">
        <v>1089</v>
      </c>
      <c r="Q1803" t="s">
        <v>3169</v>
      </c>
      <c r="R1803" t="s">
        <v>446</v>
      </c>
      <c r="S1803" t="s">
        <v>446</v>
      </c>
      <c r="T1803" t="s">
        <v>1965</v>
      </c>
      <c r="U1803" t="b">
        <v>0</v>
      </c>
      <c r="V1803" t="s">
        <v>446</v>
      </c>
    </row>
    <row r="1804" spans="1:22" x14ac:dyDescent="0.25">
      <c r="A1804" t="s">
        <v>42</v>
      </c>
      <c r="B1804">
        <v>219</v>
      </c>
      <c r="C1804" t="s">
        <v>1005</v>
      </c>
      <c r="D1804" t="s">
        <v>5001</v>
      </c>
      <c r="E1804" t="s">
        <v>982</v>
      </c>
      <c r="F1804" t="s">
        <v>5000</v>
      </c>
      <c r="G1804" t="s">
        <v>24</v>
      </c>
      <c r="H1804" t="s">
        <v>26</v>
      </c>
      <c r="I1804" t="s">
        <v>3167</v>
      </c>
      <c r="J1804" t="s">
        <v>1003</v>
      </c>
      <c r="K1804" t="s">
        <v>3175</v>
      </c>
      <c r="L1804" t="s">
        <v>1003</v>
      </c>
      <c r="M1804" t="s">
        <v>1000</v>
      </c>
      <c r="N1804" t="s">
        <v>1001</v>
      </c>
      <c r="O1804" t="s">
        <v>1001</v>
      </c>
      <c r="P1804" t="s">
        <v>1089</v>
      </c>
      <c r="Q1804" t="s">
        <v>3169</v>
      </c>
      <c r="R1804" t="s">
        <v>446</v>
      </c>
      <c r="S1804" t="s">
        <v>446</v>
      </c>
      <c r="T1804" t="s">
        <v>1965</v>
      </c>
      <c r="U1804" t="b">
        <v>0</v>
      </c>
      <c r="V1804" t="s">
        <v>446</v>
      </c>
    </row>
    <row r="1805" spans="1:22" x14ac:dyDescent="0.25">
      <c r="A1805" t="s">
        <v>42</v>
      </c>
      <c r="B1805">
        <v>219</v>
      </c>
      <c r="C1805" t="s">
        <v>1007</v>
      </c>
      <c r="D1805" t="s">
        <v>5002</v>
      </c>
      <c r="E1805" t="s">
        <v>1006</v>
      </c>
      <c r="F1805" t="s">
        <v>5003</v>
      </c>
      <c r="G1805" t="s">
        <v>24</v>
      </c>
      <c r="H1805" t="s">
        <v>26</v>
      </c>
      <c r="I1805" t="s">
        <v>3167</v>
      </c>
      <c r="J1805" t="s">
        <v>1011</v>
      </c>
      <c r="K1805" t="s">
        <v>3179</v>
      </c>
      <c r="L1805" t="s">
        <v>1011</v>
      </c>
      <c r="M1805" t="s">
        <v>1008</v>
      </c>
      <c r="N1805" t="s">
        <v>1009</v>
      </c>
      <c r="O1805" t="s">
        <v>1009</v>
      </c>
      <c r="P1805" t="s">
        <v>1089</v>
      </c>
      <c r="Q1805" t="s">
        <v>3169</v>
      </c>
      <c r="R1805" t="s">
        <v>446</v>
      </c>
      <c r="S1805" t="s">
        <v>446</v>
      </c>
      <c r="T1805" t="s">
        <v>1965</v>
      </c>
      <c r="U1805" t="b">
        <v>0</v>
      </c>
      <c r="V1805" t="s">
        <v>446</v>
      </c>
    </row>
    <row r="1806" spans="1:22" x14ac:dyDescent="0.25">
      <c r="A1806" t="s">
        <v>42</v>
      </c>
      <c r="B1806">
        <v>219</v>
      </c>
      <c r="C1806" t="s">
        <v>1014</v>
      </c>
      <c r="D1806" t="s">
        <v>5004</v>
      </c>
      <c r="E1806" t="s">
        <v>1013</v>
      </c>
      <c r="F1806" t="s">
        <v>5005</v>
      </c>
      <c r="G1806" t="s">
        <v>24</v>
      </c>
      <c r="H1806" t="s">
        <v>26</v>
      </c>
      <c r="I1806" t="s">
        <v>3167</v>
      </c>
      <c r="J1806" t="s">
        <v>1016</v>
      </c>
      <c r="K1806" t="s">
        <v>3181</v>
      </c>
      <c r="L1806" t="s">
        <v>1016</v>
      </c>
      <c r="M1806" t="s">
        <v>980</v>
      </c>
      <c r="N1806" t="s">
        <v>1015</v>
      </c>
      <c r="O1806" t="s">
        <v>1015</v>
      </c>
      <c r="P1806" t="s">
        <v>1089</v>
      </c>
      <c r="Q1806" t="s">
        <v>3169</v>
      </c>
      <c r="R1806" t="s">
        <v>446</v>
      </c>
      <c r="S1806" t="s">
        <v>446</v>
      </c>
      <c r="T1806" t="s">
        <v>1965</v>
      </c>
      <c r="U1806" t="b">
        <v>0</v>
      </c>
      <c r="V1806" t="s">
        <v>446</v>
      </c>
    </row>
    <row r="1807" spans="1:22" x14ac:dyDescent="0.25">
      <c r="A1807" t="s">
        <v>42</v>
      </c>
      <c r="B1807">
        <v>219</v>
      </c>
      <c r="C1807" t="s">
        <v>1019</v>
      </c>
      <c r="D1807" t="s">
        <v>5006</v>
      </c>
      <c r="E1807" t="s">
        <v>1018</v>
      </c>
      <c r="F1807" t="s">
        <v>5007</v>
      </c>
      <c r="G1807" t="s">
        <v>24</v>
      </c>
      <c r="H1807" t="s">
        <v>26</v>
      </c>
      <c r="I1807" t="s">
        <v>3167</v>
      </c>
      <c r="J1807" t="s">
        <v>1021</v>
      </c>
      <c r="K1807" t="s">
        <v>3183</v>
      </c>
      <c r="L1807" t="s">
        <v>1021</v>
      </c>
      <c r="M1807" t="s">
        <v>980</v>
      </c>
      <c r="N1807" t="s">
        <v>1020</v>
      </c>
      <c r="O1807" t="s">
        <v>1020</v>
      </c>
      <c r="P1807" t="s">
        <v>1089</v>
      </c>
      <c r="Q1807" t="s">
        <v>3169</v>
      </c>
      <c r="R1807" t="s">
        <v>446</v>
      </c>
      <c r="S1807" t="s">
        <v>446</v>
      </c>
      <c r="T1807" t="s">
        <v>1965</v>
      </c>
      <c r="U1807" t="b">
        <v>0</v>
      </c>
      <c r="V1807" t="s">
        <v>446</v>
      </c>
    </row>
    <row r="1808" spans="1:22" x14ac:dyDescent="0.25">
      <c r="A1808" t="s">
        <v>42</v>
      </c>
      <c r="B1808">
        <v>219</v>
      </c>
      <c r="C1808" t="s">
        <v>1024</v>
      </c>
      <c r="D1808" t="s">
        <v>5008</v>
      </c>
      <c r="E1808" t="s">
        <v>1023</v>
      </c>
      <c r="F1808" t="s">
        <v>5009</v>
      </c>
      <c r="G1808" t="s">
        <v>24</v>
      </c>
      <c r="H1808" t="s">
        <v>26</v>
      </c>
      <c r="I1808" t="s">
        <v>3167</v>
      </c>
      <c r="J1808" t="s">
        <v>1026</v>
      </c>
      <c r="K1808" t="s">
        <v>3185</v>
      </c>
      <c r="L1808" t="s">
        <v>1026</v>
      </c>
      <c r="M1808" t="s">
        <v>1000</v>
      </c>
      <c r="N1808" t="s">
        <v>1025</v>
      </c>
      <c r="O1808" t="s">
        <v>1025</v>
      </c>
      <c r="P1808" t="s">
        <v>1089</v>
      </c>
      <c r="Q1808" t="s">
        <v>3169</v>
      </c>
      <c r="R1808" t="s">
        <v>446</v>
      </c>
      <c r="S1808" t="s">
        <v>446</v>
      </c>
      <c r="T1808" t="s">
        <v>1965</v>
      </c>
      <c r="U1808" t="b">
        <v>0</v>
      </c>
      <c r="V1808" t="s">
        <v>446</v>
      </c>
    </row>
    <row r="1809" spans="1:22" x14ac:dyDescent="0.25">
      <c r="A1809" t="s">
        <v>42</v>
      </c>
      <c r="B1809">
        <v>219</v>
      </c>
      <c r="C1809" t="s">
        <v>1028</v>
      </c>
      <c r="D1809" t="s">
        <v>5010</v>
      </c>
      <c r="E1809" t="s">
        <v>1010</v>
      </c>
      <c r="F1809" t="s">
        <v>5009</v>
      </c>
      <c r="G1809" t="s">
        <v>24</v>
      </c>
      <c r="H1809" t="s">
        <v>26</v>
      </c>
      <c r="I1809" t="s">
        <v>3167</v>
      </c>
      <c r="J1809" t="s">
        <v>1026</v>
      </c>
      <c r="K1809" t="s">
        <v>3185</v>
      </c>
      <c r="L1809" t="s">
        <v>1026</v>
      </c>
      <c r="M1809" t="s">
        <v>1000</v>
      </c>
      <c r="N1809" t="s">
        <v>1025</v>
      </c>
      <c r="O1809" t="s">
        <v>1025</v>
      </c>
      <c r="P1809" t="s">
        <v>1089</v>
      </c>
      <c r="Q1809" t="s">
        <v>3169</v>
      </c>
      <c r="R1809" t="s">
        <v>446</v>
      </c>
      <c r="S1809" t="s">
        <v>446</v>
      </c>
      <c r="T1809" t="s">
        <v>1965</v>
      </c>
      <c r="U1809" t="b">
        <v>0</v>
      </c>
      <c r="V1809" t="s">
        <v>446</v>
      </c>
    </row>
    <row r="1810" spans="1:22" x14ac:dyDescent="0.25">
      <c r="A1810" t="s">
        <v>42</v>
      </c>
      <c r="B1810">
        <v>219</v>
      </c>
      <c r="C1810" t="s">
        <v>1030</v>
      </c>
      <c r="D1810" t="s">
        <v>5011</v>
      </c>
      <c r="E1810" t="s">
        <v>1029</v>
      </c>
      <c r="F1810" t="s">
        <v>5012</v>
      </c>
      <c r="G1810" t="s">
        <v>24</v>
      </c>
      <c r="H1810" t="s">
        <v>26</v>
      </c>
      <c r="I1810" t="s">
        <v>3167</v>
      </c>
      <c r="J1810" t="s">
        <v>1033</v>
      </c>
      <c r="K1810" t="s">
        <v>3189</v>
      </c>
      <c r="L1810" t="s">
        <v>1033</v>
      </c>
      <c r="M1810" t="s">
        <v>980</v>
      </c>
      <c r="N1810" t="s">
        <v>1031</v>
      </c>
      <c r="O1810" t="s">
        <v>1031</v>
      </c>
      <c r="P1810" t="s">
        <v>1089</v>
      </c>
      <c r="Q1810" t="s">
        <v>3169</v>
      </c>
      <c r="R1810" t="s">
        <v>446</v>
      </c>
      <c r="S1810" t="s">
        <v>446</v>
      </c>
      <c r="T1810" t="s">
        <v>1965</v>
      </c>
      <c r="U1810" t="b">
        <v>0</v>
      </c>
      <c r="V1810" t="s">
        <v>446</v>
      </c>
    </row>
    <row r="1811" spans="1:22" x14ac:dyDescent="0.25">
      <c r="A1811" t="s">
        <v>42</v>
      </c>
      <c r="B1811">
        <v>219</v>
      </c>
      <c r="C1811" t="s">
        <v>1036</v>
      </c>
      <c r="D1811" t="s">
        <v>5013</v>
      </c>
      <c r="E1811" t="s">
        <v>1035</v>
      </c>
      <c r="F1811" t="s">
        <v>5014</v>
      </c>
      <c r="G1811" t="s">
        <v>24</v>
      </c>
      <c r="H1811" t="s">
        <v>26</v>
      </c>
      <c r="I1811" t="s">
        <v>3167</v>
      </c>
      <c r="J1811" t="s">
        <v>1038</v>
      </c>
      <c r="K1811" t="s">
        <v>3191</v>
      </c>
      <c r="L1811" t="s">
        <v>1038</v>
      </c>
      <c r="M1811" t="s">
        <v>980</v>
      </c>
      <c r="N1811" t="s">
        <v>1037</v>
      </c>
      <c r="O1811" t="s">
        <v>1037</v>
      </c>
      <c r="P1811" t="s">
        <v>1089</v>
      </c>
      <c r="Q1811" t="s">
        <v>3169</v>
      </c>
      <c r="R1811" t="s">
        <v>446</v>
      </c>
      <c r="S1811" t="s">
        <v>446</v>
      </c>
      <c r="T1811" t="s">
        <v>1965</v>
      </c>
      <c r="U1811" t="b">
        <v>0</v>
      </c>
      <c r="V1811" t="s">
        <v>446</v>
      </c>
    </row>
    <row r="1812" spans="1:22" x14ac:dyDescent="0.25">
      <c r="A1812" t="s">
        <v>42</v>
      </c>
      <c r="B1812">
        <v>219</v>
      </c>
      <c r="C1812" t="s">
        <v>1041</v>
      </c>
      <c r="D1812" t="s">
        <v>5015</v>
      </c>
      <c r="E1812" t="s">
        <v>1040</v>
      </c>
      <c r="F1812" t="s">
        <v>5016</v>
      </c>
      <c r="G1812" t="s">
        <v>24</v>
      </c>
      <c r="H1812" t="s">
        <v>26</v>
      </c>
      <c r="I1812" t="s">
        <v>3167</v>
      </c>
      <c r="J1812" t="s">
        <v>1043</v>
      </c>
      <c r="K1812" t="s">
        <v>3193</v>
      </c>
      <c r="L1812" t="s">
        <v>1043</v>
      </c>
      <c r="M1812" t="s">
        <v>980</v>
      </c>
      <c r="N1812" t="s">
        <v>1042</v>
      </c>
      <c r="O1812" t="s">
        <v>1042</v>
      </c>
      <c r="P1812" t="s">
        <v>1089</v>
      </c>
      <c r="Q1812" t="s">
        <v>3169</v>
      </c>
      <c r="R1812" t="s">
        <v>446</v>
      </c>
      <c r="S1812" t="s">
        <v>446</v>
      </c>
      <c r="T1812" t="s">
        <v>1965</v>
      </c>
      <c r="U1812" t="b">
        <v>0</v>
      </c>
      <c r="V1812" t="s">
        <v>446</v>
      </c>
    </row>
    <row r="1813" spans="1:22" x14ac:dyDescent="0.25">
      <c r="A1813" t="s">
        <v>42</v>
      </c>
      <c r="B1813">
        <v>219</v>
      </c>
      <c r="C1813" t="s">
        <v>1046</v>
      </c>
      <c r="D1813" t="s">
        <v>5017</v>
      </c>
      <c r="E1813" t="s">
        <v>1045</v>
      </c>
      <c r="F1813" t="s">
        <v>4060</v>
      </c>
      <c r="G1813" t="s">
        <v>24</v>
      </c>
      <c r="H1813" t="s">
        <v>26</v>
      </c>
      <c r="I1813" t="s">
        <v>3167</v>
      </c>
      <c r="J1813" t="s">
        <v>1048</v>
      </c>
      <c r="K1813" t="s">
        <v>3195</v>
      </c>
      <c r="L1813" t="s">
        <v>1048</v>
      </c>
      <c r="M1813" t="s">
        <v>1000</v>
      </c>
      <c r="N1813" t="s">
        <v>1047</v>
      </c>
      <c r="O1813" t="s">
        <v>1047</v>
      </c>
      <c r="P1813" t="s">
        <v>1089</v>
      </c>
      <c r="Q1813" t="s">
        <v>3169</v>
      </c>
      <c r="R1813" t="s">
        <v>446</v>
      </c>
      <c r="S1813" t="s">
        <v>446</v>
      </c>
      <c r="T1813" t="s">
        <v>1965</v>
      </c>
      <c r="U1813" t="b">
        <v>0</v>
      </c>
      <c r="V1813" t="s">
        <v>446</v>
      </c>
    </row>
    <row r="1814" spans="1:22" x14ac:dyDescent="0.25">
      <c r="A1814" t="s">
        <v>42</v>
      </c>
      <c r="B1814">
        <v>219</v>
      </c>
      <c r="C1814" t="s">
        <v>1050</v>
      </c>
      <c r="D1814" t="s">
        <v>5018</v>
      </c>
      <c r="E1814" t="s">
        <v>1032</v>
      </c>
      <c r="F1814" t="s">
        <v>4060</v>
      </c>
      <c r="G1814" t="s">
        <v>24</v>
      </c>
      <c r="H1814" t="s">
        <v>26</v>
      </c>
      <c r="I1814" t="s">
        <v>3167</v>
      </c>
      <c r="J1814" t="s">
        <v>1048</v>
      </c>
      <c r="K1814" t="s">
        <v>3195</v>
      </c>
      <c r="L1814" t="s">
        <v>1048</v>
      </c>
      <c r="M1814" t="s">
        <v>1000</v>
      </c>
      <c r="N1814" t="s">
        <v>1047</v>
      </c>
      <c r="O1814" t="s">
        <v>1047</v>
      </c>
      <c r="P1814" t="s">
        <v>1089</v>
      </c>
      <c r="Q1814" t="s">
        <v>3169</v>
      </c>
      <c r="R1814" t="s">
        <v>446</v>
      </c>
      <c r="S1814" t="s">
        <v>446</v>
      </c>
      <c r="T1814" t="s">
        <v>1965</v>
      </c>
      <c r="U1814" t="b">
        <v>0</v>
      </c>
      <c r="V1814" t="s">
        <v>446</v>
      </c>
    </row>
    <row r="1815" spans="1:22" x14ac:dyDescent="0.25">
      <c r="A1815" t="s">
        <v>42</v>
      </c>
      <c r="B1815">
        <v>219</v>
      </c>
      <c r="C1815" t="s">
        <v>1052</v>
      </c>
      <c r="D1815" t="s">
        <v>5019</v>
      </c>
      <c r="E1815" t="s">
        <v>1051</v>
      </c>
      <c r="F1815" t="s">
        <v>5020</v>
      </c>
      <c r="G1815" t="s">
        <v>24</v>
      </c>
      <c r="H1815" t="s">
        <v>26</v>
      </c>
      <c r="I1815" t="s">
        <v>3167</v>
      </c>
      <c r="J1815" t="s">
        <v>1055</v>
      </c>
      <c r="K1815" t="s">
        <v>3199</v>
      </c>
      <c r="L1815" t="s">
        <v>1055</v>
      </c>
      <c r="M1815" t="s">
        <v>980</v>
      </c>
      <c r="N1815" t="s">
        <v>1053</v>
      </c>
      <c r="O1815" t="s">
        <v>1053</v>
      </c>
      <c r="P1815" t="s">
        <v>1089</v>
      </c>
      <c r="Q1815" t="s">
        <v>3169</v>
      </c>
      <c r="R1815" t="s">
        <v>446</v>
      </c>
      <c r="S1815" t="s">
        <v>446</v>
      </c>
      <c r="T1815" t="s">
        <v>1965</v>
      </c>
      <c r="U1815" t="b">
        <v>0</v>
      </c>
      <c r="V1815" t="s">
        <v>446</v>
      </c>
    </row>
    <row r="1816" spans="1:22" x14ac:dyDescent="0.25">
      <c r="A1816" t="s">
        <v>42</v>
      </c>
      <c r="B1816">
        <v>220</v>
      </c>
      <c r="C1816" t="s">
        <v>979</v>
      </c>
      <c r="D1816" t="s">
        <v>5021</v>
      </c>
      <c r="E1816" t="s">
        <v>978</v>
      </c>
      <c r="F1816" t="s">
        <v>5022</v>
      </c>
      <c r="G1816" t="s">
        <v>24</v>
      </c>
      <c r="H1816" t="s">
        <v>26</v>
      </c>
      <c r="I1816" t="s">
        <v>3167</v>
      </c>
      <c r="J1816" t="s">
        <v>984</v>
      </c>
      <c r="K1816" t="s">
        <v>3168</v>
      </c>
      <c r="L1816" t="s">
        <v>984</v>
      </c>
      <c r="M1816" t="s">
        <v>980</v>
      </c>
      <c r="N1816" t="s">
        <v>981</v>
      </c>
      <c r="O1816" t="s">
        <v>981</v>
      </c>
      <c r="P1816" t="s">
        <v>1089</v>
      </c>
      <c r="Q1816" t="s">
        <v>3169</v>
      </c>
      <c r="R1816" t="s">
        <v>446</v>
      </c>
      <c r="S1816" t="s">
        <v>446</v>
      </c>
      <c r="T1816" t="s">
        <v>1965</v>
      </c>
      <c r="U1816" t="b">
        <v>0</v>
      </c>
      <c r="V1816" t="s">
        <v>446</v>
      </c>
    </row>
    <row r="1817" spans="1:22" x14ac:dyDescent="0.25">
      <c r="A1817" t="s">
        <v>42</v>
      </c>
      <c r="B1817">
        <v>220</v>
      </c>
      <c r="C1817" t="s">
        <v>987</v>
      </c>
      <c r="D1817" t="s">
        <v>5023</v>
      </c>
      <c r="E1817" t="s">
        <v>986</v>
      </c>
      <c r="F1817" t="s">
        <v>5024</v>
      </c>
      <c r="G1817" t="s">
        <v>24</v>
      </c>
      <c r="H1817" t="s">
        <v>26</v>
      </c>
      <c r="I1817" t="s">
        <v>3167</v>
      </c>
      <c r="J1817" t="s">
        <v>990</v>
      </c>
      <c r="K1817" t="s">
        <v>3171</v>
      </c>
      <c r="L1817" t="s">
        <v>990</v>
      </c>
      <c r="M1817" t="s">
        <v>980</v>
      </c>
      <c r="N1817" t="s">
        <v>988</v>
      </c>
      <c r="O1817" t="s">
        <v>988</v>
      </c>
      <c r="P1817" t="s">
        <v>1089</v>
      </c>
      <c r="Q1817" t="s">
        <v>3169</v>
      </c>
      <c r="R1817" t="s">
        <v>446</v>
      </c>
      <c r="S1817" t="s">
        <v>446</v>
      </c>
      <c r="T1817" t="s">
        <v>1965</v>
      </c>
      <c r="U1817" t="b">
        <v>0</v>
      </c>
      <c r="V1817" t="s">
        <v>446</v>
      </c>
    </row>
    <row r="1818" spans="1:22" x14ac:dyDescent="0.25">
      <c r="A1818" t="s">
        <v>42</v>
      </c>
      <c r="B1818">
        <v>220</v>
      </c>
      <c r="C1818" t="s">
        <v>993</v>
      </c>
      <c r="D1818" t="s">
        <v>5025</v>
      </c>
      <c r="E1818" t="s">
        <v>992</v>
      </c>
      <c r="F1818" t="s">
        <v>5026</v>
      </c>
      <c r="G1818" t="s">
        <v>24</v>
      </c>
      <c r="H1818" t="s">
        <v>26</v>
      </c>
      <c r="I1818" t="s">
        <v>3167</v>
      </c>
      <c r="J1818" t="s">
        <v>996</v>
      </c>
      <c r="K1818" t="s">
        <v>3173</v>
      </c>
      <c r="L1818" t="s">
        <v>996</v>
      </c>
      <c r="M1818" t="s">
        <v>980</v>
      </c>
      <c r="N1818" t="s">
        <v>994</v>
      </c>
      <c r="O1818" t="s">
        <v>994</v>
      </c>
      <c r="P1818" t="s">
        <v>1089</v>
      </c>
      <c r="Q1818" t="s">
        <v>3169</v>
      </c>
      <c r="R1818" t="s">
        <v>446</v>
      </c>
      <c r="S1818" t="s">
        <v>446</v>
      </c>
      <c r="T1818" t="s">
        <v>1965</v>
      </c>
      <c r="U1818" t="b">
        <v>0</v>
      </c>
      <c r="V1818" t="s">
        <v>446</v>
      </c>
    </row>
    <row r="1819" spans="1:22" x14ac:dyDescent="0.25">
      <c r="A1819" t="s">
        <v>42</v>
      </c>
      <c r="B1819">
        <v>220</v>
      </c>
      <c r="C1819" t="s">
        <v>999</v>
      </c>
      <c r="D1819" t="s">
        <v>5027</v>
      </c>
      <c r="E1819" t="s">
        <v>998</v>
      </c>
      <c r="F1819" t="s">
        <v>5028</v>
      </c>
      <c r="G1819" t="s">
        <v>24</v>
      </c>
      <c r="H1819" t="s">
        <v>26</v>
      </c>
      <c r="I1819" t="s">
        <v>3167</v>
      </c>
      <c r="J1819" t="s">
        <v>1003</v>
      </c>
      <c r="K1819" t="s">
        <v>3175</v>
      </c>
      <c r="L1819" t="s">
        <v>1003</v>
      </c>
      <c r="M1819" t="s">
        <v>1000</v>
      </c>
      <c r="N1819" t="s">
        <v>1001</v>
      </c>
      <c r="O1819" t="s">
        <v>1001</v>
      </c>
      <c r="P1819" t="s">
        <v>1089</v>
      </c>
      <c r="Q1819" t="s">
        <v>3169</v>
      </c>
      <c r="R1819" t="s">
        <v>446</v>
      </c>
      <c r="S1819" t="s">
        <v>446</v>
      </c>
      <c r="T1819" t="s">
        <v>1965</v>
      </c>
      <c r="U1819" t="b">
        <v>0</v>
      </c>
      <c r="V1819" t="s">
        <v>446</v>
      </c>
    </row>
    <row r="1820" spans="1:22" x14ac:dyDescent="0.25">
      <c r="A1820" t="s">
        <v>42</v>
      </c>
      <c r="B1820">
        <v>220</v>
      </c>
      <c r="C1820" t="s">
        <v>1005</v>
      </c>
      <c r="D1820" t="s">
        <v>5029</v>
      </c>
      <c r="E1820" t="s">
        <v>982</v>
      </c>
      <c r="F1820" t="s">
        <v>5028</v>
      </c>
      <c r="G1820" t="s">
        <v>24</v>
      </c>
      <c r="H1820" t="s">
        <v>26</v>
      </c>
      <c r="I1820" t="s">
        <v>3167</v>
      </c>
      <c r="J1820" t="s">
        <v>1003</v>
      </c>
      <c r="K1820" t="s">
        <v>3175</v>
      </c>
      <c r="L1820" t="s">
        <v>1003</v>
      </c>
      <c r="M1820" t="s">
        <v>1000</v>
      </c>
      <c r="N1820" t="s">
        <v>1001</v>
      </c>
      <c r="O1820" t="s">
        <v>1001</v>
      </c>
      <c r="P1820" t="s">
        <v>1089</v>
      </c>
      <c r="Q1820" t="s">
        <v>3169</v>
      </c>
      <c r="R1820" t="s">
        <v>446</v>
      </c>
      <c r="S1820" t="s">
        <v>446</v>
      </c>
      <c r="T1820" t="s">
        <v>1965</v>
      </c>
      <c r="U1820" t="b">
        <v>0</v>
      </c>
      <c r="V1820" t="s">
        <v>446</v>
      </c>
    </row>
    <row r="1821" spans="1:22" x14ac:dyDescent="0.25">
      <c r="A1821" t="s">
        <v>42</v>
      </c>
      <c r="B1821">
        <v>220</v>
      </c>
      <c r="C1821" t="s">
        <v>1007</v>
      </c>
      <c r="D1821" t="s">
        <v>5030</v>
      </c>
      <c r="E1821" t="s">
        <v>1006</v>
      </c>
      <c r="F1821" t="s">
        <v>5031</v>
      </c>
      <c r="G1821" t="s">
        <v>24</v>
      </c>
      <c r="H1821" t="s">
        <v>26</v>
      </c>
      <c r="I1821" t="s">
        <v>3167</v>
      </c>
      <c r="J1821" t="s">
        <v>1011</v>
      </c>
      <c r="K1821" t="s">
        <v>3179</v>
      </c>
      <c r="L1821" t="s">
        <v>1011</v>
      </c>
      <c r="M1821" t="s">
        <v>1008</v>
      </c>
      <c r="N1821" t="s">
        <v>1009</v>
      </c>
      <c r="O1821" t="s">
        <v>1009</v>
      </c>
      <c r="P1821" t="s">
        <v>1089</v>
      </c>
      <c r="Q1821" t="s">
        <v>3169</v>
      </c>
      <c r="R1821" t="s">
        <v>446</v>
      </c>
      <c r="S1821" t="s">
        <v>446</v>
      </c>
      <c r="T1821" t="s">
        <v>1965</v>
      </c>
      <c r="U1821" t="b">
        <v>0</v>
      </c>
      <c r="V1821" t="s">
        <v>446</v>
      </c>
    </row>
    <row r="1822" spans="1:22" x14ac:dyDescent="0.25">
      <c r="A1822" t="s">
        <v>42</v>
      </c>
      <c r="B1822">
        <v>220</v>
      </c>
      <c r="C1822" t="s">
        <v>1014</v>
      </c>
      <c r="D1822" t="s">
        <v>5032</v>
      </c>
      <c r="E1822" t="s">
        <v>1013</v>
      </c>
      <c r="F1822" t="s">
        <v>5033</v>
      </c>
      <c r="G1822" t="s">
        <v>24</v>
      </c>
      <c r="H1822" t="s">
        <v>26</v>
      </c>
      <c r="I1822" t="s">
        <v>3167</v>
      </c>
      <c r="J1822" t="s">
        <v>1016</v>
      </c>
      <c r="K1822" t="s">
        <v>3181</v>
      </c>
      <c r="L1822" t="s">
        <v>1016</v>
      </c>
      <c r="M1822" t="s">
        <v>980</v>
      </c>
      <c r="N1822" t="s">
        <v>1015</v>
      </c>
      <c r="O1822" t="s">
        <v>1015</v>
      </c>
      <c r="P1822" t="s">
        <v>1089</v>
      </c>
      <c r="Q1822" t="s">
        <v>3169</v>
      </c>
      <c r="R1822" t="s">
        <v>446</v>
      </c>
      <c r="S1822" t="s">
        <v>446</v>
      </c>
      <c r="T1822" t="s">
        <v>1965</v>
      </c>
      <c r="U1822" t="b">
        <v>0</v>
      </c>
      <c r="V1822" t="s">
        <v>446</v>
      </c>
    </row>
    <row r="1823" spans="1:22" x14ac:dyDescent="0.25">
      <c r="A1823" t="s">
        <v>42</v>
      </c>
      <c r="B1823">
        <v>220</v>
      </c>
      <c r="C1823" t="s">
        <v>1019</v>
      </c>
      <c r="D1823" t="s">
        <v>5034</v>
      </c>
      <c r="E1823" t="s">
        <v>1018</v>
      </c>
      <c r="F1823" t="s">
        <v>5035</v>
      </c>
      <c r="G1823" t="s">
        <v>24</v>
      </c>
      <c r="H1823" t="s">
        <v>26</v>
      </c>
      <c r="I1823" t="s">
        <v>3167</v>
      </c>
      <c r="J1823" t="s">
        <v>1021</v>
      </c>
      <c r="K1823" t="s">
        <v>3183</v>
      </c>
      <c r="L1823" t="s">
        <v>1021</v>
      </c>
      <c r="M1823" t="s">
        <v>980</v>
      </c>
      <c r="N1823" t="s">
        <v>1020</v>
      </c>
      <c r="O1823" t="s">
        <v>1020</v>
      </c>
      <c r="P1823" t="s">
        <v>1089</v>
      </c>
      <c r="Q1823" t="s">
        <v>3169</v>
      </c>
      <c r="R1823" t="s">
        <v>446</v>
      </c>
      <c r="S1823" t="s">
        <v>446</v>
      </c>
      <c r="T1823" t="s">
        <v>1965</v>
      </c>
      <c r="U1823" t="b">
        <v>0</v>
      </c>
      <c r="V1823" t="s">
        <v>446</v>
      </c>
    </row>
    <row r="1824" spans="1:22" x14ac:dyDescent="0.25">
      <c r="A1824" t="s">
        <v>42</v>
      </c>
      <c r="B1824">
        <v>220</v>
      </c>
      <c r="C1824" t="s">
        <v>1024</v>
      </c>
      <c r="D1824" t="s">
        <v>5036</v>
      </c>
      <c r="E1824" t="s">
        <v>1023</v>
      </c>
      <c r="F1824" t="s">
        <v>5037</v>
      </c>
      <c r="G1824" t="s">
        <v>24</v>
      </c>
      <c r="H1824" t="s">
        <v>26</v>
      </c>
      <c r="I1824" t="s">
        <v>3167</v>
      </c>
      <c r="J1824" t="s">
        <v>1026</v>
      </c>
      <c r="K1824" t="s">
        <v>3185</v>
      </c>
      <c r="L1824" t="s">
        <v>1026</v>
      </c>
      <c r="M1824" t="s">
        <v>1000</v>
      </c>
      <c r="N1824" t="s">
        <v>1025</v>
      </c>
      <c r="O1824" t="s">
        <v>1025</v>
      </c>
      <c r="P1824" t="s">
        <v>1089</v>
      </c>
      <c r="Q1824" t="s">
        <v>3169</v>
      </c>
      <c r="R1824" t="s">
        <v>446</v>
      </c>
      <c r="S1824" t="s">
        <v>446</v>
      </c>
      <c r="T1824" t="s">
        <v>1965</v>
      </c>
      <c r="U1824" t="b">
        <v>0</v>
      </c>
      <c r="V1824" t="s">
        <v>446</v>
      </c>
    </row>
    <row r="1825" spans="1:22" x14ac:dyDescent="0.25">
      <c r="A1825" t="s">
        <v>42</v>
      </c>
      <c r="B1825">
        <v>220</v>
      </c>
      <c r="C1825" t="s">
        <v>1028</v>
      </c>
      <c r="D1825" t="s">
        <v>5038</v>
      </c>
      <c r="E1825" t="s">
        <v>1010</v>
      </c>
      <c r="F1825" t="s">
        <v>5037</v>
      </c>
      <c r="G1825" t="s">
        <v>24</v>
      </c>
      <c r="H1825" t="s">
        <v>26</v>
      </c>
      <c r="I1825" t="s">
        <v>3167</v>
      </c>
      <c r="J1825" t="s">
        <v>1026</v>
      </c>
      <c r="K1825" t="s">
        <v>3185</v>
      </c>
      <c r="L1825" t="s">
        <v>1026</v>
      </c>
      <c r="M1825" t="s">
        <v>1000</v>
      </c>
      <c r="N1825" t="s">
        <v>1025</v>
      </c>
      <c r="O1825" t="s">
        <v>1025</v>
      </c>
      <c r="P1825" t="s">
        <v>1089</v>
      </c>
      <c r="Q1825" t="s">
        <v>3169</v>
      </c>
      <c r="R1825" t="s">
        <v>446</v>
      </c>
      <c r="S1825" t="s">
        <v>446</v>
      </c>
      <c r="T1825" t="s">
        <v>1965</v>
      </c>
      <c r="U1825" t="b">
        <v>0</v>
      </c>
      <c r="V1825" t="s">
        <v>446</v>
      </c>
    </row>
    <row r="1826" spans="1:22" x14ac:dyDescent="0.25">
      <c r="A1826" t="s">
        <v>42</v>
      </c>
      <c r="B1826">
        <v>220</v>
      </c>
      <c r="C1826" t="s">
        <v>1030</v>
      </c>
      <c r="D1826" t="s">
        <v>5039</v>
      </c>
      <c r="E1826" t="s">
        <v>1029</v>
      </c>
      <c r="F1826" t="s">
        <v>5040</v>
      </c>
      <c r="G1826" t="s">
        <v>24</v>
      </c>
      <c r="H1826" t="s">
        <v>26</v>
      </c>
      <c r="I1826" t="s">
        <v>3167</v>
      </c>
      <c r="J1826" t="s">
        <v>1033</v>
      </c>
      <c r="K1826" t="s">
        <v>3189</v>
      </c>
      <c r="L1826" t="s">
        <v>1033</v>
      </c>
      <c r="M1826" t="s">
        <v>980</v>
      </c>
      <c r="N1826" t="s">
        <v>1031</v>
      </c>
      <c r="O1826" t="s">
        <v>1031</v>
      </c>
      <c r="P1826" t="s">
        <v>1089</v>
      </c>
      <c r="Q1826" t="s">
        <v>3169</v>
      </c>
      <c r="R1826" t="s">
        <v>446</v>
      </c>
      <c r="S1826" t="s">
        <v>446</v>
      </c>
      <c r="T1826" t="s">
        <v>1965</v>
      </c>
      <c r="U1826" t="b">
        <v>0</v>
      </c>
      <c r="V1826" t="s">
        <v>446</v>
      </c>
    </row>
    <row r="1827" spans="1:22" x14ac:dyDescent="0.25">
      <c r="A1827" t="s">
        <v>42</v>
      </c>
      <c r="B1827">
        <v>220</v>
      </c>
      <c r="C1827" t="s">
        <v>1036</v>
      </c>
      <c r="D1827" t="s">
        <v>5041</v>
      </c>
      <c r="E1827" t="s">
        <v>1035</v>
      </c>
      <c r="F1827" t="s">
        <v>5042</v>
      </c>
      <c r="G1827" t="s">
        <v>24</v>
      </c>
      <c r="H1827" t="s">
        <v>26</v>
      </c>
      <c r="I1827" t="s">
        <v>3167</v>
      </c>
      <c r="J1827" t="s">
        <v>1038</v>
      </c>
      <c r="K1827" t="s">
        <v>3191</v>
      </c>
      <c r="L1827" t="s">
        <v>1038</v>
      </c>
      <c r="M1827" t="s">
        <v>980</v>
      </c>
      <c r="N1827" t="s">
        <v>1037</v>
      </c>
      <c r="O1827" t="s">
        <v>1037</v>
      </c>
      <c r="P1827" t="s">
        <v>1089</v>
      </c>
      <c r="Q1827" t="s">
        <v>3169</v>
      </c>
      <c r="R1827" t="s">
        <v>446</v>
      </c>
      <c r="S1827" t="s">
        <v>446</v>
      </c>
      <c r="T1827" t="s">
        <v>1965</v>
      </c>
      <c r="U1827" t="b">
        <v>0</v>
      </c>
      <c r="V1827" t="s">
        <v>446</v>
      </c>
    </row>
    <row r="1828" spans="1:22" x14ac:dyDescent="0.25">
      <c r="A1828" t="s">
        <v>42</v>
      </c>
      <c r="B1828">
        <v>220</v>
      </c>
      <c r="C1828" t="s">
        <v>1041</v>
      </c>
      <c r="D1828" t="s">
        <v>5043</v>
      </c>
      <c r="E1828" t="s">
        <v>1040</v>
      </c>
      <c r="F1828" t="s">
        <v>5044</v>
      </c>
      <c r="G1828" t="s">
        <v>24</v>
      </c>
      <c r="H1828" t="s">
        <v>26</v>
      </c>
      <c r="I1828" t="s">
        <v>3167</v>
      </c>
      <c r="J1828" t="s">
        <v>1043</v>
      </c>
      <c r="K1828" t="s">
        <v>3193</v>
      </c>
      <c r="L1828" t="s">
        <v>1043</v>
      </c>
      <c r="M1828" t="s">
        <v>980</v>
      </c>
      <c r="N1828" t="s">
        <v>1042</v>
      </c>
      <c r="O1828" t="s">
        <v>1042</v>
      </c>
      <c r="P1828" t="s">
        <v>1089</v>
      </c>
      <c r="Q1828" t="s">
        <v>3169</v>
      </c>
      <c r="R1828" t="s">
        <v>446</v>
      </c>
      <c r="S1828" t="s">
        <v>446</v>
      </c>
      <c r="T1828" t="s">
        <v>1965</v>
      </c>
      <c r="U1828" t="b">
        <v>0</v>
      </c>
      <c r="V1828" t="s">
        <v>446</v>
      </c>
    </row>
    <row r="1829" spans="1:22" x14ac:dyDescent="0.25">
      <c r="A1829" t="s">
        <v>42</v>
      </c>
      <c r="B1829">
        <v>220</v>
      </c>
      <c r="C1829" t="s">
        <v>1046</v>
      </c>
      <c r="D1829" t="s">
        <v>5045</v>
      </c>
      <c r="E1829" t="s">
        <v>1045</v>
      </c>
      <c r="F1829" t="s">
        <v>5046</v>
      </c>
      <c r="G1829" t="s">
        <v>24</v>
      </c>
      <c r="H1829" t="s">
        <v>26</v>
      </c>
      <c r="I1829" t="s">
        <v>3167</v>
      </c>
      <c r="J1829" t="s">
        <v>1048</v>
      </c>
      <c r="K1829" t="s">
        <v>3195</v>
      </c>
      <c r="L1829" t="s">
        <v>1048</v>
      </c>
      <c r="M1829" t="s">
        <v>1000</v>
      </c>
      <c r="N1829" t="s">
        <v>1047</v>
      </c>
      <c r="O1829" t="s">
        <v>1047</v>
      </c>
      <c r="P1829" t="s">
        <v>1089</v>
      </c>
      <c r="Q1829" t="s">
        <v>3169</v>
      </c>
      <c r="R1829" t="s">
        <v>446</v>
      </c>
      <c r="S1829" t="s">
        <v>446</v>
      </c>
      <c r="T1829" t="s">
        <v>1965</v>
      </c>
      <c r="U1829" t="b">
        <v>0</v>
      </c>
      <c r="V1829" t="s">
        <v>446</v>
      </c>
    </row>
    <row r="1830" spans="1:22" x14ac:dyDescent="0.25">
      <c r="A1830" t="s">
        <v>42</v>
      </c>
      <c r="B1830">
        <v>220</v>
      </c>
      <c r="C1830" t="s">
        <v>1050</v>
      </c>
      <c r="D1830" t="s">
        <v>5047</v>
      </c>
      <c r="E1830" t="s">
        <v>1032</v>
      </c>
      <c r="F1830" t="s">
        <v>5046</v>
      </c>
      <c r="G1830" t="s">
        <v>24</v>
      </c>
      <c r="H1830" t="s">
        <v>26</v>
      </c>
      <c r="I1830" t="s">
        <v>3167</v>
      </c>
      <c r="J1830" t="s">
        <v>1048</v>
      </c>
      <c r="K1830" t="s">
        <v>3195</v>
      </c>
      <c r="L1830" t="s">
        <v>1048</v>
      </c>
      <c r="M1830" t="s">
        <v>1000</v>
      </c>
      <c r="N1830" t="s">
        <v>1047</v>
      </c>
      <c r="O1830" t="s">
        <v>1047</v>
      </c>
      <c r="P1830" t="s">
        <v>1089</v>
      </c>
      <c r="Q1830" t="s">
        <v>3169</v>
      </c>
      <c r="R1830" t="s">
        <v>446</v>
      </c>
      <c r="S1830" t="s">
        <v>446</v>
      </c>
      <c r="T1830" t="s">
        <v>1965</v>
      </c>
      <c r="U1830" t="b">
        <v>0</v>
      </c>
      <c r="V1830" t="s">
        <v>446</v>
      </c>
    </row>
    <row r="1831" spans="1:22" x14ac:dyDescent="0.25">
      <c r="A1831" t="s">
        <v>42</v>
      </c>
      <c r="B1831">
        <v>220</v>
      </c>
      <c r="C1831" t="s">
        <v>1052</v>
      </c>
      <c r="D1831" t="s">
        <v>5048</v>
      </c>
      <c r="E1831" t="s">
        <v>1051</v>
      </c>
      <c r="F1831" t="s">
        <v>5049</v>
      </c>
      <c r="G1831" t="s">
        <v>24</v>
      </c>
      <c r="H1831" t="s">
        <v>26</v>
      </c>
      <c r="I1831" t="s">
        <v>3167</v>
      </c>
      <c r="J1831" t="s">
        <v>1055</v>
      </c>
      <c r="K1831" t="s">
        <v>3199</v>
      </c>
      <c r="L1831" t="s">
        <v>1055</v>
      </c>
      <c r="M1831" t="s">
        <v>980</v>
      </c>
      <c r="N1831" t="s">
        <v>1053</v>
      </c>
      <c r="O1831" t="s">
        <v>1053</v>
      </c>
      <c r="P1831" t="s">
        <v>1089</v>
      </c>
      <c r="Q1831" t="s">
        <v>3169</v>
      </c>
      <c r="R1831" t="s">
        <v>446</v>
      </c>
      <c r="S1831" t="s">
        <v>446</v>
      </c>
      <c r="T1831" t="s">
        <v>1965</v>
      </c>
      <c r="U1831" t="b">
        <v>0</v>
      </c>
      <c r="V1831" t="s">
        <v>446</v>
      </c>
    </row>
    <row r="1832" spans="1:22" x14ac:dyDescent="0.25">
      <c r="A1832" t="s">
        <v>42</v>
      </c>
      <c r="B1832">
        <v>221</v>
      </c>
      <c r="C1832" t="s">
        <v>987</v>
      </c>
      <c r="D1832" t="s">
        <v>5050</v>
      </c>
      <c r="E1832" t="s">
        <v>986</v>
      </c>
      <c r="F1832" t="s">
        <v>5051</v>
      </c>
      <c r="G1832" t="s">
        <v>24</v>
      </c>
      <c r="H1832" t="s">
        <v>26</v>
      </c>
      <c r="I1832" t="s">
        <v>3167</v>
      </c>
      <c r="J1832" t="s">
        <v>990</v>
      </c>
      <c r="K1832" t="s">
        <v>3171</v>
      </c>
      <c r="L1832" t="s">
        <v>990</v>
      </c>
      <c r="M1832" t="s">
        <v>980</v>
      </c>
      <c r="N1832" t="s">
        <v>988</v>
      </c>
      <c r="O1832" t="s">
        <v>988</v>
      </c>
      <c r="P1832" t="s">
        <v>1089</v>
      </c>
      <c r="Q1832" t="s">
        <v>3169</v>
      </c>
      <c r="R1832" t="s">
        <v>446</v>
      </c>
      <c r="S1832" t="s">
        <v>446</v>
      </c>
      <c r="T1832" t="s">
        <v>1965</v>
      </c>
      <c r="U1832" t="b">
        <v>0</v>
      </c>
      <c r="V1832" t="s">
        <v>446</v>
      </c>
    </row>
    <row r="1833" spans="1:22" x14ac:dyDescent="0.25">
      <c r="A1833" t="s">
        <v>42</v>
      </c>
      <c r="B1833">
        <v>221</v>
      </c>
      <c r="C1833" t="s">
        <v>993</v>
      </c>
      <c r="D1833" t="s">
        <v>5052</v>
      </c>
      <c r="E1833" t="s">
        <v>992</v>
      </c>
      <c r="F1833" t="s">
        <v>5053</v>
      </c>
      <c r="G1833" t="s">
        <v>24</v>
      </c>
      <c r="H1833" t="s">
        <v>26</v>
      </c>
      <c r="I1833" t="s">
        <v>3167</v>
      </c>
      <c r="J1833" t="s">
        <v>996</v>
      </c>
      <c r="K1833" t="s">
        <v>3173</v>
      </c>
      <c r="L1833" t="s">
        <v>996</v>
      </c>
      <c r="M1833" t="s">
        <v>980</v>
      </c>
      <c r="N1833" t="s">
        <v>994</v>
      </c>
      <c r="O1833" t="s">
        <v>994</v>
      </c>
      <c r="P1833" t="s">
        <v>1089</v>
      </c>
      <c r="Q1833" t="s">
        <v>3169</v>
      </c>
      <c r="R1833" t="s">
        <v>446</v>
      </c>
      <c r="S1833" t="s">
        <v>446</v>
      </c>
      <c r="T1833" t="s">
        <v>1965</v>
      </c>
      <c r="U1833" t="b">
        <v>0</v>
      </c>
      <c r="V1833" t="s">
        <v>446</v>
      </c>
    </row>
    <row r="1834" spans="1:22" x14ac:dyDescent="0.25">
      <c r="A1834" t="s">
        <v>42</v>
      </c>
      <c r="B1834">
        <v>221</v>
      </c>
      <c r="C1834" t="s">
        <v>999</v>
      </c>
      <c r="D1834" t="s">
        <v>5054</v>
      </c>
      <c r="E1834" t="s">
        <v>998</v>
      </c>
      <c r="F1834" t="s">
        <v>5055</v>
      </c>
      <c r="G1834" t="s">
        <v>24</v>
      </c>
      <c r="H1834" t="s">
        <v>26</v>
      </c>
      <c r="I1834" t="s">
        <v>3167</v>
      </c>
      <c r="J1834" t="s">
        <v>1003</v>
      </c>
      <c r="K1834" t="s">
        <v>3175</v>
      </c>
      <c r="L1834" t="s">
        <v>1003</v>
      </c>
      <c r="M1834" t="s">
        <v>1000</v>
      </c>
      <c r="N1834" t="s">
        <v>1001</v>
      </c>
      <c r="O1834" t="s">
        <v>1001</v>
      </c>
      <c r="P1834" t="s">
        <v>1089</v>
      </c>
      <c r="Q1834" t="s">
        <v>3169</v>
      </c>
      <c r="R1834" t="s">
        <v>446</v>
      </c>
      <c r="S1834" t="s">
        <v>446</v>
      </c>
      <c r="T1834" t="s">
        <v>1965</v>
      </c>
      <c r="U1834" t="b">
        <v>0</v>
      </c>
      <c r="V1834" t="s">
        <v>446</v>
      </c>
    </row>
    <row r="1835" spans="1:22" x14ac:dyDescent="0.25">
      <c r="A1835" t="s">
        <v>42</v>
      </c>
      <c r="B1835">
        <v>221</v>
      </c>
      <c r="C1835" t="s">
        <v>1007</v>
      </c>
      <c r="D1835" t="s">
        <v>5056</v>
      </c>
      <c r="E1835" t="s">
        <v>1006</v>
      </c>
      <c r="F1835" t="s">
        <v>5057</v>
      </c>
      <c r="G1835" t="s">
        <v>24</v>
      </c>
      <c r="H1835" t="s">
        <v>26</v>
      </c>
      <c r="I1835" t="s">
        <v>3167</v>
      </c>
      <c r="J1835" t="s">
        <v>1011</v>
      </c>
      <c r="K1835" t="s">
        <v>3179</v>
      </c>
      <c r="L1835" t="s">
        <v>1011</v>
      </c>
      <c r="M1835" t="s">
        <v>1008</v>
      </c>
      <c r="N1835" t="s">
        <v>1009</v>
      </c>
      <c r="O1835" t="s">
        <v>1009</v>
      </c>
      <c r="P1835" t="s">
        <v>1089</v>
      </c>
      <c r="Q1835" t="s">
        <v>3169</v>
      </c>
      <c r="R1835" t="s">
        <v>446</v>
      </c>
      <c r="S1835" t="s">
        <v>446</v>
      </c>
      <c r="T1835" t="s">
        <v>1965</v>
      </c>
      <c r="U1835" t="b">
        <v>0</v>
      </c>
      <c r="V1835" t="s">
        <v>446</v>
      </c>
    </row>
    <row r="1836" spans="1:22" x14ac:dyDescent="0.25">
      <c r="A1836" t="s">
        <v>42</v>
      </c>
      <c r="B1836">
        <v>221</v>
      </c>
      <c r="C1836" t="s">
        <v>1014</v>
      </c>
      <c r="D1836" t="s">
        <v>5058</v>
      </c>
      <c r="E1836" t="s">
        <v>1013</v>
      </c>
      <c r="F1836" t="s">
        <v>5059</v>
      </c>
      <c r="G1836" t="s">
        <v>24</v>
      </c>
      <c r="H1836" t="s">
        <v>26</v>
      </c>
      <c r="I1836" t="s">
        <v>3167</v>
      </c>
      <c r="J1836" t="s">
        <v>1016</v>
      </c>
      <c r="K1836" t="s">
        <v>3181</v>
      </c>
      <c r="L1836" t="s">
        <v>1016</v>
      </c>
      <c r="M1836" t="s">
        <v>980</v>
      </c>
      <c r="N1836" t="s">
        <v>1015</v>
      </c>
      <c r="O1836" t="s">
        <v>1015</v>
      </c>
      <c r="P1836" t="s">
        <v>1089</v>
      </c>
      <c r="Q1836" t="s">
        <v>3169</v>
      </c>
      <c r="R1836" t="s">
        <v>446</v>
      </c>
      <c r="S1836" t="s">
        <v>446</v>
      </c>
      <c r="T1836" t="s">
        <v>1965</v>
      </c>
      <c r="U1836" t="b">
        <v>0</v>
      </c>
      <c r="V1836" t="s">
        <v>446</v>
      </c>
    </row>
    <row r="1837" spans="1:22" x14ac:dyDescent="0.25">
      <c r="A1837" t="s">
        <v>42</v>
      </c>
      <c r="B1837">
        <v>221</v>
      </c>
      <c r="C1837" t="s">
        <v>1019</v>
      </c>
      <c r="D1837" t="s">
        <v>5060</v>
      </c>
      <c r="E1837" t="s">
        <v>1018</v>
      </c>
      <c r="F1837" t="s">
        <v>5061</v>
      </c>
      <c r="G1837" t="s">
        <v>24</v>
      </c>
      <c r="H1837" t="s">
        <v>26</v>
      </c>
      <c r="I1837" t="s">
        <v>3167</v>
      </c>
      <c r="J1837" t="s">
        <v>1021</v>
      </c>
      <c r="K1837" t="s">
        <v>3183</v>
      </c>
      <c r="L1837" t="s">
        <v>1021</v>
      </c>
      <c r="M1837" t="s">
        <v>980</v>
      </c>
      <c r="N1837" t="s">
        <v>1020</v>
      </c>
      <c r="O1837" t="s">
        <v>1020</v>
      </c>
      <c r="P1837" t="s">
        <v>1089</v>
      </c>
      <c r="Q1837" t="s">
        <v>3169</v>
      </c>
      <c r="R1837" t="s">
        <v>446</v>
      </c>
      <c r="S1837" t="s">
        <v>446</v>
      </c>
      <c r="T1837" t="s">
        <v>1965</v>
      </c>
      <c r="U1837" t="b">
        <v>0</v>
      </c>
      <c r="V1837" t="s">
        <v>446</v>
      </c>
    </row>
    <row r="1838" spans="1:22" x14ac:dyDescent="0.25">
      <c r="A1838" t="s">
        <v>42</v>
      </c>
      <c r="B1838">
        <v>221</v>
      </c>
      <c r="C1838" t="s">
        <v>1024</v>
      </c>
      <c r="D1838" t="s">
        <v>5062</v>
      </c>
      <c r="E1838" t="s">
        <v>1023</v>
      </c>
      <c r="F1838" t="s">
        <v>5063</v>
      </c>
      <c r="G1838" t="s">
        <v>24</v>
      </c>
      <c r="H1838" t="s">
        <v>26</v>
      </c>
      <c r="I1838" t="s">
        <v>3167</v>
      </c>
      <c r="J1838" t="s">
        <v>1026</v>
      </c>
      <c r="K1838" t="s">
        <v>3185</v>
      </c>
      <c r="L1838" t="s">
        <v>1026</v>
      </c>
      <c r="M1838" t="s">
        <v>1000</v>
      </c>
      <c r="N1838" t="s">
        <v>1025</v>
      </c>
      <c r="O1838" t="s">
        <v>1025</v>
      </c>
      <c r="P1838" t="s">
        <v>1089</v>
      </c>
      <c r="Q1838" t="s">
        <v>3169</v>
      </c>
      <c r="R1838" t="s">
        <v>446</v>
      </c>
      <c r="S1838" t="s">
        <v>446</v>
      </c>
      <c r="T1838" t="s">
        <v>1965</v>
      </c>
      <c r="U1838" t="b">
        <v>0</v>
      </c>
      <c r="V1838" t="s">
        <v>446</v>
      </c>
    </row>
    <row r="1839" spans="1:22" x14ac:dyDescent="0.25">
      <c r="A1839" t="s">
        <v>42</v>
      </c>
      <c r="B1839">
        <v>221</v>
      </c>
      <c r="C1839" t="s">
        <v>1028</v>
      </c>
      <c r="D1839" t="s">
        <v>5064</v>
      </c>
      <c r="E1839" t="s">
        <v>1010</v>
      </c>
      <c r="F1839" t="s">
        <v>5065</v>
      </c>
      <c r="G1839" t="s">
        <v>24</v>
      </c>
      <c r="H1839" t="s">
        <v>26</v>
      </c>
      <c r="I1839" t="s">
        <v>3167</v>
      </c>
      <c r="J1839" t="s">
        <v>1026</v>
      </c>
      <c r="K1839" t="s">
        <v>3185</v>
      </c>
      <c r="L1839" t="s">
        <v>1026</v>
      </c>
      <c r="M1839" t="s">
        <v>1000</v>
      </c>
      <c r="N1839" t="s">
        <v>1025</v>
      </c>
      <c r="O1839" t="s">
        <v>1025</v>
      </c>
      <c r="P1839" t="s">
        <v>1089</v>
      </c>
      <c r="Q1839" t="s">
        <v>3169</v>
      </c>
      <c r="R1839" t="s">
        <v>446</v>
      </c>
      <c r="S1839" t="s">
        <v>446</v>
      </c>
      <c r="T1839" t="s">
        <v>1965</v>
      </c>
      <c r="U1839" t="b">
        <v>0</v>
      </c>
      <c r="V1839" t="s">
        <v>446</v>
      </c>
    </row>
    <row r="1840" spans="1:22" x14ac:dyDescent="0.25">
      <c r="A1840" t="s">
        <v>42</v>
      </c>
      <c r="B1840">
        <v>221</v>
      </c>
      <c r="C1840" t="s">
        <v>1030</v>
      </c>
      <c r="D1840" t="s">
        <v>5066</v>
      </c>
      <c r="E1840" t="s">
        <v>1029</v>
      </c>
      <c r="F1840" t="s">
        <v>5067</v>
      </c>
      <c r="G1840" t="s">
        <v>24</v>
      </c>
      <c r="H1840" t="s">
        <v>26</v>
      </c>
      <c r="I1840" t="s">
        <v>3167</v>
      </c>
      <c r="J1840" t="s">
        <v>1033</v>
      </c>
      <c r="K1840" t="s">
        <v>3189</v>
      </c>
      <c r="L1840" t="s">
        <v>1033</v>
      </c>
      <c r="M1840" t="s">
        <v>980</v>
      </c>
      <c r="N1840" t="s">
        <v>1031</v>
      </c>
      <c r="O1840" t="s">
        <v>1031</v>
      </c>
      <c r="P1840" t="s">
        <v>1089</v>
      </c>
      <c r="Q1840" t="s">
        <v>3169</v>
      </c>
      <c r="R1840" t="s">
        <v>446</v>
      </c>
      <c r="S1840" t="s">
        <v>446</v>
      </c>
      <c r="T1840" t="s">
        <v>1965</v>
      </c>
      <c r="U1840" t="b">
        <v>0</v>
      </c>
      <c r="V1840" t="s">
        <v>446</v>
      </c>
    </row>
    <row r="1841" spans="1:22" x14ac:dyDescent="0.25">
      <c r="A1841" t="s">
        <v>42</v>
      </c>
      <c r="B1841">
        <v>221</v>
      </c>
      <c r="C1841" t="s">
        <v>1036</v>
      </c>
      <c r="D1841" t="s">
        <v>5068</v>
      </c>
      <c r="E1841" t="s">
        <v>1035</v>
      </c>
      <c r="F1841" t="s">
        <v>5069</v>
      </c>
      <c r="G1841" t="s">
        <v>24</v>
      </c>
      <c r="H1841" t="s">
        <v>26</v>
      </c>
      <c r="I1841" t="s">
        <v>3167</v>
      </c>
      <c r="J1841" t="s">
        <v>1038</v>
      </c>
      <c r="K1841" t="s">
        <v>3191</v>
      </c>
      <c r="L1841" t="s">
        <v>1038</v>
      </c>
      <c r="M1841" t="s">
        <v>980</v>
      </c>
      <c r="N1841" t="s">
        <v>1037</v>
      </c>
      <c r="O1841" t="s">
        <v>1037</v>
      </c>
      <c r="P1841" t="s">
        <v>1089</v>
      </c>
      <c r="Q1841" t="s">
        <v>3169</v>
      </c>
      <c r="R1841" t="s">
        <v>446</v>
      </c>
      <c r="S1841" t="s">
        <v>446</v>
      </c>
      <c r="T1841" t="s">
        <v>1965</v>
      </c>
      <c r="U1841" t="b">
        <v>0</v>
      </c>
      <c r="V1841" t="s">
        <v>446</v>
      </c>
    </row>
    <row r="1842" spans="1:22" x14ac:dyDescent="0.25">
      <c r="A1842" t="s">
        <v>42</v>
      </c>
      <c r="B1842">
        <v>221</v>
      </c>
      <c r="C1842" t="s">
        <v>1041</v>
      </c>
      <c r="D1842" t="s">
        <v>5070</v>
      </c>
      <c r="E1842" t="s">
        <v>1040</v>
      </c>
      <c r="F1842" t="s">
        <v>5071</v>
      </c>
      <c r="G1842" t="s">
        <v>24</v>
      </c>
      <c r="H1842" t="s">
        <v>26</v>
      </c>
      <c r="I1842" t="s">
        <v>3167</v>
      </c>
      <c r="J1842" t="s">
        <v>1043</v>
      </c>
      <c r="K1842" t="s">
        <v>3193</v>
      </c>
      <c r="L1842" t="s">
        <v>1043</v>
      </c>
      <c r="M1842" t="s">
        <v>980</v>
      </c>
      <c r="N1842" t="s">
        <v>1042</v>
      </c>
      <c r="O1842" t="s">
        <v>1042</v>
      </c>
      <c r="P1842" t="s">
        <v>1089</v>
      </c>
      <c r="Q1842" t="s">
        <v>3169</v>
      </c>
      <c r="R1842" t="s">
        <v>446</v>
      </c>
      <c r="S1842" t="s">
        <v>446</v>
      </c>
      <c r="T1842" t="s">
        <v>1965</v>
      </c>
      <c r="U1842" t="b">
        <v>0</v>
      </c>
      <c r="V1842" t="s">
        <v>446</v>
      </c>
    </row>
    <row r="1843" spans="1:22" x14ac:dyDescent="0.25">
      <c r="A1843" t="s">
        <v>42</v>
      </c>
      <c r="B1843">
        <v>221</v>
      </c>
      <c r="C1843" t="s">
        <v>1046</v>
      </c>
      <c r="D1843" t="s">
        <v>5072</v>
      </c>
      <c r="E1843" t="s">
        <v>1045</v>
      </c>
      <c r="F1843" t="s">
        <v>5073</v>
      </c>
      <c r="G1843" t="s">
        <v>24</v>
      </c>
      <c r="H1843" t="s">
        <v>26</v>
      </c>
      <c r="I1843" t="s">
        <v>3167</v>
      </c>
      <c r="J1843" t="s">
        <v>1048</v>
      </c>
      <c r="K1843" t="s">
        <v>3195</v>
      </c>
      <c r="L1843" t="s">
        <v>1048</v>
      </c>
      <c r="M1843" t="s">
        <v>1000</v>
      </c>
      <c r="N1843" t="s">
        <v>1047</v>
      </c>
      <c r="O1843" t="s">
        <v>1047</v>
      </c>
      <c r="P1843" t="s">
        <v>1089</v>
      </c>
      <c r="Q1843" t="s">
        <v>3169</v>
      </c>
      <c r="R1843" t="s">
        <v>446</v>
      </c>
      <c r="S1843" t="s">
        <v>446</v>
      </c>
      <c r="T1843" t="s">
        <v>1965</v>
      </c>
      <c r="U1843" t="b">
        <v>0</v>
      </c>
      <c r="V1843" t="s">
        <v>446</v>
      </c>
    </row>
    <row r="1844" spans="1:22" x14ac:dyDescent="0.25">
      <c r="A1844" t="s">
        <v>42</v>
      </c>
      <c r="B1844">
        <v>221</v>
      </c>
      <c r="C1844" t="s">
        <v>1050</v>
      </c>
      <c r="D1844" t="s">
        <v>5074</v>
      </c>
      <c r="E1844" t="s">
        <v>1032</v>
      </c>
      <c r="F1844" t="s">
        <v>5075</v>
      </c>
      <c r="G1844" t="s">
        <v>24</v>
      </c>
      <c r="H1844" t="s">
        <v>26</v>
      </c>
      <c r="I1844" t="s">
        <v>3167</v>
      </c>
      <c r="J1844" t="s">
        <v>1048</v>
      </c>
      <c r="K1844" t="s">
        <v>3195</v>
      </c>
      <c r="L1844" t="s">
        <v>1048</v>
      </c>
      <c r="M1844" t="s">
        <v>1000</v>
      </c>
      <c r="N1844" t="s">
        <v>1047</v>
      </c>
      <c r="O1844" t="s">
        <v>1047</v>
      </c>
      <c r="P1844" t="s">
        <v>1089</v>
      </c>
      <c r="Q1844" t="s">
        <v>3169</v>
      </c>
      <c r="R1844" t="s">
        <v>446</v>
      </c>
      <c r="S1844" t="s">
        <v>446</v>
      </c>
      <c r="T1844" t="s">
        <v>1965</v>
      </c>
      <c r="U1844" t="b">
        <v>0</v>
      </c>
      <c r="V1844" t="s">
        <v>446</v>
      </c>
    </row>
    <row r="1845" spans="1:22" x14ac:dyDescent="0.25">
      <c r="A1845" t="s">
        <v>42</v>
      </c>
      <c r="B1845">
        <v>221</v>
      </c>
      <c r="C1845" t="s">
        <v>1052</v>
      </c>
      <c r="D1845" t="s">
        <v>5076</v>
      </c>
      <c r="E1845" t="s">
        <v>1051</v>
      </c>
      <c r="F1845" t="s">
        <v>5077</v>
      </c>
      <c r="G1845" t="s">
        <v>24</v>
      </c>
      <c r="H1845" t="s">
        <v>26</v>
      </c>
      <c r="I1845" t="s">
        <v>3167</v>
      </c>
      <c r="J1845" t="s">
        <v>1055</v>
      </c>
      <c r="K1845" t="s">
        <v>3199</v>
      </c>
      <c r="L1845" t="s">
        <v>1055</v>
      </c>
      <c r="M1845" t="s">
        <v>980</v>
      </c>
      <c r="N1845" t="s">
        <v>1053</v>
      </c>
      <c r="O1845" t="s">
        <v>1053</v>
      </c>
      <c r="P1845" t="s">
        <v>1089</v>
      </c>
      <c r="Q1845" t="s">
        <v>3169</v>
      </c>
      <c r="R1845" t="s">
        <v>446</v>
      </c>
      <c r="S1845" t="s">
        <v>446</v>
      </c>
      <c r="T1845" t="s">
        <v>1965</v>
      </c>
      <c r="U1845" t="b">
        <v>0</v>
      </c>
      <c r="V1845" t="s">
        <v>446</v>
      </c>
    </row>
    <row r="1846" spans="1:22" x14ac:dyDescent="0.25">
      <c r="A1846" t="s">
        <v>42</v>
      </c>
      <c r="B1846">
        <v>223</v>
      </c>
      <c r="C1846" t="s">
        <v>979</v>
      </c>
      <c r="D1846" t="s">
        <v>5078</v>
      </c>
      <c r="E1846" t="s">
        <v>978</v>
      </c>
      <c r="F1846" t="s">
        <v>5079</v>
      </c>
      <c r="G1846" t="s">
        <v>24</v>
      </c>
      <c r="H1846" t="s">
        <v>26</v>
      </c>
      <c r="I1846" t="s">
        <v>3167</v>
      </c>
      <c r="J1846" t="s">
        <v>984</v>
      </c>
      <c r="K1846" t="s">
        <v>3168</v>
      </c>
      <c r="L1846" t="s">
        <v>984</v>
      </c>
      <c r="M1846" t="s">
        <v>980</v>
      </c>
      <c r="N1846" t="s">
        <v>981</v>
      </c>
      <c r="O1846" t="s">
        <v>981</v>
      </c>
      <c r="P1846" t="s">
        <v>1089</v>
      </c>
      <c r="Q1846" t="s">
        <v>3169</v>
      </c>
      <c r="R1846" t="s">
        <v>446</v>
      </c>
      <c r="S1846" t="s">
        <v>446</v>
      </c>
      <c r="T1846" t="s">
        <v>1965</v>
      </c>
      <c r="U1846" t="b">
        <v>0</v>
      </c>
      <c r="V1846" t="s">
        <v>446</v>
      </c>
    </row>
    <row r="1847" spans="1:22" x14ac:dyDescent="0.25">
      <c r="A1847" t="s">
        <v>42</v>
      </c>
      <c r="B1847">
        <v>223</v>
      </c>
      <c r="C1847" t="s">
        <v>987</v>
      </c>
      <c r="D1847" t="s">
        <v>5080</v>
      </c>
      <c r="E1847" t="s">
        <v>986</v>
      </c>
      <c r="F1847" t="s">
        <v>5081</v>
      </c>
      <c r="G1847" t="s">
        <v>24</v>
      </c>
      <c r="H1847" t="s">
        <v>26</v>
      </c>
      <c r="I1847" t="s">
        <v>3167</v>
      </c>
      <c r="J1847" t="s">
        <v>990</v>
      </c>
      <c r="K1847" t="s">
        <v>3171</v>
      </c>
      <c r="L1847" t="s">
        <v>990</v>
      </c>
      <c r="M1847" t="s">
        <v>980</v>
      </c>
      <c r="N1847" t="s">
        <v>988</v>
      </c>
      <c r="O1847" t="s">
        <v>988</v>
      </c>
      <c r="P1847" t="s">
        <v>1089</v>
      </c>
      <c r="Q1847" t="s">
        <v>3169</v>
      </c>
      <c r="R1847" t="s">
        <v>446</v>
      </c>
      <c r="S1847" t="s">
        <v>446</v>
      </c>
      <c r="T1847" t="s">
        <v>1965</v>
      </c>
      <c r="U1847" t="b">
        <v>0</v>
      </c>
      <c r="V1847" t="s">
        <v>446</v>
      </c>
    </row>
    <row r="1848" spans="1:22" x14ac:dyDescent="0.25">
      <c r="A1848" t="s">
        <v>42</v>
      </c>
      <c r="B1848">
        <v>223</v>
      </c>
      <c r="C1848" t="s">
        <v>993</v>
      </c>
      <c r="D1848" t="s">
        <v>5082</v>
      </c>
      <c r="E1848" t="s">
        <v>992</v>
      </c>
      <c r="F1848" t="s">
        <v>5083</v>
      </c>
      <c r="G1848" t="s">
        <v>24</v>
      </c>
      <c r="H1848" t="s">
        <v>26</v>
      </c>
      <c r="I1848" t="s">
        <v>3167</v>
      </c>
      <c r="J1848" t="s">
        <v>996</v>
      </c>
      <c r="K1848" t="s">
        <v>3173</v>
      </c>
      <c r="L1848" t="s">
        <v>996</v>
      </c>
      <c r="M1848" t="s">
        <v>980</v>
      </c>
      <c r="N1848" t="s">
        <v>994</v>
      </c>
      <c r="O1848" t="s">
        <v>994</v>
      </c>
      <c r="P1848" t="s">
        <v>1089</v>
      </c>
      <c r="Q1848" t="s">
        <v>3169</v>
      </c>
      <c r="R1848" t="s">
        <v>446</v>
      </c>
      <c r="S1848" t="s">
        <v>446</v>
      </c>
      <c r="T1848" t="s">
        <v>1965</v>
      </c>
      <c r="U1848" t="b">
        <v>0</v>
      </c>
      <c r="V1848" t="s">
        <v>446</v>
      </c>
    </row>
    <row r="1849" spans="1:22" x14ac:dyDescent="0.25">
      <c r="A1849" t="s">
        <v>42</v>
      </c>
      <c r="B1849">
        <v>223</v>
      </c>
      <c r="C1849" t="s">
        <v>999</v>
      </c>
      <c r="D1849" t="s">
        <v>5084</v>
      </c>
      <c r="E1849" t="s">
        <v>998</v>
      </c>
      <c r="F1849" t="s">
        <v>4136</v>
      </c>
      <c r="G1849" t="s">
        <v>24</v>
      </c>
      <c r="H1849" t="s">
        <v>26</v>
      </c>
      <c r="I1849" t="s">
        <v>3167</v>
      </c>
      <c r="J1849" t="s">
        <v>1003</v>
      </c>
      <c r="K1849" t="s">
        <v>3175</v>
      </c>
      <c r="L1849" t="s">
        <v>1003</v>
      </c>
      <c r="M1849" t="s">
        <v>1000</v>
      </c>
      <c r="N1849" t="s">
        <v>1001</v>
      </c>
      <c r="O1849" t="s">
        <v>1001</v>
      </c>
      <c r="P1849" t="s">
        <v>1089</v>
      </c>
      <c r="Q1849" t="s">
        <v>3169</v>
      </c>
      <c r="R1849" t="s">
        <v>446</v>
      </c>
      <c r="S1849" t="s">
        <v>446</v>
      </c>
      <c r="T1849" t="s">
        <v>1965</v>
      </c>
      <c r="U1849" t="b">
        <v>0</v>
      </c>
      <c r="V1849" t="s">
        <v>446</v>
      </c>
    </row>
    <row r="1850" spans="1:22" x14ac:dyDescent="0.25">
      <c r="A1850" t="s">
        <v>42</v>
      </c>
      <c r="B1850">
        <v>223</v>
      </c>
      <c r="C1850" t="s">
        <v>1005</v>
      </c>
      <c r="D1850" t="s">
        <v>5085</v>
      </c>
      <c r="E1850" t="s">
        <v>982</v>
      </c>
      <c r="F1850" t="s">
        <v>4136</v>
      </c>
      <c r="G1850" t="s">
        <v>24</v>
      </c>
      <c r="H1850" t="s">
        <v>26</v>
      </c>
      <c r="I1850" t="s">
        <v>3167</v>
      </c>
      <c r="J1850" t="s">
        <v>1003</v>
      </c>
      <c r="K1850" t="s">
        <v>3175</v>
      </c>
      <c r="L1850" t="s">
        <v>1003</v>
      </c>
      <c r="M1850" t="s">
        <v>1000</v>
      </c>
      <c r="N1850" t="s">
        <v>1001</v>
      </c>
      <c r="O1850" t="s">
        <v>1001</v>
      </c>
      <c r="P1850" t="s">
        <v>1089</v>
      </c>
      <c r="Q1850" t="s">
        <v>3169</v>
      </c>
      <c r="R1850" t="s">
        <v>446</v>
      </c>
      <c r="S1850" t="s">
        <v>446</v>
      </c>
      <c r="T1850" t="s">
        <v>1965</v>
      </c>
      <c r="U1850" t="b">
        <v>0</v>
      </c>
      <c r="V1850" t="s">
        <v>446</v>
      </c>
    </row>
    <row r="1851" spans="1:22" x14ac:dyDescent="0.25">
      <c r="A1851" t="s">
        <v>42</v>
      </c>
      <c r="B1851">
        <v>223</v>
      </c>
      <c r="C1851" t="s">
        <v>1007</v>
      </c>
      <c r="D1851" t="s">
        <v>5086</v>
      </c>
      <c r="E1851" t="s">
        <v>1006</v>
      </c>
      <c r="F1851" t="s">
        <v>3352</v>
      </c>
      <c r="G1851" t="s">
        <v>24</v>
      </c>
      <c r="H1851" t="s">
        <v>26</v>
      </c>
      <c r="I1851" t="s">
        <v>3167</v>
      </c>
      <c r="J1851" t="s">
        <v>1011</v>
      </c>
      <c r="K1851" t="s">
        <v>3179</v>
      </c>
      <c r="L1851" t="s">
        <v>1011</v>
      </c>
      <c r="M1851" t="s">
        <v>1008</v>
      </c>
      <c r="N1851" t="s">
        <v>1009</v>
      </c>
      <c r="O1851" t="s">
        <v>1009</v>
      </c>
      <c r="P1851" t="s">
        <v>1089</v>
      </c>
      <c r="Q1851" t="s">
        <v>3169</v>
      </c>
      <c r="R1851" t="s">
        <v>446</v>
      </c>
      <c r="S1851" t="s">
        <v>446</v>
      </c>
      <c r="T1851" t="s">
        <v>1965</v>
      </c>
      <c r="U1851" t="b">
        <v>0</v>
      </c>
      <c r="V1851" t="s">
        <v>446</v>
      </c>
    </row>
    <row r="1852" spans="1:22" x14ac:dyDescent="0.25">
      <c r="A1852" t="s">
        <v>42</v>
      </c>
      <c r="B1852">
        <v>223</v>
      </c>
      <c r="C1852" t="s">
        <v>1014</v>
      </c>
      <c r="D1852" t="s">
        <v>5087</v>
      </c>
      <c r="E1852" t="s">
        <v>1013</v>
      </c>
      <c r="F1852" t="s">
        <v>5088</v>
      </c>
      <c r="G1852" t="s">
        <v>24</v>
      </c>
      <c r="H1852" t="s">
        <v>26</v>
      </c>
      <c r="I1852" t="s">
        <v>3167</v>
      </c>
      <c r="J1852" t="s">
        <v>1016</v>
      </c>
      <c r="K1852" t="s">
        <v>3181</v>
      </c>
      <c r="L1852" t="s">
        <v>1016</v>
      </c>
      <c r="M1852" t="s">
        <v>980</v>
      </c>
      <c r="N1852" t="s">
        <v>1015</v>
      </c>
      <c r="O1852" t="s">
        <v>1015</v>
      </c>
      <c r="P1852" t="s">
        <v>1089</v>
      </c>
      <c r="Q1852" t="s">
        <v>3169</v>
      </c>
      <c r="R1852" t="s">
        <v>446</v>
      </c>
      <c r="S1852" t="s">
        <v>446</v>
      </c>
      <c r="T1852" t="s">
        <v>1965</v>
      </c>
      <c r="U1852" t="b">
        <v>0</v>
      </c>
      <c r="V1852" t="s">
        <v>446</v>
      </c>
    </row>
    <row r="1853" spans="1:22" x14ac:dyDescent="0.25">
      <c r="A1853" t="s">
        <v>42</v>
      </c>
      <c r="B1853">
        <v>223</v>
      </c>
      <c r="C1853" t="s">
        <v>1019</v>
      </c>
      <c r="D1853" t="s">
        <v>5089</v>
      </c>
      <c r="E1853" t="s">
        <v>1018</v>
      </c>
      <c r="F1853" t="s">
        <v>5090</v>
      </c>
      <c r="G1853" t="s">
        <v>24</v>
      </c>
      <c r="H1853" t="s">
        <v>26</v>
      </c>
      <c r="I1853" t="s">
        <v>3167</v>
      </c>
      <c r="J1853" t="s">
        <v>1021</v>
      </c>
      <c r="K1853" t="s">
        <v>3183</v>
      </c>
      <c r="L1853" t="s">
        <v>1021</v>
      </c>
      <c r="M1853" t="s">
        <v>980</v>
      </c>
      <c r="N1853" t="s">
        <v>1020</v>
      </c>
      <c r="O1853" t="s">
        <v>1020</v>
      </c>
      <c r="P1853" t="s">
        <v>1089</v>
      </c>
      <c r="Q1853" t="s">
        <v>3169</v>
      </c>
      <c r="R1853" t="s">
        <v>446</v>
      </c>
      <c r="S1853" t="s">
        <v>446</v>
      </c>
      <c r="T1853" t="s">
        <v>1965</v>
      </c>
      <c r="U1853" t="b">
        <v>0</v>
      </c>
      <c r="V1853" t="s">
        <v>446</v>
      </c>
    </row>
    <row r="1854" spans="1:22" x14ac:dyDescent="0.25">
      <c r="A1854" t="s">
        <v>42</v>
      </c>
      <c r="B1854">
        <v>223</v>
      </c>
      <c r="C1854" t="s">
        <v>1024</v>
      </c>
      <c r="D1854" t="s">
        <v>5091</v>
      </c>
      <c r="E1854" t="s">
        <v>1023</v>
      </c>
      <c r="F1854" t="s">
        <v>4137</v>
      </c>
      <c r="G1854" t="s">
        <v>24</v>
      </c>
      <c r="H1854" t="s">
        <v>26</v>
      </c>
      <c r="I1854" t="s">
        <v>3167</v>
      </c>
      <c r="J1854" t="s">
        <v>1026</v>
      </c>
      <c r="K1854" t="s">
        <v>3185</v>
      </c>
      <c r="L1854" t="s">
        <v>1026</v>
      </c>
      <c r="M1854" t="s">
        <v>1000</v>
      </c>
      <c r="N1854" t="s">
        <v>1025</v>
      </c>
      <c r="O1854" t="s">
        <v>1025</v>
      </c>
      <c r="P1854" t="s">
        <v>1089</v>
      </c>
      <c r="Q1854" t="s">
        <v>3169</v>
      </c>
      <c r="R1854" t="s">
        <v>446</v>
      </c>
      <c r="S1854" t="s">
        <v>446</v>
      </c>
      <c r="T1854" t="s">
        <v>1965</v>
      </c>
      <c r="U1854" t="b">
        <v>0</v>
      </c>
      <c r="V1854" t="s">
        <v>446</v>
      </c>
    </row>
    <row r="1855" spans="1:22" x14ac:dyDescent="0.25">
      <c r="A1855" t="s">
        <v>42</v>
      </c>
      <c r="B1855">
        <v>223</v>
      </c>
      <c r="C1855" t="s">
        <v>1028</v>
      </c>
      <c r="D1855" t="s">
        <v>5092</v>
      </c>
      <c r="E1855" t="s">
        <v>1010</v>
      </c>
      <c r="F1855" t="s">
        <v>4137</v>
      </c>
      <c r="G1855" t="s">
        <v>24</v>
      </c>
      <c r="H1855" t="s">
        <v>26</v>
      </c>
      <c r="I1855" t="s">
        <v>3167</v>
      </c>
      <c r="J1855" t="s">
        <v>1026</v>
      </c>
      <c r="K1855" t="s">
        <v>3185</v>
      </c>
      <c r="L1855" t="s">
        <v>1026</v>
      </c>
      <c r="M1855" t="s">
        <v>1000</v>
      </c>
      <c r="N1855" t="s">
        <v>1025</v>
      </c>
      <c r="O1855" t="s">
        <v>1025</v>
      </c>
      <c r="P1855" t="s">
        <v>1089</v>
      </c>
      <c r="Q1855" t="s">
        <v>3169</v>
      </c>
      <c r="R1855" t="s">
        <v>446</v>
      </c>
      <c r="S1855" t="s">
        <v>446</v>
      </c>
      <c r="T1855" t="s">
        <v>1965</v>
      </c>
      <c r="U1855" t="b">
        <v>0</v>
      </c>
      <c r="V1855" t="s">
        <v>446</v>
      </c>
    </row>
    <row r="1856" spans="1:22" x14ac:dyDescent="0.25">
      <c r="A1856" t="s">
        <v>42</v>
      </c>
      <c r="B1856">
        <v>223</v>
      </c>
      <c r="C1856" t="s">
        <v>1030</v>
      </c>
      <c r="D1856" t="s">
        <v>5093</v>
      </c>
      <c r="E1856" t="s">
        <v>1029</v>
      </c>
      <c r="F1856" t="s">
        <v>5094</v>
      </c>
      <c r="G1856" t="s">
        <v>24</v>
      </c>
      <c r="H1856" t="s">
        <v>26</v>
      </c>
      <c r="I1856" t="s">
        <v>3167</v>
      </c>
      <c r="J1856" t="s">
        <v>1033</v>
      </c>
      <c r="K1856" t="s">
        <v>3189</v>
      </c>
      <c r="L1856" t="s">
        <v>1033</v>
      </c>
      <c r="M1856" t="s">
        <v>980</v>
      </c>
      <c r="N1856" t="s">
        <v>1031</v>
      </c>
      <c r="O1856" t="s">
        <v>1031</v>
      </c>
      <c r="P1856" t="s">
        <v>1089</v>
      </c>
      <c r="Q1856" t="s">
        <v>3169</v>
      </c>
      <c r="R1856" t="s">
        <v>446</v>
      </c>
      <c r="S1856" t="s">
        <v>446</v>
      </c>
      <c r="T1856" t="s">
        <v>1965</v>
      </c>
      <c r="U1856" t="b">
        <v>0</v>
      </c>
      <c r="V1856" t="s">
        <v>446</v>
      </c>
    </row>
    <row r="1857" spans="1:22" x14ac:dyDescent="0.25">
      <c r="A1857" t="s">
        <v>42</v>
      </c>
      <c r="B1857">
        <v>223</v>
      </c>
      <c r="C1857" t="s">
        <v>1036</v>
      </c>
      <c r="D1857" t="s">
        <v>5095</v>
      </c>
      <c r="E1857" t="s">
        <v>1035</v>
      </c>
      <c r="F1857" t="s">
        <v>5096</v>
      </c>
      <c r="G1857" t="s">
        <v>24</v>
      </c>
      <c r="H1857" t="s">
        <v>26</v>
      </c>
      <c r="I1857" t="s">
        <v>3167</v>
      </c>
      <c r="J1857" t="s">
        <v>1038</v>
      </c>
      <c r="K1857" t="s">
        <v>3191</v>
      </c>
      <c r="L1857" t="s">
        <v>1038</v>
      </c>
      <c r="M1857" t="s">
        <v>980</v>
      </c>
      <c r="N1857" t="s">
        <v>1037</v>
      </c>
      <c r="O1857" t="s">
        <v>1037</v>
      </c>
      <c r="P1857" t="s">
        <v>1089</v>
      </c>
      <c r="Q1857" t="s">
        <v>3169</v>
      </c>
      <c r="R1857" t="s">
        <v>446</v>
      </c>
      <c r="S1857" t="s">
        <v>446</v>
      </c>
      <c r="T1857" t="s">
        <v>1965</v>
      </c>
      <c r="U1857" t="b">
        <v>0</v>
      </c>
      <c r="V1857" t="s">
        <v>446</v>
      </c>
    </row>
    <row r="1858" spans="1:22" x14ac:dyDescent="0.25">
      <c r="A1858" t="s">
        <v>42</v>
      </c>
      <c r="B1858">
        <v>223</v>
      </c>
      <c r="C1858" t="s">
        <v>1041</v>
      </c>
      <c r="D1858" t="s">
        <v>5097</v>
      </c>
      <c r="E1858" t="s">
        <v>1040</v>
      </c>
      <c r="F1858" t="s">
        <v>5098</v>
      </c>
      <c r="G1858" t="s">
        <v>24</v>
      </c>
      <c r="H1858" t="s">
        <v>26</v>
      </c>
      <c r="I1858" t="s">
        <v>3167</v>
      </c>
      <c r="J1858" t="s">
        <v>1043</v>
      </c>
      <c r="K1858" t="s">
        <v>3193</v>
      </c>
      <c r="L1858" t="s">
        <v>1043</v>
      </c>
      <c r="M1858" t="s">
        <v>980</v>
      </c>
      <c r="N1858" t="s">
        <v>1042</v>
      </c>
      <c r="O1858" t="s">
        <v>1042</v>
      </c>
      <c r="P1858" t="s">
        <v>1089</v>
      </c>
      <c r="Q1858" t="s">
        <v>3169</v>
      </c>
      <c r="R1858" t="s">
        <v>446</v>
      </c>
      <c r="S1858" t="s">
        <v>446</v>
      </c>
      <c r="T1858" t="s">
        <v>1965</v>
      </c>
      <c r="U1858" t="b">
        <v>0</v>
      </c>
      <c r="V1858" t="s">
        <v>446</v>
      </c>
    </row>
    <row r="1859" spans="1:22" x14ac:dyDescent="0.25">
      <c r="A1859" t="s">
        <v>42</v>
      </c>
      <c r="B1859">
        <v>223</v>
      </c>
      <c r="C1859" t="s">
        <v>1046</v>
      </c>
      <c r="D1859" t="s">
        <v>5099</v>
      </c>
      <c r="E1859" t="s">
        <v>1045</v>
      </c>
      <c r="F1859" t="s">
        <v>4138</v>
      </c>
      <c r="G1859" t="s">
        <v>24</v>
      </c>
      <c r="H1859" t="s">
        <v>26</v>
      </c>
      <c r="I1859" t="s">
        <v>3167</v>
      </c>
      <c r="J1859" t="s">
        <v>1048</v>
      </c>
      <c r="K1859" t="s">
        <v>3195</v>
      </c>
      <c r="L1859" t="s">
        <v>1048</v>
      </c>
      <c r="M1859" t="s">
        <v>1000</v>
      </c>
      <c r="N1859" t="s">
        <v>1047</v>
      </c>
      <c r="O1859" t="s">
        <v>1047</v>
      </c>
      <c r="P1859" t="s">
        <v>1089</v>
      </c>
      <c r="Q1859" t="s">
        <v>3169</v>
      </c>
      <c r="R1859" t="s">
        <v>446</v>
      </c>
      <c r="S1859" t="s">
        <v>446</v>
      </c>
      <c r="T1859" t="s">
        <v>1965</v>
      </c>
      <c r="U1859" t="b">
        <v>0</v>
      </c>
      <c r="V1859" t="s">
        <v>446</v>
      </c>
    </row>
    <row r="1860" spans="1:22" x14ac:dyDescent="0.25">
      <c r="A1860" t="s">
        <v>42</v>
      </c>
      <c r="B1860">
        <v>223</v>
      </c>
      <c r="C1860" t="s">
        <v>1050</v>
      </c>
      <c r="D1860" t="s">
        <v>5100</v>
      </c>
      <c r="E1860" t="s">
        <v>1032</v>
      </c>
      <c r="F1860" t="s">
        <v>4138</v>
      </c>
      <c r="G1860" t="s">
        <v>24</v>
      </c>
      <c r="H1860" t="s">
        <v>26</v>
      </c>
      <c r="I1860" t="s">
        <v>3167</v>
      </c>
      <c r="J1860" t="s">
        <v>1048</v>
      </c>
      <c r="K1860" t="s">
        <v>3195</v>
      </c>
      <c r="L1860" t="s">
        <v>1048</v>
      </c>
      <c r="M1860" t="s">
        <v>1000</v>
      </c>
      <c r="N1860" t="s">
        <v>1047</v>
      </c>
      <c r="O1860" t="s">
        <v>1047</v>
      </c>
      <c r="P1860" t="s">
        <v>1089</v>
      </c>
      <c r="Q1860" t="s">
        <v>3169</v>
      </c>
      <c r="R1860" t="s">
        <v>446</v>
      </c>
      <c r="S1860" t="s">
        <v>446</v>
      </c>
      <c r="T1860" t="s">
        <v>1965</v>
      </c>
      <c r="U1860" t="b">
        <v>0</v>
      </c>
      <c r="V1860" t="s">
        <v>446</v>
      </c>
    </row>
    <row r="1861" spans="1:22" x14ac:dyDescent="0.25">
      <c r="A1861" t="s">
        <v>42</v>
      </c>
      <c r="B1861">
        <v>223</v>
      </c>
      <c r="C1861" t="s">
        <v>1052</v>
      </c>
      <c r="D1861" t="s">
        <v>5101</v>
      </c>
      <c r="E1861" t="s">
        <v>1051</v>
      </c>
      <c r="F1861" t="s">
        <v>5102</v>
      </c>
      <c r="G1861" t="s">
        <v>24</v>
      </c>
      <c r="H1861" t="s">
        <v>26</v>
      </c>
      <c r="I1861" t="s">
        <v>3167</v>
      </c>
      <c r="J1861" t="s">
        <v>1055</v>
      </c>
      <c r="K1861" t="s">
        <v>3199</v>
      </c>
      <c r="L1861" t="s">
        <v>1055</v>
      </c>
      <c r="M1861" t="s">
        <v>980</v>
      </c>
      <c r="N1861" t="s">
        <v>1053</v>
      </c>
      <c r="O1861" t="s">
        <v>1053</v>
      </c>
      <c r="P1861" t="s">
        <v>1089</v>
      </c>
      <c r="Q1861" t="s">
        <v>3169</v>
      </c>
      <c r="R1861" t="s">
        <v>446</v>
      </c>
      <c r="S1861" t="s">
        <v>446</v>
      </c>
      <c r="T1861" t="s">
        <v>1965</v>
      </c>
      <c r="U1861" t="b">
        <v>0</v>
      </c>
      <c r="V1861" t="s">
        <v>446</v>
      </c>
    </row>
    <row r="1862" spans="1:22" x14ac:dyDescent="0.25">
      <c r="A1862" t="s">
        <v>42</v>
      </c>
      <c r="B1862">
        <v>224</v>
      </c>
      <c r="C1862" t="s">
        <v>979</v>
      </c>
      <c r="D1862" t="s">
        <v>5103</v>
      </c>
      <c r="E1862" t="s">
        <v>978</v>
      </c>
      <c r="F1862" t="s">
        <v>5104</v>
      </c>
      <c r="G1862" t="s">
        <v>24</v>
      </c>
      <c r="H1862" t="s">
        <v>26</v>
      </c>
      <c r="I1862" t="s">
        <v>3167</v>
      </c>
      <c r="J1862" t="s">
        <v>984</v>
      </c>
      <c r="K1862" t="s">
        <v>3168</v>
      </c>
      <c r="L1862" t="s">
        <v>984</v>
      </c>
      <c r="M1862" t="s">
        <v>980</v>
      </c>
      <c r="N1862" t="s">
        <v>981</v>
      </c>
      <c r="O1862" t="s">
        <v>981</v>
      </c>
      <c r="P1862" t="s">
        <v>1089</v>
      </c>
      <c r="Q1862" t="s">
        <v>3169</v>
      </c>
      <c r="R1862" t="s">
        <v>446</v>
      </c>
      <c r="S1862" t="s">
        <v>446</v>
      </c>
      <c r="T1862" t="s">
        <v>1965</v>
      </c>
      <c r="U1862" t="b">
        <v>0</v>
      </c>
      <c r="V1862" t="s">
        <v>446</v>
      </c>
    </row>
    <row r="1863" spans="1:22" x14ac:dyDescent="0.25">
      <c r="A1863" t="s">
        <v>42</v>
      </c>
      <c r="B1863">
        <v>224</v>
      </c>
      <c r="C1863" t="s">
        <v>987</v>
      </c>
      <c r="D1863" t="s">
        <v>5105</v>
      </c>
      <c r="E1863" t="s">
        <v>986</v>
      </c>
      <c r="F1863" t="s">
        <v>5106</v>
      </c>
      <c r="G1863" t="s">
        <v>24</v>
      </c>
      <c r="H1863" t="s">
        <v>26</v>
      </c>
      <c r="I1863" t="s">
        <v>3167</v>
      </c>
      <c r="J1863" t="s">
        <v>990</v>
      </c>
      <c r="K1863" t="s">
        <v>3171</v>
      </c>
      <c r="L1863" t="s">
        <v>990</v>
      </c>
      <c r="M1863" t="s">
        <v>980</v>
      </c>
      <c r="N1863" t="s">
        <v>988</v>
      </c>
      <c r="O1863" t="s">
        <v>988</v>
      </c>
      <c r="P1863" t="s">
        <v>1089</v>
      </c>
      <c r="Q1863" t="s">
        <v>3169</v>
      </c>
      <c r="R1863" t="s">
        <v>446</v>
      </c>
      <c r="S1863" t="s">
        <v>446</v>
      </c>
      <c r="T1863" t="s">
        <v>1965</v>
      </c>
      <c r="U1863" t="b">
        <v>0</v>
      </c>
      <c r="V1863" t="s">
        <v>446</v>
      </c>
    </row>
    <row r="1864" spans="1:22" x14ac:dyDescent="0.25">
      <c r="A1864" t="s">
        <v>42</v>
      </c>
      <c r="B1864">
        <v>224</v>
      </c>
      <c r="C1864" t="s">
        <v>993</v>
      </c>
      <c r="D1864" t="s">
        <v>5107</v>
      </c>
      <c r="E1864" t="s">
        <v>992</v>
      </c>
      <c r="F1864" t="s">
        <v>5108</v>
      </c>
      <c r="G1864" t="s">
        <v>24</v>
      </c>
      <c r="H1864" t="s">
        <v>26</v>
      </c>
      <c r="I1864" t="s">
        <v>3167</v>
      </c>
      <c r="J1864" t="s">
        <v>996</v>
      </c>
      <c r="K1864" t="s">
        <v>3173</v>
      </c>
      <c r="L1864" t="s">
        <v>996</v>
      </c>
      <c r="M1864" t="s">
        <v>980</v>
      </c>
      <c r="N1864" t="s">
        <v>994</v>
      </c>
      <c r="O1864" t="s">
        <v>994</v>
      </c>
      <c r="P1864" t="s">
        <v>1089</v>
      </c>
      <c r="Q1864" t="s">
        <v>3169</v>
      </c>
      <c r="R1864" t="s">
        <v>446</v>
      </c>
      <c r="S1864" t="s">
        <v>446</v>
      </c>
      <c r="T1864" t="s">
        <v>1965</v>
      </c>
      <c r="U1864" t="b">
        <v>0</v>
      </c>
      <c r="V1864" t="s">
        <v>446</v>
      </c>
    </row>
    <row r="1865" spans="1:22" x14ac:dyDescent="0.25">
      <c r="A1865" t="s">
        <v>42</v>
      </c>
      <c r="B1865">
        <v>224</v>
      </c>
      <c r="C1865" t="s">
        <v>999</v>
      </c>
      <c r="D1865" t="s">
        <v>5109</v>
      </c>
      <c r="E1865" t="s">
        <v>998</v>
      </c>
      <c r="F1865" t="s">
        <v>4142</v>
      </c>
      <c r="G1865" t="s">
        <v>24</v>
      </c>
      <c r="H1865" t="s">
        <v>26</v>
      </c>
      <c r="I1865" t="s">
        <v>3167</v>
      </c>
      <c r="J1865" t="s">
        <v>1003</v>
      </c>
      <c r="K1865" t="s">
        <v>3175</v>
      </c>
      <c r="L1865" t="s">
        <v>1003</v>
      </c>
      <c r="M1865" t="s">
        <v>1000</v>
      </c>
      <c r="N1865" t="s">
        <v>1001</v>
      </c>
      <c r="O1865" t="s">
        <v>1001</v>
      </c>
      <c r="P1865" t="s">
        <v>1089</v>
      </c>
      <c r="Q1865" t="s">
        <v>3169</v>
      </c>
      <c r="R1865" t="s">
        <v>446</v>
      </c>
      <c r="S1865" t="s">
        <v>446</v>
      </c>
      <c r="T1865" t="s">
        <v>1965</v>
      </c>
      <c r="U1865" t="b">
        <v>0</v>
      </c>
      <c r="V1865" t="s">
        <v>446</v>
      </c>
    </row>
    <row r="1866" spans="1:22" x14ac:dyDescent="0.25">
      <c r="A1866" t="s">
        <v>42</v>
      </c>
      <c r="B1866">
        <v>224</v>
      </c>
      <c r="C1866" t="s">
        <v>1005</v>
      </c>
      <c r="D1866" t="s">
        <v>5110</v>
      </c>
      <c r="E1866" t="s">
        <v>982</v>
      </c>
      <c r="F1866" t="s">
        <v>4142</v>
      </c>
      <c r="G1866" t="s">
        <v>24</v>
      </c>
      <c r="H1866" t="s">
        <v>26</v>
      </c>
      <c r="I1866" t="s">
        <v>3167</v>
      </c>
      <c r="J1866" t="s">
        <v>1003</v>
      </c>
      <c r="K1866" t="s">
        <v>3175</v>
      </c>
      <c r="L1866" t="s">
        <v>1003</v>
      </c>
      <c r="M1866" t="s">
        <v>1000</v>
      </c>
      <c r="N1866" t="s">
        <v>1001</v>
      </c>
      <c r="O1866" t="s">
        <v>1001</v>
      </c>
      <c r="P1866" t="s">
        <v>1089</v>
      </c>
      <c r="Q1866" t="s">
        <v>3169</v>
      </c>
      <c r="R1866" t="s">
        <v>446</v>
      </c>
      <c r="S1866" t="s">
        <v>446</v>
      </c>
      <c r="T1866" t="s">
        <v>1965</v>
      </c>
      <c r="U1866" t="b">
        <v>0</v>
      </c>
      <c r="V1866" t="s">
        <v>446</v>
      </c>
    </row>
    <row r="1867" spans="1:22" x14ac:dyDescent="0.25">
      <c r="A1867" t="s">
        <v>42</v>
      </c>
      <c r="B1867">
        <v>224</v>
      </c>
      <c r="C1867" t="s">
        <v>1007</v>
      </c>
      <c r="D1867" t="s">
        <v>5111</v>
      </c>
      <c r="E1867" t="s">
        <v>1006</v>
      </c>
      <c r="F1867" t="s">
        <v>5112</v>
      </c>
      <c r="G1867" t="s">
        <v>24</v>
      </c>
      <c r="H1867" t="s">
        <v>26</v>
      </c>
      <c r="I1867" t="s">
        <v>3167</v>
      </c>
      <c r="J1867" t="s">
        <v>1011</v>
      </c>
      <c r="K1867" t="s">
        <v>3179</v>
      </c>
      <c r="L1867" t="s">
        <v>1011</v>
      </c>
      <c r="M1867" t="s">
        <v>1008</v>
      </c>
      <c r="N1867" t="s">
        <v>1009</v>
      </c>
      <c r="O1867" t="s">
        <v>1009</v>
      </c>
      <c r="P1867" t="s">
        <v>1089</v>
      </c>
      <c r="Q1867" t="s">
        <v>3169</v>
      </c>
      <c r="R1867" t="s">
        <v>446</v>
      </c>
      <c r="S1867" t="s">
        <v>446</v>
      </c>
      <c r="T1867" t="s">
        <v>1965</v>
      </c>
      <c r="U1867" t="b">
        <v>0</v>
      </c>
      <c r="V1867" t="s">
        <v>446</v>
      </c>
    </row>
    <row r="1868" spans="1:22" x14ac:dyDescent="0.25">
      <c r="A1868" t="s">
        <v>42</v>
      </c>
      <c r="B1868">
        <v>224</v>
      </c>
      <c r="C1868" t="s">
        <v>1014</v>
      </c>
      <c r="D1868" t="s">
        <v>5113</v>
      </c>
      <c r="E1868" t="s">
        <v>1013</v>
      </c>
      <c r="F1868" t="s">
        <v>5114</v>
      </c>
      <c r="G1868" t="s">
        <v>24</v>
      </c>
      <c r="H1868" t="s">
        <v>26</v>
      </c>
      <c r="I1868" t="s">
        <v>3167</v>
      </c>
      <c r="J1868" t="s">
        <v>1016</v>
      </c>
      <c r="K1868" t="s">
        <v>3181</v>
      </c>
      <c r="L1868" t="s">
        <v>1016</v>
      </c>
      <c r="M1868" t="s">
        <v>980</v>
      </c>
      <c r="N1868" t="s">
        <v>1015</v>
      </c>
      <c r="O1868" t="s">
        <v>1015</v>
      </c>
      <c r="P1868" t="s">
        <v>1089</v>
      </c>
      <c r="Q1868" t="s">
        <v>3169</v>
      </c>
      <c r="R1868" t="s">
        <v>446</v>
      </c>
      <c r="S1868" t="s">
        <v>446</v>
      </c>
      <c r="T1868" t="s">
        <v>1965</v>
      </c>
      <c r="U1868" t="b">
        <v>0</v>
      </c>
      <c r="V1868" t="s">
        <v>446</v>
      </c>
    </row>
    <row r="1869" spans="1:22" x14ac:dyDescent="0.25">
      <c r="A1869" t="s">
        <v>42</v>
      </c>
      <c r="B1869">
        <v>224</v>
      </c>
      <c r="C1869" t="s">
        <v>1019</v>
      </c>
      <c r="D1869" t="s">
        <v>5115</v>
      </c>
      <c r="E1869" t="s">
        <v>1018</v>
      </c>
      <c r="F1869" t="s">
        <v>5116</v>
      </c>
      <c r="G1869" t="s">
        <v>24</v>
      </c>
      <c r="H1869" t="s">
        <v>26</v>
      </c>
      <c r="I1869" t="s">
        <v>3167</v>
      </c>
      <c r="J1869" t="s">
        <v>1021</v>
      </c>
      <c r="K1869" t="s">
        <v>3183</v>
      </c>
      <c r="L1869" t="s">
        <v>1021</v>
      </c>
      <c r="M1869" t="s">
        <v>980</v>
      </c>
      <c r="N1869" t="s">
        <v>1020</v>
      </c>
      <c r="O1869" t="s">
        <v>1020</v>
      </c>
      <c r="P1869" t="s">
        <v>1089</v>
      </c>
      <c r="Q1869" t="s">
        <v>3169</v>
      </c>
      <c r="R1869" t="s">
        <v>446</v>
      </c>
      <c r="S1869" t="s">
        <v>446</v>
      </c>
      <c r="T1869" t="s">
        <v>1965</v>
      </c>
      <c r="U1869" t="b">
        <v>0</v>
      </c>
      <c r="V1869" t="s">
        <v>446</v>
      </c>
    </row>
    <row r="1870" spans="1:22" x14ac:dyDescent="0.25">
      <c r="A1870" t="s">
        <v>42</v>
      </c>
      <c r="B1870">
        <v>224</v>
      </c>
      <c r="C1870" t="s">
        <v>1024</v>
      </c>
      <c r="D1870" t="s">
        <v>5117</v>
      </c>
      <c r="E1870" t="s">
        <v>1023</v>
      </c>
      <c r="F1870" t="s">
        <v>4147</v>
      </c>
      <c r="G1870" t="s">
        <v>24</v>
      </c>
      <c r="H1870" t="s">
        <v>26</v>
      </c>
      <c r="I1870" t="s">
        <v>3167</v>
      </c>
      <c r="J1870" t="s">
        <v>1026</v>
      </c>
      <c r="K1870" t="s">
        <v>3185</v>
      </c>
      <c r="L1870" t="s">
        <v>1026</v>
      </c>
      <c r="M1870" t="s">
        <v>1000</v>
      </c>
      <c r="N1870" t="s">
        <v>1025</v>
      </c>
      <c r="O1870" t="s">
        <v>1025</v>
      </c>
      <c r="P1870" t="s">
        <v>1089</v>
      </c>
      <c r="Q1870" t="s">
        <v>3169</v>
      </c>
      <c r="R1870" t="s">
        <v>446</v>
      </c>
      <c r="S1870" t="s">
        <v>446</v>
      </c>
      <c r="T1870" t="s">
        <v>1965</v>
      </c>
      <c r="U1870" t="b">
        <v>0</v>
      </c>
      <c r="V1870" t="s">
        <v>446</v>
      </c>
    </row>
    <row r="1871" spans="1:22" x14ac:dyDescent="0.25">
      <c r="A1871" t="s">
        <v>42</v>
      </c>
      <c r="B1871">
        <v>224</v>
      </c>
      <c r="C1871" t="s">
        <v>1028</v>
      </c>
      <c r="D1871" t="s">
        <v>5118</v>
      </c>
      <c r="E1871" t="s">
        <v>1010</v>
      </c>
      <c r="F1871" t="s">
        <v>4147</v>
      </c>
      <c r="G1871" t="s">
        <v>24</v>
      </c>
      <c r="H1871" t="s">
        <v>26</v>
      </c>
      <c r="I1871" t="s">
        <v>3167</v>
      </c>
      <c r="J1871" t="s">
        <v>1026</v>
      </c>
      <c r="K1871" t="s">
        <v>3185</v>
      </c>
      <c r="L1871" t="s">
        <v>1026</v>
      </c>
      <c r="M1871" t="s">
        <v>1000</v>
      </c>
      <c r="N1871" t="s">
        <v>1025</v>
      </c>
      <c r="O1871" t="s">
        <v>1025</v>
      </c>
      <c r="P1871" t="s">
        <v>1089</v>
      </c>
      <c r="Q1871" t="s">
        <v>3169</v>
      </c>
      <c r="R1871" t="s">
        <v>446</v>
      </c>
      <c r="S1871" t="s">
        <v>446</v>
      </c>
      <c r="T1871" t="s">
        <v>1965</v>
      </c>
      <c r="U1871" t="b">
        <v>0</v>
      </c>
      <c r="V1871" t="s">
        <v>446</v>
      </c>
    </row>
    <row r="1872" spans="1:22" x14ac:dyDescent="0.25">
      <c r="A1872" t="s">
        <v>42</v>
      </c>
      <c r="B1872">
        <v>224</v>
      </c>
      <c r="C1872" t="s">
        <v>1030</v>
      </c>
      <c r="D1872" t="s">
        <v>5119</v>
      </c>
      <c r="E1872" t="s">
        <v>1029</v>
      </c>
      <c r="F1872" t="s">
        <v>5120</v>
      </c>
      <c r="G1872" t="s">
        <v>24</v>
      </c>
      <c r="H1872" t="s">
        <v>26</v>
      </c>
      <c r="I1872" t="s">
        <v>3167</v>
      </c>
      <c r="J1872" t="s">
        <v>1033</v>
      </c>
      <c r="K1872" t="s">
        <v>3189</v>
      </c>
      <c r="L1872" t="s">
        <v>1033</v>
      </c>
      <c r="M1872" t="s">
        <v>980</v>
      </c>
      <c r="N1872" t="s">
        <v>1031</v>
      </c>
      <c r="O1872" t="s">
        <v>1031</v>
      </c>
      <c r="P1872" t="s">
        <v>1089</v>
      </c>
      <c r="Q1872" t="s">
        <v>3169</v>
      </c>
      <c r="R1872" t="s">
        <v>446</v>
      </c>
      <c r="S1872" t="s">
        <v>446</v>
      </c>
      <c r="T1872" t="s">
        <v>1965</v>
      </c>
      <c r="U1872" t="b">
        <v>0</v>
      </c>
      <c r="V1872" t="s">
        <v>446</v>
      </c>
    </row>
    <row r="1873" spans="1:22" x14ac:dyDescent="0.25">
      <c r="A1873" t="s">
        <v>42</v>
      </c>
      <c r="B1873">
        <v>224</v>
      </c>
      <c r="C1873" t="s">
        <v>1036</v>
      </c>
      <c r="D1873" t="s">
        <v>5121</v>
      </c>
      <c r="E1873" t="s">
        <v>1035</v>
      </c>
      <c r="F1873" t="s">
        <v>5122</v>
      </c>
      <c r="G1873" t="s">
        <v>24</v>
      </c>
      <c r="H1873" t="s">
        <v>26</v>
      </c>
      <c r="I1873" t="s">
        <v>3167</v>
      </c>
      <c r="J1873" t="s">
        <v>1038</v>
      </c>
      <c r="K1873" t="s">
        <v>3191</v>
      </c>
      <c r="L1873" t="s">
        <v>1038</v>
      </c>
      <c r="M1873" t="s">
        <v>980</v>
      </c>
      <c r="N1873" t="s">
        <v>1037</v>
      </c>
      <c r="O1873" t="s">
        <v>1037</v>
      </c>
      <c r="P1873" t="s">
        <v>1089</v>
      </c>
      <c r="Q1873" t="s">
        <v>3169</v>
      </c>
      <c r="R1873" t="s">
        <v>446</v>
      </c>
      <c r="S1873" t="s">
        <v>446</v>
      </c>
      <c r="T1873" t="s">
        <v>1965</v>
      </c>
      <c r="U1873" t="b">
        <v>0</v>
      </c>
      <c r="V1873" t="s">
        <v>446</v>
      </c>
    </row>
    <row r="1874" spans="1:22" x14ac:dyDescent="0.25">
      <c r="A1874" t="s">
        <v>42</v>
      </c>
      <c r="B1874">
        <v>224</v>
      </c>
      <c r="C1874" t="s">
        <v>1041</v>
      </c>
      <c r="D1874" t="s">
        <v>5123</v>
      </c>
      <c r="E1874" t="s">
        <v>1040</v>
      </c>
      <c r="F1874" t="s">
        <v>5124</v>
      </c>
      <c r="G1874" t="s">
        <v>24</v>
      </c>
      <c r="H1874" t="s">
        <v>26</v>
      </c>
      <c r="I1874" t="s">
        <v>3167</v>
      </c>
      <c r="J1874" t="s">
        <v>1043</v>
      </c>
      <c r="K1874" t="s">
        <v>3193</v>
      </c>
      <c r="L1874" t="s">
        <v>1043</v>
      </c>
      <c r="M1874" t="s">
        <v>980</v>
      </c>
      <c r="N1874" t="s">
        <v>1042</v>
      </c>
      <c r="O1874" t="s">
        <v>1042</v>
      </c>
      <c r="P1874" t="s">
        <v>1089</v>
      </c>
      <c r="Q1874" t="s">
        <v>3169</v>
      </c>
      <c r="R1874" t="s">
        <v>446</v>
      </c>
      <c r="S1874" t="s">
        <v>446</v>
      </c>
      <c r="T1874" t="s">
        <v>1965</v>
      </c>
      <c r="U1874" t="b">
        <v>0</v>
      </c>
      <c r="V1874" t="s">
        <v>446</v>
      </c>
    </row>
    <row r="1875" spans="1:22" x14ac:dyDescent="0.25">
      <c r="A1875" t="s">
        <v>42</v>
      </c>
      <c r="B1875">
        <v>224</v>
      </c>
      <c r="C1875" t="s">
        <v>1046</v>
      </c>
      <c r="D1875" t="s">
        <v>5125</v>
      </c>
      <c r="E1875" t="s">
        <v>1045</v>
      </c>
      <c r="F1875" t="s">
        <v>4148</v>
      </c>
      <c r="G1875" t="s">
        <v>24</v>
      </c>
      <c r="H1875" t="s">
        <v>26</v>
      </c>
      <c r="I1875" t="s">
        <v>3167</v>
      </c>
      <c r="J1875" t="s">
        <v>1048</v>
      </c>
      <c r="K1875" t="s">
        <v>3195</v>
      </c>
      <c r="L1875" t="s">
        <v>1048</v>
      </c>
      <c r="M1875" t="s">
        <v>1000</v>
      </c>
      <c r="N1875" t="s">
        <v>1047</v>
      </c>
      <c r="O1875" t="s">
        <v>1047</v>
      </c>
      <c r="P1875" t="s">
        <v>1089</v>
      </c>
      <c r="Q1875" t="s">
        <v>3169</v>
      </c>
      <c r="R1875" t="s">
        <v>446</v>
      </c>
      <c r="S1875" t="s">
        <v>446</v>
      </c>
      <c r="T1875" t="s">
        <v>1965</v>
      </c>
      <c r="U1875" t="b">
        <v>0</v>
      </c>
      <c r="V1875" t="s">
        <v>446</v>
      </c>
    </row>
    <row r="1876" spans="1:22" x14ac:dyDescent="0.25">
      <c r="A1876" t="s">
        <v>42</v>
      </c>
      <c r="B1876">
        <v>224</v>
      </c>
      <c r="C1876" t="s">
        <v>1050</v>
      </c>
      <c r="D1876" t="s">
        <v>5126</v>
      </c>
      <c r="E1876" t="s">
        <v>1032</v>
      </c>
      <c r="F1876" t="s">
        <v>4148</v>
      </c>
      <c r="G1876" t="s">
        <v>24</v>
      </c>
      <c r="H1876" t="s">
        <v>26</v>
      </c>
      <c r="I1876" t="s">
        <v>3167</v>
      </c>
      <c r="J1876" t="s">
        <v>1048</v>
      </c>
      <c r="K1876" t="s">
        <v>3195</v>
      </c>
      <c r="L1876" t="s">
        <v>1048</v>
      </c>
      <c r="M1876" t="s">
        <v>1000</v>
      </c>
      <c r="N1876" t="s">
        <v>1047</v>
      </c>
      <c r="O1876" t="s">
        <v>1047</v>
      </c>
      <c r="P1876" t="s">
        <v>1089</v>
      </c>
      <c r="Q1876" t="s">
        <v>3169</v>
      </c>
      <c r="R1876" t="s">
        <v>446</v>
      </c>
      <c r="S1876" t="s">
        <v>446</v>
      </c>
      <c r="T1876" t="s">
        <v>1965</v>
      </c>
      <c r="U1876" t="b">
        <v>0</v>
      </c>
      <c r="V1876" t="s">
        <v>446</v>
      </c>
    </row>
    <row r="1877" spans="1:22" x14ac:dyDescent="0.25">
      <c r="A1877" t="s">
        <v>42</v>
      </c>
      <c r="B1877">
        <v>224</v>
      </c>
      <c r="C1877" t="s">
        <v>1052</v>
      </c>
      <c r="D1877" t="s">
        <v>5127</v>
      </c>
      <c r="E1877" t="s">
        <v>1051</v>
      </c>
      <c r="F1877" t="s">
        <v>4025</v>
      </c>
      <c r="G1877" t="s">
        <v>24</v>
      </c>
      <c r="H1877" t="s">
        <v>26</v>
      </c>
      <c r="I1877" t="s">
        <v>3167</v>
      </c>
      <c r="J1877" t="s">
        <v>1055</v>
      </c>
      <c r="K1877" t="s">
        <v>3199</v>
      </c>
      <c r="L1877" t="s">
        <v>1055</v>
      </c>
      <c r="M1877" t="s">
        <v>980</v>
      </c>
      <c r="N1877" t="s">
        <v>1053</v>
      </c>
      <c r="O1877" t="s">
        <v>1053</v>
      </c>
      <c r="P1877" t="s">
        <v>1089</v>
      </c>
      <c r="Q1877" t="s">
        <v>3169</v>
      </c>
      <c r="R1877" t="s">
        <v>446</v>
      </c>
      <c r="S1877" t="s">
        <v>446</v>
      </c>
      <c r="T1877" t="s">
        <v>1965</v>
      </c>
      <c r="U1877" t="b">
        <v>0</v>
      </c>
      <c r="V1877" t="s">
        <v>446</v>
      </c>
    </row>
    <row r="1878" spans="1:22" x14ac:dyDescent="0.25">
      <c r="A1878" t="s">
        <v>42</v>
      </c>
      <c r="B1878">
        <v>225</v>
      </c>
      <c r="C1878" t="s">
        <v>979</v>
      </c>
      <c r="D1878" t="s">
        <v>5128</v>
      </c>
      <c r="E1878" t="s">
        <v>978</v>
      </c>
      <c r="F1878" t="s">
        <v>5129</v>
      </c>
      <c r="G1878" t="s">
        <v>24</v>
      </c>
      <c r="H1878" t="s">
        <v>26</v>
      </c>
      <c r="I1878" t="s">
        <v>3167</v>
      </c>
      <c r="J1878" t="s">
        <v>984</v>
      </c>
      <c r="K1878" t="s">
        <v>3168</v>
      </c>
      <c r="L1878" t="s">
        <v>984</v>
      </c>
      <c r="M1878" t="s">
        <v>980</v>
      </c>
      <c r="N1878" t="s">
        <v>981</v>
      </c>
      <c r="O1878" t="s">
        <v>981</v>
      </c>
      <c r="P1878" t="s">
        <v>1089</v>
      </c>
      <c r="Q1878" t="s">
        <v>3169</v>
      </c>
      <c r="R1878" t="s">
        <v>446</v>
      </c>
      <c r="S1878" t="s">
        <v>446</v>
      </c>
      <c r="T1878" t="s">
        <v>1965</v>
      </c>
      <c r="U1878" t="b">
        <v>0</v>
      </c>
      <c r="V1878" t="s">
        <v>446</v>
      </c>
    </row>
    <row r="1879" spans="1:22" x14ac:dyDescent="0.25">
      <c r="A1879" t="s">
        <v>42</v>
      </c>
      <c r="B1879">
        <v>225</v>
      </c>
      <c r="C1879" t="s">
        <v>987</v>
      </c>
      <c r="D1879" t="s">
        <v>5130</v>
      </c>
      <c r="E1879" t="s">
        <v>986</v>
      </c>
      <c r="F1879" t="s">
        <v>5131</v>
      </c>
      <c r="G1879" t="s">
        <v>24</v>
      </c>
      <c r="H1879" t="s">
        <v>26</v>
      </c>
      <c r="I1879" t="s">
        <v>3167</v>
      </c>
      <c r="J1879" t="s">
        <v>990</v>
      </c>
      <c r="K1879" t="s">
        <v>3171</v>
      </c>
      <c r="L1879" t="s">
        <v>990</v>
      </c>
      <c r="M1879" t="s">
        <v>980</v>
      </c>
      <c r="N1879" t="s">
        <v>988</v>
      </c>
      <c r="O1879" t="s">
        <v>988</v>
      </c>
      <c r="P1879" t="s">
        <v>1089</v>
      </c>
      <c r="Q1879" t="s">
        <v>3169</v>
      </c>
      <c r="R1879" t="s">
        <v>446</v>
      </c>
      <c r="S1879" t="s">
        <v>446</v>
      </c>
      <c r="T1879" t="s">
        <v>1965</v>
      </c>
      <c r="U1879" t="b">
        <v>0</v>
      </c>
      <c r="V1879" t="s">
        <v>446</v>
      </c>
    </row>
    <row r="1880" spans="1:22" x14ac:dyDescent="0.25">
      <c r="A1880" t="s">
        <v>42</v>
      </c>
      <c r="B1880">
        <v>225</v>
      </c>
      <c r="C1880" t="s">
        <v>993</v>
      </c>
      <c r="D1880" t="s">
        <v>5132</v>
      </c>
      <c r="E1880" t="s">
        <v>992</v>
      </c>
      <c r="F1880" t="s">
        <v>5133</v>
      </c>
      <c r="G1880" t="s">
        <v>24</v>
      </c>
      <c r="H1880" t="s">
        <v>26</v>
      </c>
      <c r="I1880" t="s">
        <v>3167</v>
      </c>
      <c r="J1880" t="s">
        <v>996</v>
      </c>
      <c r="K1880" t="s">
        <v>3173</v>
      </c>
      <c r="L1880" t="s">
        <v>996</v>
      </c>
      <c r="M1880" t="s">
        <v>980</v>
      </c>
      <c r="N1880" t="s">
        <v>994</v>
      </c>
      <c r="O1880" t="s">
        <v>994</v>
      </c>
      <c r="P1880" t="s">
        <v>1089</v>
      </c>
      <c r="Q1880" t="s">
        <v>3169</v>
      </c>
      <c r="R1880" t="s">
        <v>446</v>
      </c>
      <c r="S1880" t="s">
        <v>446</v>
      </c>
      <c r="T1880" t="s">
        <v>1965</v>
      </c>
      <c r="U1880" t="b">
        <v>0</v>
      </c>
      <c r="V1880" t="s">
        <v>446</v>
      </c>
    </row>
    <row r="1881" spans="1:22" x14ac:dyDescent="0.25">
      <c r="A1881" t="s">
        <v>42</v>
      </c>
      <c r="B1881">
        <v>225</v>
      </c>
      <c r="C1881" t="s">
        <v>999</v>
      </c>
      <c r="D1881" t="s">
        <v>5134</v>
      </c>
      <c r="E1881" t="s">
        <v>998</v>
      </c>
      <c r="F1881" t="s">
        <v>5135</v>
      </c>
      <c r="G1881" t="s">
        <v>24</v>
      </c>
      <c r="H1881" t="s">
        <v>26</v>
      </c>
      <c r="I1881" t="s">
        <v>3167</v>
      </c>
      <c r="J1881" t="s">
        <v>1003</v>
      </c>
      <c r="K1881" t="s">
        <v>3175</v>
      </c>
      <c r="L1881" t="s">
        <v>1003</v>
      </c>
      <c r="M1881" t="s">
        <v>1000</v>
      </c>
      <c r="N1881" t="s">
        <v>1001</v>
      </c>
      <c r="O1881" t="s">
        <v>1001</v>
      </c>
      <c r="P1881" t="s">
        <v>1089</v>
      </c>
      <c r="Q1881" t="s">
        <v>3169</v>
      </c>
      <c r="R1881" t="s">
        <v>446</v>
      </c>
      <c r="S1881" t="s">
        <v>446</v>
      </c>
      <c r="T1881" t="s">
        <v>1965</v>
      </c>
      <c r="U1881" t="b">
        <v>0</v>
      </c>
      <c r="V1881" t="s">
        <v>446</v>
      </c>
    </row>
    <row r="1882" spans="1:22" x14ac:dyDescent="0.25">
      <c r="A1882" t="s">
        <v>42</v>
      </c>
      <c r="B1882">
        <v>225</v>
      </c>
      <c r="C1882" t="s">
        <v>1005</v>
      </c>
      <c r="D1882" t="s">
        <v>5136</v>
      </c>
      <c r="E1882" t="s">
        <v>982</v>
      </c>
      <c r="F1882" t="s">
        <v>5135</v>
      </c>
      <c r="G1882" t="s">
        <v>24</v>
      </c>
      <c r="H1882" t="s">
        <v>26</v>
      </c>
      <c r="I1882" t="s">
        <v>3167</v>
      </c>
      <c r="J1882" t="s">
        <v>1003</v>
      </c>
      <c r="K1882" t="s">
        <v>3175</v>
      </c>
      <c r="L1882" t="s">
        <v>1003</v>
      </c>
      <c r="M1882" t="s">
        <v>1000</v>
      </c>
      <c r="N1882" t="s">
        <v>1001</v>
      </c>
      <c r="O1882" t="s">
        <v>1001</v>
      </c>
      <c r="P1882" t="s">
        <v>1089</v>
      </c>
      <c r="Q1882" t="s">
        <v>3169</v>
      </c>
      <c r="R1882" t="s">
        <v>446</v>
      </c>
      <c r="S1882" t="s">
        <v>446</v>
      </c>
      <c r="T1882" t="s">
        <v>1965</v>
      </c>
      <c r="U1882" t="b">
        <v>0</v>
      </c>
      <c r="V1882" t="s">
        <v>446</v>
      </c>
    </row>
    <row r="1883" spans="1:22" x14ac:dyDescent="0.25">
      <c r="A1883" t="s">
        <v>42</v>
      </c>
      <c r="B1883">
        <v>225</v>
      </c>
      <c r="C1883" t="s">
        <v>1007</v>
      </c>
      <c r="D1883" t="s">
        <v>5137</v>
      </c>
      <c r="E1883" t="s">
        <v>1006</v>
      </c>
      <c r="F1883" t="s">
        <v>5138</v>
      </c>
      <c r="G1883" t="s">
        <v>24</v>
      </c>
      <c r="H1883" t="s">
        <v>26</v>
      </c>
      <c r="I1883" t="s">
        <v>3167</v>
      </c>
      <c r="J1883" t="s">
        <v>1011</v>
      </c>
      <c r="K1883" t="s">
        <v>3179</v>
      </c>
      <c r="L1883" t="s">
        <v>1011</v>
      </c>
      <c r="M1883" t="s">
        <v>1008</v>
      </c>
      <c r="N1883" t="s">
        <v>1009</v>
      </c>
      <c r="O1883" t="s">
        <v>1009</v>
      </c>
      <c r="P1883" t="s">
        <v>1089</v>
      </c>
      <c r="Q1883" t="s">
        <v>3169</v>
      </c>
      <c r="R1883" t="s">
        <v>446</v>
      </c>
      <c r="S1883" t="s">
        <v>446</v>
      </c>
      <c r="T1883" t="s">
        <v>1965</v>
      </c>
      <c r="U1883" t="b">
        <v>0</v>
      </c>
      <c r="V1883" t="s">
        <v>446</v>
      </c>
    </row>
    <row r="1884" spans="1:22" x14ac:dyDescent="0.25">
      <c r="A1884" t="s">
        <v>42</v>
      </c>
      <c r="B1884">
        <v>225</v>
      </c>
      <c r="C1884" t="s">
        <v>1014</v>
      </c>
      <c r="D1884" t="s">
        <v>5139</v>
      </c>
      <c r="E1884" t="s">
        <v>1013</v>
      </c>
      <c r="F1884" t="s">
        <v>5140</v>
      </c>
      <c r="G1884" t="s">
        <v>24</v>
      </c>
      <c r="H1884" t="s">
        <v>26</v>
      </c>
      <c r="I1884" t="s">
        <v>3167</v>
      </c>
      <c r="J1884" t="s">
        <v>1016</v>
      </c>
      <c r="K1884" t="s">
        <v>3181</v>
      </c>
      <c r="L1884" t="s">
        <v>1016</v>
      </c>
      <c r="M1884" t="s">
        <v>980</v>
      </c>
      <c r="N1884" t="s">
        <v>1015</v>
      </c>
      <c r="O1884" t="s">
        <v>1015</v>
      </c>
      <c r="P1884" t="s">
        <v>1089</v>
      </c>
      <c r="Q1884" t="s">
        <v>3169</v>
      </c>
      <c r="R1884" t="s">
        <v>446</v>
      </c>
      <c r="S1884" t="s">
        <v>446</v>
      </c>
      <c r="T1884" t="s">
        <v>1965</v>
      </c>
      <c r="U1884" t="b">
        <v>0</v>
      </c>
      <c r="V1884" t="s">
        <v>446</v>
      </c>
    </row>
    <row r="1885" spans="1:22" x14ac:dyDescent="0.25">
      <c r="A1885" t="s">
        <v>42</v>
      </c>
      <c r="B1885">
        <v>225</v>
      </c>
      <c r="C1885" t="s">
        <v>1019</v>
      </c>
      <c r="D1885" t="s">
        <v>5141</v>
      </c>
      <c r="E1885" t="s">
        <v>1018</v>
      </c>
      <c r="F1885" t="s">
        <v>5142</v>
      </c>
      <c r="G1885" t="s">
        <v>24</v>
      </c>
      <c r="H1885" t="s">
        <v>26</v>
      </c>
      <c r="I1885" t="s">
        <v>3167</v>
      </c>
      <c r="J1885" t="s">
        <v>1021</v>
      </c>
      <c r="K1885" t="s">
        <v>3183</v>
      </c>
      <c r="L1885" t="s">
        <v>1021</v>
      </c>
      <c r="M1885" t="s">
        <v>980</v>
      </c>
      <c r="N1885" t="s">
        <v>1020</v>
      </c>
      <c r="O1885" t="s">
        <v>1020</v>
      </c>
      <c r="P1885" t="s">
        <v>1089</v>
      </c>
      <c r="Q1885" t="s">
        <v>3169</v>
      </c>
      <c r="R1885" t="s">
        <v>446</v>
      </c>
      <c r="S1885" t="s">
        <v>446</v>
      </c>
      <c r="T1885" t="s">
        <v>1965</v>
      </c>
      <c r="U1885" t="b">
        <v>0</v>
      </c>
      <c r="V1885" t="s">
        <v>446</v>
      </c>
    </row>
    <row r="1886" spans="1:22" x14ac:dyDescent="0.25">
      <c r="A1886" t="s">
        <v>42</v>
      </c>
      <c r="B1886">
        <v>225</v>
      </c>
      <c r="C1886" t="s">
        <v>1024</v>
      </c>
      <c r="D1886" t="s">
        <v>5143</v>
      </c>
      <c r="E1886" t="s">
        <v>1023</v>
      </c>
      <c r="F1886" t="s">
        <v>5144</v>
      </c>
      <c r="G1886" t="s">
        <v>24</v>
      </c>
      <c r="H1886" t="s">
        <v>26</v>
      </c>
      <c r="I1886" t="s">
        <v>3167</v>
      </c>
      <c r="J1886" t="s">
        <v>1026</v>
      </c>
      <c r="K1886" t="s">
        <v>3185</v>
      </c>
      <c r="L1886" t="s">
        <v>1026</v>
      </c>
      <c r="M1886" t="s">
        <v>1000</v>
      </c>
      <c r="N1886" t="s">
        <v>1025</v>
      </c>
      <c r="O1886" t="s">
        <v>1025</v>
      </c>
      <c r="P1886" t="s">
        <v>1089</v>
      </c>
      <c r="Q1886" t="s">
        <v>3169</v>
      </c>
      <c r="R1886" t="s">
        <v>446</v>
      </c>
      <c r="S1886" t="s">
        <v>446</v>
      </c>
      <c r="T1886" t="s">
        <v>1965</v>
      </c>
      <c r="U1886" t="b">
        <v>0</v>
      </c>
      <c r="V1886" t="s">
        <v>446</v>
      </c>
    </row>
    <row r="1887" spans="1:22" x14ac:dyDescent="0.25">
      <c r="A1887" t="s">
        <v>42</v>
      </c>
      <c r="B1887">
        <v>225</v>
      </c>
      <c r="C1887" t="s">
        <v>1028</v>
      </c>
      <c r="D1887" t="s">
        <v>5145</v>
      </c>
      <c r="E1887" t="s">
        <v>1010</v>
      </c>
      <c r="F1887" t="s">
        <v>5144</v>
      </c>
      <c r="G1887" t="s">
        <v>24</v>
      </c>
      <c r="H1887" t="s">
        <v>26</v>
      </c>
      <c r="I1887" t="s">
        <v>3167</v>
      </c>
      <c r="J1887" t="s">
        <v>1026</v>
      </c>
      <c r="K1887" t="s">
        <v>3185</v>
      </c>
      <c r="L1887" t="s">
        <v>1026</v>
      </c>
      <c r="M1887" t="s">
        <v>1000</v>
      </c>
      <c r="N1887" t="s">
        <v>1025</v>
      </c>
      <c r="O1887" t="s">
        <v>1025</v>
      </c>
      <c r="P1887" t="s">
        <v>1089</v>
      </c>
      <c r="Q1887" t="s">
        <v>3169</v>
      </c>
      <c r="R1887" t="s">
        <v>446</v>
      </c>
      <c r="S1887" t="s">
        <v>446</v>
      </c>
      <c r="T1887" t="s">
        <v>1965</v>
      </c>
      <c r="U1887" t="b">
        <v>0</v>
      </c>
      <c r="V1887" t="s">
        <v>446</v>
      </c>
    </row>
    <row r="1888" spans="1:22" x14ac:dyDescent="0.25">
      <c r="A1888" t="s">
        <v>42</v>
      </c>
      <c r="B1888">
        <v>225</v>
      </c>
      <c r="C1888" t="s">
        <v>1030</v>
      </c>
      <c r="D1888" t="s">
        <v>5146</v>
      </c>
      <c r="E1888" t="s">
        <v>1029</v>
      </c>
      <c r="F1888" t="s">
        <v>5147</v>
      </c>
      <c r="G1888" t="s">
        <v>24</v>
      </c>
      <c r="H1888" t="s">
        <v>26</v>
      </c>
      <c r="I1888" t="s">
        <v>3167</v>
      </c>
      <c r="J1888" t="s">
        <v>1033</v>
      </c>
      <c r="K1888" t="s">
        <v>3189</v>
      </c>
      <c r="L1888" t="s">
        <v>1033</v>
      </c>
      <c r="M1888" t="s">
        <v>980</v>
      </c>
      <c r="N1888" t="s">
        <v>1031</v>
      </c>
      <c r="O1888" t="s">
        <v>1031</v>
      </c>
      <c r="P1888" t="s">
        <v>1089</v>
      </c>
      <c r="Q1888" t="s">
        <v>3169</v>
      </c>
      <c r="R1888" t="s">
        <v>446</v>
      </c>
      <c r="S1888" t="s">
        <v>446</v>
      </c>
      <c r="T1888" t="s">
        <v>1965</v>
      </c>
      <c r="U1888" t="b">
        <v>0</v>
      </c>
      <c r="V1888" t="s">
        <v>446</v>
      </c>
    </row>
    <row r="1889" spans="1:22" x14ac:dyDescent="0.25">
      <c r="A1889" t="s">
        <v>42</v>
      </c>
      <c r="B1889">
        <v>225</v>
      </c>
      <c r="C1889" t="s">
        <v>1036</v>
      </c>
      <c r="D1889" t="s">
        <v>5148</v>
      </c>
      <c r="E1889" t="s">
        <v>1035</v>
      </c>
      <c r="F1889" t="s">
        <v>5149</v>
      </c>
      <c r="G1889" t="s">
        <v>24</v>
      </c>
      <c r="H1889" t="s">
        <v>26</v>
      </c>
      <c r="I1889" t="s">
        <v>3167</v>
      </c>
      <c r="J1889" t="s">
        <v>1038</v>
      </c>
      <c r="K1889" t="s">
        <v>3191</v>
      </c>
      <c r="L1889" t="s">
        <v>1038</v>
      </c>
      <c r="M1889" t="s">
        <v>980</v>
      </c>
      <c r="N1889" t="s">
        <v>1037</v>
      </c>
      <c r="O1889" t="s">
        <v>1037</v>
      </c>
      <c r="P1889" t="s">
        <v>1089</v>
      </c>
      <c r="Q1889" t="s">
        <v>3169</v>
      </c>
      <c r="R1889" t="s">
        <v>446</v>
      </c>
      <c r="S1889" t="s">
        <v>446</v>
      </c>
      <c r="T1889" t="s">
        <v>1965</v>
      </c>
      <c r="U1889" t="b">
        <v>0</v>
      </c>
      <c r="V1889" t="s">
        <v>446</v>
      </c>
    </row>
    <row r="1890" spans="1:22" x14ac:dyDescent="0.25">
      <c r="A1890" t="s">
        <v>42</v>
      </c>
      <c r="B1890">
        <v>225</v>
      </c>
      <c r="C1890" t="s">
        <v>1041</v>
      </c>
      <c r="D1890" t="s">
        <v>5150</v>
      </c>
      <c r="E1890" t="s">
        <v>1040</v>
      </c>
      <c r="F1890" t="s">
        <v>5151</v>
      </c>
      <c r="G1890" t="s">
        <v>24</v>
      </c>
      <c r="H1890" t="s">
        <v>26</v>
      </c>
      <c r="I1890" t="s">
        <v>3167</v>
      </c>
      <c r="J1890" t="s">
        <v>1043</v>
      </c>
      <c r="K1890" t="s">
        <v>3193</v>
      </c>
      <c r="L1890" t="s">
        <v>1043</v>
      </c>
      <c r="M1890" t="s">
        <v>980</v>
      </c>
      <c r="N1890" t="s">
        <v>1042</v>
      </c>
      <c r="O1890" t="s">
        <v>1042</v>
      </c>
      <c r="P1890" t="s">
        <v>1089</v>
      </c>
      <c r="Q1890" t="s">
        <v>3169</v>
      </c>
      <c r="R1890" t="s">
        <v>446</v>
      </c>
      <c r="S1890" t="s">
        <v>446</v>
      </c>
      <c r="T1890" t="s">
        <v>1965</v>
      </c>
      <c r="U1890" t="b">
        <v>0</v>
      </c>
      <c r="V1890" t="s">
        <v>446</v>
      </c>
    </row>
    <row r="1891" spans="1:22" x14ac:dyDescent="0.25">
      <c r="A1891" t="s">
        <v>42</v>
      </c>
      <c r="B1891">
        <v>225</v>
      </c>
      <c r="C1891" t="s">
        <v>1046</v>
      </c>
      <c r="D1891" t="s">
        <v>5152</v>
      </c>
      <c r="E1891" t="s">
        <v>1045</v>
      </c>
      <c r="F1891" t="s">
        <v>5153</v>
      </c>
      <c r="G1891" t="s">
        <v>24</v>
      </c>
      <c r="H1891" t="s">
        <v>26</v>
      </c>
      <c r="I1891" t="s">
        <v>3167</v>
      </c>
      <c r="J1891" t="s">
        <v>1048</v>
      </c>
      <c r="K1891" t="s">
        <v>3195</v>
      </c>
      <c r="L1891" t="s">
        <v>1048</v>
      </c>
      <c r="M1891" t="s">
        <v>1000</v>
      </c>
      <c r="N1891" t="s">
        <v>1047</v>
      </c>
      <c r="O1891" t="s">
        <v>1047</v>
      </c>
      <c r="P1891" t="s">
        <v>1089</v>
      </c>
      <c r="Q1891" t="s">
        <v>3169</v>
      </c>
      <c r="R1891" t="s">
        <v>446</v>
      </c>
      <c r="S1891" t="s">
        <v>446</v>
      </c>
      <c r="T1891" t="s">
        <v>1965</v>
      </c>
      <c r="U1891" t="b">
        <v>0</v>
      </c>
      <c r="V1891" t="s">
        <v>446</v>
      </c>
    </row>
    <row r="1892" spans="1:22" x14ac:dyDescent="0.25">
      <c r="A1892" t="s">
        <v>42</v>
      </c>
      <c r="B1892">
        <v>225</v>
      </c>
      <c r="C1892" t="s">
        <v>1050</v>
      </c>
      <c r="D1892" t="s">
        <v>5154</v>
      </c>
      <c r="E1892" t="s">
        <v>1032</v>
      </c>
      <c r="F1892" t="s">
        <v>5153</v>
      </c>
      <c r="G1892" t="s">
        <v>24</v>
      </c>
      <c r="H1892" t="s">
        <v>26</v>
      </c>
      <c r="I1892" t="s">
        <v>3167</v>
      </c>
      <c r="J1892" t="s">
        <v>1048</v>
      </c>
      <c r="K1892" t="s">
        <v>3195</v>
      </c>
      <c r="L1892" t="s">
        <v>1048</v>
      </c>
      <c r="M1892" t="s">
        <v>1000</v>
      </c>
      <c r="N1892" t="s">
        <v>1047</v>
      </c>
      <c r="O1892" t="s">
        <v>1047</v>
      </c>
      <c r="P1892" t="s">
        <v>1089</v>
      </c>
      <c r="Q1892" t="s">
        <v>3169</v>
      </c>
      <c r="R1892" t="s">
        <v>446</v>
      </c>
      <c r="S1892" t="s">
        <v>446</v>
      </c>
      <c r="T1892" t="s">
        <v>1965</v>
      </c>
      <c r="U1892" t="b">
        <v>0</v>
      </c>
      <c r="V1892" t="s">
        <v>446</v>
      </c>
    </row>
    <row r="1893" spans="1:22" x14ac:dyDescent="0.25">
      <c r="A1893" t="s">
        <v>42</v>
      </c>
      <c r="B1893">
        <v>225</v>
      </c>
      <c r="C1893" t="s">
        <v>1052</v>
      </c>
      <c r="D1893" t="s">
        <v>5155</v>
      </c>
      <c r="E1893" t="s">
        <v>1051</v>
      </c>
      <c r="F1893" t="s">
        <v>5156</v>
      </c>
      <c r="G1893" t="s">
        <v>24</v>
      </c>
      <c r="H1893" t="s">
        <v>26</v>
      </c>
      <c r="I1893" t="s">
        <v>3167</v>
      </c>
      <c r="J1893" t="s">
        <v>1055</v>
      </c>
      <c r="K1893" t="s">
        <v>3199</v>
      </c>
      <c r="L1893" t="s">
        <v>1055</v>
      </c>
      <c r="M1893" t="s">
        <v>980</v>
      </c>
      <c r="N1893" t="s">
        <v>1053</v>
      </c>
      <c r="O1893" t="s">
        <v>1053</v>
      </c>
      <c r="P1893" t="s">
        <v>1089</v>
      </c>
      <c r="Q1893" t="s">
        <v>3169</v>
      </c>
      <c r="R1893" t="s">
        <v>446</v>
      </c>
      <c r="S1893" t="s">
        <v>446</v>
      </c>
      <c r="T1893" t="s">
        <v>1965</v>
      </c>
      <c r="U1893" t="b">
        <v>0</v>
      </c>
      <c r="V1893" t="s">
        <v>446</v>
      </c>
    </row>
    <row r="1894" spans="1:22" x14ac:dyDescent="0.25">
      <c r="A1894" t="s">
        <v>42</v>
      </c>
      <c r="B1894">
        <v>226</v>
      </c>
      <c r="C1894" t="s">
        <v>987</v>
      </c>
      <c r="D1894" t="s">
        <v>5157</v>
      </c>
      <c r="E1894" t="s">
        <v>986</v>
      </c>
      <c r="F1894" t="s">
        <v>5158</v>
      </c>
      <c r="G1894" t="s">
        <v>24</v>
      </c>
      <c r="H1894" t="s">
        <v>26</v>
      </c>
      <c r="I1894" t="s">
        <v>3167</v>
      </c>
      <c r="J1894" t="s">
        <v>990</v>
      </c>
      <c r="K1894" t="s">
        <v>3171</v>
      </c>
      <c r="L1894" t="s">
        <v>990</v>
      </c>
      <c r="M1894" t="s">
        <v>980</v>
      </c>
      <c r="N1894" t="s">
        <v>988</v>
      </c>
      <c r="O1894" t="s">
        <v>988</v>
      </c>
      <c r="P1894" t="s">
        <v>1089</v>
      </c>
      <c r="Q1894" t="s">
        <v>3169</v>
      </c>
      <c r="R1894" t="s">
        <v>446</v>
      </c>
      <c r="S1894" t="s">
        <v>446</v>
      </c>
      <c r="T1894" t="s">
        <v>1965</v>
      </c>
      <c r="U1894" t="b">
        <v>0</v>
      </c>
      <c r="V1894" t="s">
        <v>446</v>
      </c>
    </row>
    <row r="1895" spans="1:22" x14ac:dyDescent="0.25">
      <c r="A1895" t="s">
        <v>42</v>
      </c>
      <c r="B1895">
        <v>226</v>
      </c>
      <c r="C1895" t="s">
        <v>993</v>
      </c>
      <c r="D1895" t="s">
        <v>5159</v>
      </c>
      <c r="E1895" t="s">
        <v>992</v>
      </c>
      <c r="F1895" t="s">
        <v>5160</v>
      </c>
      <c r="G1895" t="s">
        <v>24</v>
      </c>
      <c r="H1895" t="s">
        <v>26</v>
      </c>
      <c r="I1895" t="s">
        <v>3167</v>
      </c>
      <c r="J1895" t="s">
        <v>996</v>
      </c>
      <c r="K1895" t="s">
        <v>3173</v>
      </c>
      <c r="L1895" t="s">
        <v>996</v>
      </c>
      <c r="M1895" t="s">
        <v>980</v>
      </c>
      <c r="N1895" t="s">
        <v>994</v>
      </c>
      <c r="O1895" t="s">
        <v>994</v>
      </c>
      <c r="P1895" t="s">
        <v>1089</v>
      </c>
      <c r="Q1895" t="s">
        <v>3169</v>
      </c>
      <c r="R1895" t="s">
        <v>446</v>
      </c>
      <c r="S1895" t="s">
        <v>446</v>
      </c>
      <c r="T1895" t="s">
        <v>1965</v>
      </c>
      <c r="U1895" t="b">
        <v>0</v>
      </c>
      <c r="V1895" t="s">
        <v>446</v>
      </c>
    </row>
    <row r="1896" spans="1:22" x14ac:dyDescent="0.25">
      <c r="A1896" t="s">
        <v>42</v>
      </c>
      <c r="B1896">
        <v>226</v>
      </c>
      <c r="C1896" t="s">
        <v>999</v>
      </c>
      <c r="D1896" t="s">
        <v>5161</v>
      </c>
      <c r="E1896" t="s">
        <v>998</v>
      </c>
      <c r="F1896" t="s">
        <v>5162</v>
      </c>
      <c r="G1896" t="s">
        <v>24</v>
      </c>
      <c r="H1896" t="s">
        <v>26</v>
      </c>
      <c r="I1896" t="s">
        <v>3167</v>
      </c>
      <c r="J1896" t="s">
        <v>1003</v>
      </c>
      <c r="K1896" t="s">
        <v>3175</v>
      </c>
      <c r="L1896" t="s">
        <v>1003</v>
      </c>
      <c r="M1896" t="s">
        <v>1000</v>
      </c>
      <c r="N1896" t="s">
        <v>1001</v>
      </c>
      <c r="O1896" t="s">
        <v>1001</v>
      </c>
      <c r="P1896" t="s">
        <v>1089</v>
      </c>
      <c r="Q1896" t="s">
        <v>3169</v>
      </c>
      <c r="R1896" t="s">
        <v>446</v>
      </c>
      <c r="S1896" t="s">
        <v>446</v>
      </c>
      <c r="T1896" t="s">
        <v>1965</v>
      </c>
      <c r="U1896" t="b">
        <v>0</v>
      </c>
      <c r="V1896" t="s">
        <v>446</v>
      </c>
    </row>
    <row r="1897" spans="1:22" x14ac:dyDescent="0.25">
      <c r="A1897" t="s">
        <v>42</v>
      </c>
      <c r="B1897">
        <v>226</v>
      </c>
      <c r="C1897" t="s">
        <v>1007</v>
      </c>
      <c r="D1897" t="s">
        <v>5163</v>
      </c>
      <c r="E1897" t="s">
        <v>1006</v>
      </c>
      <c r="F1897" t="s">
        <v>5164</v>
      </c>
      <c r="G1897" t="s">
        <v>24</v>
      </c>
      <c r="H1897" t="s">
        <v>26</v>
      </c>
      <c r="I1897" t="s">
        <v>3167</v>
      </c>
      <c r="J1897" t="s">
        <v>1011</v>
      </c>
      <c r="K1897" t="s">
        <v>3179</v>
      </c>
      <c r="L1897" t="s">
        <v>1011</v>
      </c>
      <c r="M1897" t="s">
        <v>1008</v>
      </c>
      <c r="N1897" t="s">
        <v>1009</v>
      </c>
      <c r="O1897" t="s">
        <v>1009</v>
      </c>
      <c r="P1897" t="s">
        <v>1089</v>
      </c>
      <c r="Q1897" t="s">
        <v>3169</v>
      </c>
      <c r="R1897" t="s">
        <v>446</v>
      </c>
      <c r="S1897" t="s">
        <v>446</v>
      </c>
      <c r="T1897" t="s">
        <v>1965</v>
      </c>
      <c r="U1897" t="b">
        <v>0</v>
      </c>
      <c r="V1897" t="s">
        <v>446</v>
      </c>
    </row>
    <row r="1898" spans="1:22" x14ac:dyDescent="0.25">
      <c r="A1898" t="s">
        <v>42</v>
      </c>
      <c r="B1898">
        <v>226</v>
      </c>
      <c r="C1898" t="s">
        <v>1014</v>
      </c>
      <c r="D1898" t="s">
        <v>5165</v>
      </c>
      <c r="E1898" t="s">
        <v>1013</v>
      </c>
      <c r="F1898" t="s">
        <v>5166</v>
      </c>
      <c r="G1898" t="s">
        <v>24</v>
      </c>
      <c r="H1898" t="s">
        <v>26</v>
      </c>
      <c r="I1898" t="s">
        <v>3167</v>
      </c>
      <c r="J1898" t="s">
        <v>1016</v>
      </c>
      <c r="K1898" t="s">
        <v>3181</v>
      </c>
      <c r="L1898" t="s">
        <v>1016</v>
      </c>
      <c r="M1898" t="s">
        <v>980</v>
      </c>
      <c r="N1898" t="s">
        <v>1015</v>
      </c>
      <c r="O1898" t="s">
        <v>1015</v>
      </c>
      <c r="P1898" t="s">
        <v>1089</v>
      </c>
      <c r="Q1898" t="s">
        <v>3169</v>
      </c>
      <c r="R1898" t="s">
        <v>446</v>
      </c>
      <c r="S1898" t="s">
        <v>446</v>
      </c>
      <c r="T1898" t="s">
        <v>1965</v>
      </c>
      <c r="U1898" t="b">
        <v>0</v>
      </c>
      <c r="V1898" t="s">
        <v>446</v>
      </c>
    </row>
    <row r="1899" spans="1:22" x14ac:dyDescent="0.25">
      <c r="A1899" t="s">
        <v>42</v>
      </c>
      <c r="B1899">
        <v>226</v>
      </c>
      <c r="C1899" t="s">
        <v>1019</v>
      </c>
      <c r="D1899" t="s">
        <v>5167</v>
      </c>
      <c r="E1899" t="s">
        <v>1018</v>
      </c>
      <c r="F1899" t="s">
        <v>5168</v>
      </c>
      <c r="G1899" t="s">
        <v>24</v>
      </c>
      <c r="H1899" t="s">
        <v>26</v>
      </c>
      <c r="I1899" t="s">
        <v>3167</v>
      </c>
      <c r="J1899" t="s">
        <v>1021</v>
      </c>
      <c r="K1899" t="s">
        <v>3183</v>
      </c>
      <c r="L1899" t="s">
        <v>1021</v>
      </c>
      <c r="M1899" t="s">
        <v>980</v>
      </c>
      <c r="N1899" t="s">
        <v>1020</v>
      </c>
      <c r="O1899" t="s">
        <v>1020</v>
      </c>
      <c r="P1899" t="s">
        <v>1089</v>
      </c>
      <c r="Q1899" t="s">
        <v>3169</v>
      </c>
      <c r="R1899" t="s">
        <v>446</v>
      </c>
      <c r="S1899" t="s">
        <v>446</v>
      </c>
      <c r="T1899" t="s">
        <v>1965</v>
      </c>
      <c r="U1899" t="b">
        <v>0</v>
      </c>
      <c r="V1899" t="s">
        <v>446</v>
      </c>
    </row>
    <row r="1900" spans="1:22" x14ac:dyDescent="0.25">
      <c r="A1900" t="s">
        <v>42</v>
      </c>
      <c r="B1900">
        <v>226</v>
      </c>
      <c r="C1900" t="s">
        <v>1024</v>
      </c>
      <c r="D1900" t="s">
        <v>5169</v>
      </c>
      <c r="E1900" t="s">
        <v>1023</v>
      </c>
      <c r="F1900" t="s">
        <v>5170</v>
      </c>
      <c r="G1900" t="s">
        <v>24</v>
      </c>
      <c r="H1900" t="s">
        <v>26</v>
      </c>
      <c r="I1900" t="s">
        <v>3167</v>
      </c>
      <c r="J1900" t="s">
        <v>1026</v>
      </c>
      <c r="K1900" t="s">
        <v>3185</v>
      </c>
      <c r="L1900" t="s">
        <v>1026</v>
      </c>
      <c r="M1900" t="s">
        <v>1000</v>
      </c>
      <c r="N1900" t="s">
        <v>1025</v>
      </c>
      <c r="O1900" t="s">
        <v>1025</v>
      </c>
      <c r="P1900" t="s">
        <v>1089</v>
      </c>
      <c r="Q1900" t="s">
        <v>3169</v>
      </c>
      <c r="R1900" t="s">
        <v>446</v>
      </c>
      <c r="S1900" t="s">
        <v>446</v>
      </c>
      <c r="T1900" t="s">
        <v>1965</v>
      </c>
      <c r="U1900" t="b">
        <v>0</v>
      </c>
      <c r="V1900" t="s">
        <v>446</v>
      </c>
    </row>
    <row r="1901" spans="1:22" x14ac:dyDescent="0.25">
      <c r="A1901" t="s">
        <v>42</v>
      </c>
      <c r="B1901">
        <v>226</v>
      </c>
      <c r="C1901" t="s">
        <v>1028</v>
      </c>
      <c r="D1901" t="s">
        <v>5171</v>
      </c>
      <c r="E1901" t="s">
        <v>1010</v>
      </c>
      <c r="F1901" t="s">
        <v>5172</v>
      </c>
      <c r="G1901" t="s">
        <v>24</v>
      </c>
      <c r="H1901" t="s">
        <v>26</v>
      </c>
      <c r="I1901" t="s">
        <v>3167</v>
      </c>
      <c r="J1901" t="s">
        <v>1026</v>
      </c>
      <c r="K1901" t="s">
        <v>3185</v>
      </c>
      <c r="L1901" t="s">
        <v>1026</v>
      </c>
      <c r="M1901" t="s">
        <v>1000</v>
      </c>
      <c r="N1901" t="s">
        <v>1025</v>
      </c>
      <c r="O1901" t="s">
        <v>1025</v>
      </c>
      <c r="P1901" t="s">
        <v>1089</v>
      </c>
      <c r="Q1901" t="s">
        <v>3169</v>
      </c>
      <c r="R1901" t="s">
        <v>446</v>
      </c>
      <c r="S1901" t="s">
        <v>446</v>
      </c>
      <c r="T1901" t="s">
        <v>1965</v>
      </c>
      <c r="U1901" t="b">
        <v>0</v>
      </c>
      <c r="V1901" t="s">
        <v>446</v>
      </c>
    </row>
    <row r="1902" spans="1:22" x14ac:dyDescent="0.25">
      <c r="A1902" t="s">
        <v>42</v>
      </c>
      <c r="B1902">
        <v>226</v>
      </c>
      <c r="C1902" t="s">
        <v>1030</v>
      </c>
      <c r="D1902" t="s">
        <v>5173</v>
      </c>
      <c r="E1902" t="s">
        <v>1029</v>
      </c>
      <c r="F1902" t="s">
        <v>5174</v>
      </c>
      <c r="G1902" t="s">
        <v>24</v>
      </c>
      <c r="H1902" t="s">
        <v>26</v>
      </c>
      <c r="I1902" t="s">
        <v>3167</v>
      </c>
      <c r="J1902" t="s">
        <v>1033</v>
      </c>
      <c r="K1902" t="s">
        <v>3189</v>
      </c>
      <c r="L1902" t="s">
        <v>1033</v>
      </c>
      <c r="M1902" t="s">
        <v>980</v>
      </c>
      <c r="N1902" t="s">
        <v>1031</v>
      </c>
      <c r="O1902" t="s">
        <v>1031</v>
      </c>
      <c r="P1902" t="s">
        <v>1089</v>
      </c>
      <c r="Q1902" t="s">
        <v>3169</v>
      </c>
      <c r="R1902" t="s">
        <v>446</v>
      </c>
      <c r="S1902" t="s">
        <v>446</v>
      </c>
      <c r="T1902" t="s">
        <v>1965</v>
      </c>
      <c r="U1902" t="b">
        <v>0</v>
      </c>
      <c r="V1902" t="s">
        <v>446</v>
      </c>
    </row>
    <row r="1903" spans="1:22" x14ac:dyDescent="0.25">
      <c r="A1903" t="s">
        <v>42</v>
      </c>
      <c r="B1903">
        <v>226</v>
      </c>
      <c r="C1903" t="s">
        <v>1036</v>
      </c>
      <c r="D1903" t="s">
        <v>5175</v>
      </c>
      <c r="E1903" t="s">
        <v>1035</v>
      </c>
      <c r="F1903" t="s">
        <v>5176</v>
      </c>
      <c r="G1903" t="s">
        <v>24</v>
      </c>
      <c r="H1903" t="s">
        <v>26</v>
      </c>
      <c r="I1903" t="s">
        <v>3167</v>
      </c>
      <c r="J1903" t="s">
        <v>1038</v>
      </c>
      <c r="K1903" t="s">
        <v>3191</v>
      </c>
      <c r="L1903" t="s">
        <v>1038</v>
      </c>
      <c r="M1903" t="s">
        <v>980</v>
      </c>
      <c r="N1903" t="s">
        <v>1037</v>
      </c>
      <c r="O1903" t="s">
        <v>1037</v>
      </c>
      <c r="P1903" t="s">
        <v>1089</v>
      </c>
      <c r="Q1903" t="s">
        <v>3169</v>
      </c>
      <c r="R1903" t="s">
        <v>446</v>
      </c>
      <c r="S1903" t="s">
        <v>446</v>
      </c>
      <c r="T1903" t="s">
        <v>1965</v>
      </c>
      <c r="U1903" t="b">
        <v>0</v>
      </c>
      <c r="V1903" t="s">
        <v>446</v>
      </c>
    </row>
    <row r="1904" spans="1:22" x14ac:dyDescent="0.25">
      <c r="A1904" t="s">
        <v>42</v>
      </c>
      <c r="B1904">
        <v>226</v>
      </c>
      <c r="C1904" t="s">
        <v>1041</v>
      </c>
      <c r="D1904" t="s">
        <v>5177</v>
      </c>
      <c r="E1904" t="s">
        <v>1040</v>
      </c>
      <c r="F1904" t="s">
        <v>5178</v>
      </c>
      <c r="G1904" t="s">
        <v>24</v>
      </c>
      <c r="H1904" t="s">
        <v>26</v>
      </c>
      <c r="I1904" t="s">
        <v>3167</v>
      </c>
      <c r="J1904" t="s">
        <v>1043</v>
      </c>
      <c r="K1904" t="s">
        <v>3193</v>
      </c>
      <c r="L1904" t="s">
        <v>1043</v>
      </c>
      <c r="M1904" t="s">
        <v>980</v>
      </c>
      <c r="N1904" t="s">
        <v>1042</v>
      </c>
      <c r="O1904" t="s">
        <v>1042</v>
      </c>
      <c r="P1904" t="s">
        <v>1089</v>
      </c>
      <c r="Q1904" t="s">
        <v>3169</v>
      </c>
      <c r="R1904" t="s">
        <v>446</v>
      </c>
      <c r="S1904" t="s">
        <v>446</v>
      </c>
      <c r="T1904" t="s">
        <v>1965</v>
      </c>
      <c r="U1904" t="b">
        <v>0</v>
      </c>
      <c r="V1904" t="s">
        <v>446</v>
      </c>
    </row>
    <row r="1905" spans="1:22" x14ac:dyDescent="0.25">
      <c r="A1905" t="s">
        <v>42</v>
      </c>
      <c r="B1905">
        <v>226</v>
      </c>
      <c r="C1905" t="s">
        <v>1046</v>
      </c>
      <c r="D1905" t="s">
        <v>5179</v>
      </c>
      <c r="E1905" t="s">
        <v>1045</v>
      </c>
      <c r="F1905" t="s">
        <v>5180</v>
      </c>
      <c r="G1905" t="s">
        <v>24</v>
      </c>
      <c r="H1905" t="s">
        <v>26</v>
      </c>
      <c r="I1905" t="s">
        <v>3167</v>
      </c>
      <c r="J1905" t="s">
        <v>1048</v>
      </c>
      <c r="K1905" t="s">
        <v>3195</v>
      </c>
      <c r="L1905" t="s">
        <v>1048</v>
      </c>
      <c r="M1905" t="s">
        <v>1000</v>
      </c>
      <c r="N1905" t="s">
        <v>1047</v>
      </c>
      <c r="O1905" t="s">
        <v>1047</v>
      </c>
      <c r="P1905" t="s">
        <v>1089</v>
      </c>
      <c r="Q1905" t="s">
        <v>3169</v>
      </c>
      <c r="R1905" t="s">
        <v>446</v>
      </c>
      <c r="S1905" t="s">
        <v>446</v>
      </c>
      <c r="T1905" t="s">
        <v>1965</v>
      </c>
      <c r="U1905" t="b">
        <v>0</v>
      </c>
      <c r="V1905" t="s">
        <v>446</v>
      </c>
    </row>
    <row r="1906" spans="1:22" x14ac:dyDescent="0.25">
      <c r="A1906" t="s">
        <v>42</v>
      </c>
      <c r="B1906">
        <v>226</v>
      </c>
      <c r="C1906" t="s">
        <v>1050</v>
      </c>
      <c r="D1906" t="s">
        <v>5181</v>
      </c>
      <c r="E1906" t="s">
        <v>1032</v>
      </c>
      <c r="F1906" t="s">
        <v>5182</v>
      </c>
      <c r="G1906" t="s">
        <v>24</v>
      </c>
      <c r="H1906" t="s">
        <v>26</v>
      </c>
      <c r="I1906" t="s">
        <v>3167</v>
      </c>
      <c r="J1906" t="s">
        <v>1048</v>
      </c>
      <c r="K1906" t="s">
        <v>3195</v>
      </c>
      <c r="L1906" t="s">
        <v>1048</v>
      </c>
      <c r="M1906" t="s">
        <v>1000</v>
      </c>
      <c r="N1906" t="s">
        <v>1047</v>
      </c>
      <c r="O1906" t="s">
        <v>1047</v>
      </c>
      <c r="P1906" t="s">
        <v>1089</v>
      </c>
      <c r="Q1906" t="s">
        <v>3169</v>
      </c>
      <c r="R1906" t="s">
        <v>446</v>
      </c>
      <c r="S1906" t="s">
        <v>446</v>
      </c>
      <c r="T1906" t="s">
        <v>1965</v>
      </c>
      <c r="U1906" t="b">
        <v>0</v>
      </c>
      <c r="V1906" t="s">
        <v>446</v>
      </c>
    </row>
    <row r="1907" spans="1:22" x14ac:dyDescent="0.25">
      <c r="A1907" t="s">
        <v>42</v>
      </c>
      <c r="B1907">
        <v>226</v>
      </c>
      <c r="C1907" t="s">
        <v>1052</v>
      </c>
      <c r="D1907" t="s">
        <v>5183</v>
      </c>
      <c r="E1907" t="s">
        <v>1051</v>
      </c>
      <c r="F1907" t="s">
        <v>5184</v>
      </c>
      <c r="G1907" t="s">
        <v>24</v>
      </c>
      <c r="H1907" t="s">
        <v>26</v>
      </c>
      <c r="I1907" t="s">
        <v>3167</v>
      </c>
      <c r="J1907" t="s">
        <v>1055</v>
      </c>
      <c r="K1907" t="s">
        <v>3199</v>
      </c>
      <c r="L1907" t="s">
        <v>1055</v>
      </c>
      <c r="M1907" t="s">
        <v>980</v>
      </c>
      <c r="N1907" t="s">
        <v>1053</v>
      </c>
      <c r="O1907" t="s">
        <v>1053</v>
      </c>
      <c r="P1907" t="s">
        <v>1089</v>
      </c>
      <c r="Q1907" t="s">
        <v>3169</v>
      </c>
      <c r="R1907" t="s">
        <v>446</v>
      </c>
      <c r="S1907" t="s">
        <v>446</v>
      </c>
      <c r="T1907" t="s">
        <v>1965</v>
      </c>
      <c r="U1907" t="b">
        <v>0</v>
      </c>
      <c r="V1907" t="s">
        <v>446</v>
      </c>
    </row>
    <row r="1908" spans="1:22" x14ac:dyDescent="0.25">
      <c r="A1908" t="s">
        <v>42</v>
      </c>
      <c r="B1908">
        <v>228</v>
      </c>
      <c r="C1908" t="s">
        <v>987</v>
      </c>
      <c r="D1908" t="s">
        <v>5185</v>
      </c>
      <c r="E1908" t="s">
        <v>986</v>
      </c>
      <c r="F1908" t="s">
        <v>5186</v>
      </c>
      <c r="G1908" t="s">
        <v>24</v>
      </c>
      <c r="H1908" t="s">
        <v>26</v>
      </c>
      <c r="I1908" t="s">
        <v>3167</v>
      </c>
      <c r="J1908" t="s">
        <v>990</v>
      </c>
      <c r="K1908" t="s">
        <v>3171</v>
      </c>
      <c r="L1908" t="s">
        <v>990</v>
      </c>
      <c r="M1908" t="s">
        <v>980</v>
      </c>
      <c r="N1908" t="s">
        <v>988</v>
      </c>
      <c r="O1908" t="s">
        <v>988</v>
      </c>
      <c r="P1908" t="s">
        <v>1089</v>
      </c>
      <c r="Q1908" t="s">
        <v>3169</v>
      </c>
      <c r="R1908" t="s">
        <v>446</v>
      </c>
      <c r="S1908" t="s">
        <v>446</v>
      </c>
      <c r="T1908" t="s">
        <v>1965</v>
      </c>
      <c r="U1908" t="b">
        <v>0</v>
      </c>
      <c r="V1908" t="s">
        <v>446</v>
      </c>
    </row>
    <row r="1909" spans="1:22" x14ac:dyDescent="0.25">
      <c r="A1909" t="s">
        <v>42</v>
      </c>
      <c r="B1909">
        <v>228</v>
      </c>
      <c r="C1909" t="s">
        <v>993</v>
      </c>
      <c r="D1909" t="s">
        <v>5187</v>
      </c>
      <c r="E1909" t="s">
        <v>992</v>
      </c>
      <c r="F1909" t="s">
        <v>5188</v>
      </c>
      <c r="G1909" t="s">
        <v>24</v>
      </c>
      <c r="H1909" t="s">
        <v>26</v>
      </c>
      <c r="I1909" t="s">
        <v>3167</v>
      </c>
      <c r="J1909" t="s">
        <v>996</v>
      </c>
      <c r="K1909" t="s">
        <v>3173</v>
      </c>
      <c r="L1909" t="s">
        <v>996</v>
      </c>
      <c r="M1909" t="s">
        <v>980</v>
      </c>
      <c r="N1909" t="s">
        <v>994</v>
      </c>
      <c r="O1909" t="s">
        <v>994</v>
      </c>
      <c r="P1909" t="s">
        <v>1089</v>
      </c>
      <c r="Q1909" t="s">
        <v>3169</v>
      </c>
      <c r="R1909" t="s">
        <v>446</v>
      </c>
      <c r="S1909" t="s">
        <v>446</v>
      </c>
      <c r="T1909" t="s">
        <v>1965</v>
      </c>
      <c r="U1909" t="b">
        <v>0</v>
      </c>
      <c r="V1909" t="s">
        <v>446</v>
      </c>
    </row>
    <row r="1910" spans="1:22" x14ac:dyDescent="0.25">
      <c r="A1910" t="s">
        <v>42</v>
      </c>
      <c r="B1910">
        <v>228</v>
      </c>
      <c r="C1910" t="s">
        <v>999</v>
      </c>
      <c r="D1910" t="s">
        <v>5189</v>
      </c>
      <c r="E1910" t="s">
        <v>998</v>
      </c>
      <c r="F1910" t="s">
        <v>5190</v>
      </c>
      <c r="G1910" t="s">
        <v>24</v>
      </c>
      <c r="H1910" t="s">
        <v>26</v>
      </c>
      <c r="I1910" t="s">
        <v>3167</v>
      </c>
      <c r="J1910" t="s">
        <v>1003</v>
      </c>
      <c r="K1910" t="s">
        <v>3175</v>
      </c>
      <c r="L1910" t="s">
        <v>1003</v>
      </c>
      <c r="M1910" t="s">
        <v>1000</v>
      </c>
      <c r="N1910" t="s">
        <v>1001</v>
      </c>
      <c r="O1910" t="s">
        <v>1001</v>
      </c>
      <c r="P1910" t="s">
        <v>1089</v>
      </c>
      <c r="Q1910" t="s">
        <v>3169</v>
      </c>
      <c r="R1910" t="s">
        <v>446</v>
      </c>
      <c r="S1910" t="s">
        <v>446</v>
      </c>
      <c r="T1910" t="s">
        <v>1965</v>
      </c>
      <c r="U1910" t="b">
        <v>0</v>
      </c>
      <c r="V1910" t="s">
        <v>446</v>
      </c>
    </row>
    <row r="1911" spans="1:22" x14ac:dyDescent="0.25">
      <c r="A1911" t="s">
        <v>42</v>
      </c>
      <c r="B1911">
        <v>228</v>
      </c>
      <c r="C1911" t="s">
        <v>1007</v>
      </c>
      <c r="D1911" t="s">
        <v>5191</v>
      </c>
      <c r="E1911" t="s">
        <v>1006</v>
      </c>
      <c r="F1911" t="s">
        <v>5192</v>
      </c>
      <c r="G1911" t="s">
        <v>24</v>
      </c>
      <c r="H1911" t="s">
        <v>26</v>
      </c>
      <c r="I1911" t="s">
        <v>3167</v>
      </c>
      <c r="J1911" t="s">
        <v>1011</v>
      </c>
      <c r="K1911" t="s">
        <v>3179</v>
      </c>
      <c r="L1911" t="s">
        <v>1011</v>
      </c>
      <c r="M1911" t="s">
        <v>1008</v>
      </c>
      <c r="N1911" t="s">
        <v>1009</v>
      </c>
      <c r="O1911" t="s">
        <v>1009</v>
      </c>
      <c r="P1911" t="s">
        <v>1089</v>
      </c>
      <c r="Q1911" t="s">
        <v>3169</v>
      </c>
      <c r="R1911" t="s">
        <v>446</v>
      </c>
      <c r="S1911" t="s">
        <v>446</v>
      </c>
      <c r="T1911" t="s">
        <v>1965</v>
      </c>
      <c r="U1911" t="b">
        <v>0</v>
      </c>
      <c r="V1911" t="s">
        <v>446</v>
      </c>
    </row>
    <row r="1912" spans="1:22" x14ac:dyDescent="0.25">
      <c r="A1912" t="s">
        <v>42</v>
      </c>
      <c r="B1912">
        <v>228</v>
      </c>
      <c r="C1912" t="s">
        <v>1014</v>
      </c>
      <c r="D1912" t="s">
        <v>5193</v>
      </c>
      <c r="E1912" t="s">
        <v>1013</v>
      </c>
      <c r="F1912" t="s">
        <v>5194</v>
      </c>
      <c r="G1912" t="s">
        <v>24</v>
      </c>
      <c r="H1912" t="s">
        <v>26</v>
      </c>
      <c r="I1912" t="s">
        <v>3167</v>
      </c>
      <c r="J1912" t="s">
        <v>1016</v>
      </c>
      <c r="K1912" t="s">
        <v>3181</v>
      </c>
      <c r="L1912" t="s">
        <v>1016</v>
      </c>
      <c r="M1912" t="s">
        <v>980</v>
      </c>
      <c r="N1912" t="s">
        <v>1015</v>
      </c>
      <c r="O1912" t="s">
        <v>1015</v>
      </c>
      <c r="P1912" t="s">
        <v>1089</v>
      </c>
      <c r="Q1912" t="s">
        <v>3169</v>
      </c>
      <c r="R1912" t="s">
        <v>446</v>
      </c>
      <c r="S1912" t="s">
        <v>446</v>
      </c>
      <c r="T1912" t="s">
        <v>1965</v>
      </c>
      <c r="U1912" t="b">
        <v>0</v>
      </c>
      <c r="V1912" t="s">
        <v>446</v>
      </c>
    </row>
    <row r="1913" spans="1:22" x14ac:dyDescent="0.25">
      <c r="A1913" t="s">
        <v>42</v>
      </c>
      <c r="B1913">
        <v>228</v>
      </c>
      <c r="C1913" t="s">
        <v>1019</v>
      </c>
      <c r="D1913" t="s">
        <v>5195</v>
      </c>
      <c r="E1913" t="s">
        <v>1018</v>
      </c>
      <c r="F1913" t="s">
        <v>5196</v>
      </c>
      <c r="G1913" t="s">
        <v>24</v>
      </c>
      <c r="H1913" t="s">
        <v>26</v>
      </c>
      <c r="I1913" t="s">
        <v>3167</v>
      </c>
      <c r="J1913" t="s">
        <v>1021</v>
      </c>
      <c r="K1913" t="s">
        <v>3183</v>
      </c>
      <c r="L1913" t="s">
        <v>1021</v>
      </c>
      <c r="M1913" t="s">
        <v>980</v>
      </c>
      <c r="N1913" t="s">
        <v>1020</v>
      </c>
      <c r="O1913" t="s">
        <v>1020</v>
      </c>
      <c r="P1913" t="s">
        <v>1089</v>
      </c>
      <c r="Q1913" t="s">
        <v>3169</v>
      </c>
      <c r="R1913" t="s">
        <v>446</v>
      </c>
      <c r="S1913" t="s">
        <v>446</v>
      </c>
      <c r="T1913" t="s">
        <v>1965</v>
      </c>
      <c r="U1913" t="b">
        <v>0</v>
      </c>
      <c r="V1913" t="s">
        <v>446</v>
      </c>
    </row>
    <row r="1914" spans="1:22" x14ac:dyDescent="0.25">
      <c r="A1914" t="s">
        <v>42</v>
      </c>
      <c r="B1914">
        <v>228</v>
      </c>
      <c r="C1914" t="s">
        <v>1024</v>
      </c>
      <c r="D1914" t="s">
        <v>5197</v>
      </c>
      <c r="E1914" t="s">
        <v>1023</v>
      </c>
      <c r="F1914" t="s">
        <v>5198</v>
      </c>
      <c r="G1914" t="s">
        <v>24</v>
      </c>
      <c r="H1914" t="s">
        <v>26</v>
      </c>
      <c r="I1914" t="s">
        <v>3167</v>
      </c>
      <c r="J1914" t="s">
        <v>1026</v>
      </c>
      <c r="K1914" t="s">
        <v>3185</v>
      </c>
      <c r="L1914" t="s">
        <v>1026</v>
      </c>
      <c r="M1914" t="s">
        <v>1000</v>
      </c>
      <c r="N1914" t="s">
        <v>1025</v>
      </c>
      <c r="O1914" t="s">
        <v>1025</v>
      </c>
      <c r="P1914" t="s">
        <v>1089</v>
      </c>
      <c r="Q1914" t="s">
        <v>3169</v>
      </c>
      <c r="R1914" t="s">
        <v>446</v>
      </c>
      <c r="S1914" t="s">
        <v>446</v>
      </c>
      <c r="T1914" t="s">
        <v>1965</v>
      </c>
      <c r="U1914" t="b">
        <v>0</v>
      </c>
      <c r="V1914" t="s">
        <v>446</v>
      </c>
    </row>
    <row r="1915" spans="1:22" x14ac:dyDescent="0.25">
      <c r="A1915" t="s">
        <v>42</v>
      </c>
      <c r="B1915">
        <v>228</v>
      </c>
      <c r="C1915" t="s">
        <v>1028</v>
      </c>
      <c r="D1915" t="s">
        <v>5199</v>
      </c>
      <c r="E1915" t="s">
        <v>1010</v>
      </c>
      <c r="F1915" t="s">
        <v>5200</v>
      </c>
      <c r="G1915" t="s">
        <v>24</v>
      </c>
      <c r="H1915" t="s">
        <v>26</v>
      </c>
      <c r="I1915" t="s">
        <v>3167</v>
      </c>
      <c r="J1915" t="s">
        <v>1026</v>
      </c>
      <c r="K1915" t="s">
        <v>3185</v>
      </c>
      <c r="L1915" t="s">
        <v>1026</v>
      </c>
      <c r="M1915" t="s">
        <v>1000</v>
      </c>
      <c r="N1915" t="s">
        <v>1025</v>
      </c>
      <c r="O1915" t="s">
        <v>1025</v>
      </c>
      <c r="P1915" t="s">
        <v>1089</v>
      </c>
      <c r="Q1915" t="s">
        <v>3169</v>
      </c>
      <c r="R1915" t="s">
        <v>446</v>
      </c>
      <c r="S1915" t="s">
        <v>446</v>
      </c>
      <c r="T1915" t="s">
        <v>1965</v>
      </c>
      <c r="U1915" t="b">
        <v>0</v>
      </c>
      <c r="V1915" t="s">
        <v>446</v>
      </c>
    </row>
    <row r="1916" spans="1:22" x14ac:dyDescent="0.25">
      <c r="A1916" t="s">
        <v>42</v>
      </c>
      <c r="B1916">
        <v>228</v>
      </c>
      <c r="C1916" t="s">
        <v>1030</v>
      </c>
      <c r="D1916" t="s">
        <v>5201</v>
      </c>
      <c r="E1916" t="s">
        <v>1029</v>
      </c>
      <c r="F1916" t="s">
        <v>5202</v>
      </c>
      <c r="G1916" t="s">
        <v>24</v>
      </c>
      <c r="H1916" t="s">
        <v>26</v>
      </c>
      <c r="I1916" t="s">
        <v>3167</v>
      </c>
      <c r="J1916" t="s">
        <v>1033</v>
      </c>
      <c r="K1916" t="s">
        <v>3189</v>
      </c>
      <c r="L1916" t="s">
        <v>1033</v>
      </c>
      <c r="M1916" t="s">
        <v>980</v>
      </c>
      <c r="N1916" t="s">
        <v>1031</v>
      </c>
      <c r="O1916" t="s">
        <v>1031</v>
      </c>
      <c r="P1916" t="s">
        <v>1089</v>
      </c>
      <c r="Q1916" t="s">
        <v>3169</v>
      </c>
      <c r="R1916" t="s">
        <v>446</v>
      </c>
      <c r="S1916" t="s">
        <v>446</v>
      </c>
      <c r="T1916" t="s">
        <v>1965</v>
      </c>
      <c r="U1916" t="b">
        <v>0</v>
      </c>
      <c r="V1916" t="s">
        <v>446</v>
      </c>
    </row>
    <row r="1917" spans="1:22" x14ac:dyDescent="0.25">
      <c r="A1917" t="s">
        <v>42</v>
      </c>
      <c r="B1917">
        <v>228</v>
      </c>
      <c r="C1917" t="s">
        <v>1036</v>
      </c>
      <c r="D1917" t="s">
        <v>5203</v>
      </c>
      <c r="E1917" t="s">
        <v>1035</v>
      </c>
      <c r="F1917" t="s">
        <v>5204</v>
      </c>
      <c r="G1917" t="s">
        <v>24</v>
      </c>
      <c r="H1917" t="s">
        <v>26</v>
      </c>
      <c r="I1917" t="s">
        <v>3167</v>
      </c>
      <c r="J1917" t="s">
        <v>1038</v>
      </c>
      <c r="K1917" t="s">
        <v>3191</v>
      </c>
      <c r="L1917" t="s">
        <v>1038</v>
      </c>
      <c r="M1917" t="s">
        <v>980</v>
      </c>
      <c r="N1917" t="s">
        <v>1037</v>
      </c>
      <c r="O1917" t="s">
        <v>1037</v>
      </c>
      <c r="P1917" t="s">
        <v>1089</v>
      </c>
      <c r="Q1917" t="s">
        <v>3169</v>
      </c>
      <c r="R1917" t="s">
        <v>446</v>
      </c>
      <c r="S1917" t="s">
        <v>446</v>
      </c>
      <c r="T1917" t="s">
        <v>1965</v>
      </c>
      <c r="U1917" t="b">
        <v>0</v>
      </c>
      <c r="V1917" t="s">
        <v>446</v>
      </c>
    </row>
    <row r="1918" spans="1:22" x14ac:dyDescent="0.25">
      <c r="A1918" t="s">
        <v>42</v>
      </c>
      <c r="B1918">
        <v>228</v>
      </c>
      <c r="C1918" t="s">
        <v>1041</v>
      </c>
      <c r="D1918" t="s">
        <v>5205</v>
      </c>
      <c r="E1918" t="s">
        <v>1040</v>
      </c>
      <c r="F1918" t="s">
        <v>5206</v>
      </c>
      <c r="G1918" t="s">
        <v>24</v>
      </c>
      <c r="H1918" t="s">
        <v>26</v>
      </c>
      <c r="I1918" t="s">
        <v>3167</v>
      </c>
      <c r="J1918" t="s">
        <v>1043</v>
      </c>
      <c r="K1918" t="s">
        <v>3193</v>
      </c>
      <c r="L1918" t="s">
        <v>1043</v>
      </c>
      <c r="M1918" t="s">
        <v>980</v>
      </c>
      <c r="N1918" t="s">
        <v>1042</v>
      </c>
      <c r="O1918" t="s">
        <v>1042</v>
      </c>
      <c r="P1918" t="s">
        <v>1089</v>
      </c>
      <c r="Q1918" t="s">
        <v>3169</v>
      </c>
      <c r="R1918" t="s">
        <v>446</v>
      </c>
      <c r="S1918" t="s">
        <v>446</v>
      </c>
      <c r="T1918" t="s">
        <v>1965</v>
      </c>
      <c r="U1918" t="b">
        <v>0</v>
      </c>
      <c r="V1918" t="s">
        <v>446</v>
      </c>
    </row>
    <row r="1919" spans="1:22" x14ac:dyDescent="0.25">
      <c r="A1919" t="s">
        <v>42</v>
      </c>
      <c r="B1919">
        <v>228</v>
      </c>
      <c r="C1919" t="s">
        <v>1046</v>
      </c>
      <c r="D1919" t="s">
        <v>5207</v>
      </c>
      <c r="E1919" t="s">
        <v>1045</v>
      </c>
      <c r="F1919" t="s">
        <v>5208</v>
      </c>
      <c r="G1919" t="s">
        <v>24</v>
      </c>
      <c r="H1919" t="s">
        <v>26</v>
      </c>
      <c r="I1919" t="s">
        <v>3167</v>
      </c>
      <c r="J1919" t="s">
        <v>1048</v>
      </c>
      <c r="K1919" t="s">
        <v>3195</v>
      </c>
      <c r="L1919" t="s">
        <v>1048</v>
      </c>
      <c r="M1919" t="s">
        <v>1000</v>
      </c>
      <c r="N1919" t="s">
        <v>1047</v>
      </c>
      <c r="O1919" t="s">
        <v>1047</v>
      </c>
      <c r="P1919" t="s">
        <v>1089</v>
      </c>
      <c r="Q1919" t="s">
        <v>3169</v>
      </c>
      <c r="R1919" t="s">
        <v>446</v>
      </c>
      <c r="S1919" t="s">
        <v>446</v>
      </c>
      <c r="T1919" t="s">
        <v>1965</v>
      </c>
      <c r="U1919" t="b">
        <v>0</v>
      </c>
      <c r="V1919" t="s">
        <v>446</v>
      </c>
    </row>
    <row r="1920" spans="1:22" x14ac:dyDescent="0.25">
      <c r="A1920" t="s">
        <v>42</v>
      </c>
      <c r="B1920">
        <v>228</v>
      </c>
      <c r="C1920" t="s">
        <v>1050</v>
      </c>
      <c r="D1920" t="s">
        <v>5209</v>
      </c>
      <c r="E1920" t="s">
        <v>1032</v>
      </c>
      <c r="F1920" t="s">
        <v>5210</v>
      </c>
      <c r="G1920" t="s">
        <v>24</v>
      </c>
      <c r="H1920" t="s">
        <v>26</v>
      </c>
      <c r="I1920" t="s">
        <v>3167</v>
      </c>
      <c r="J1920" t="s">
        <v>1048</v>
      </c>
      <c r="K1920" t="s">
        <v>3195</v>
      </c>
      <c r="L1920" t="s">
        <v>1048</v>
      </c>
      <c r="M1920" t="s">
        <v>1000</v>
      </c>
      <c r="N1920" t="s">
        <v>1047</v>
      </c>
      <c r="O1920" t="s">
        <v>1047</v>
      </c>
      <c r="P1920" t="s">
        <v>1089</v>
      </c>
      <c r="Q1920" t="s">
        <v>3169</v>
      </c>
      <c r="R1920" t="s">
        <v>446</v>
      </c>
      <c r="S1920" t="s">
        <v>446</v>
      </c>
      <c r="T1920" t="s">
        <v>1965</v>
      </c>
      <c r="U1920" t="b">
        <v>0</v>
      </c>
      <c r="V1920" t="s">
        <v>446</v>
      </c>
    </row>
    <row r="1921" spans="1:22" x14ac:dyDescent="0.25">
      <c r="A1921" t="s">
        <v>42</v>
      </c>
      <c r="B1921">
        <v>228</v>
      </c>
      <c r="C1921" t="s">
        <v>1052</v>
      </c>
      <c r="D1921" t="s">
        <v>5211</v>
      </c>
      <c r="E1921" t="s">
        <v>1051</v>
      </c>
      <c r="F1921" t="s">
        <v>5212</v>
      </c>
      <c r="G1921" t="s">
        <v>24</v>
      </c>
      <c r="H1921" t="s">
        <v>26</v>
      </c>
      <c r="I1921" t="s">
        <v>3167</v>
      </c>
      <c r="J1921" t="s">
        <v>1055</v>
      </c>
      <c r="K1921" t="s">
        <v>3199</v>
      </c>
      <c r="L1921" t="s">
        <v>1055</v>
      </c>
      <c r="M1921" t="s">
        <v>980</v>
      </c>
      <c r="N1921" t="s">
        <v>1053</v>
      </c>
      <c r="O1921" t="s">
        <v>1053</v>
      </c>
      <c r="P1921" t="s">
        <v>1089</v>
      </c>
      <c r="Q1921" t="s">
        <v>3169</v>
      </c>
      <c r="R1921" t="s">
        <v>446</v>
      </c>
      <c r="S1921" t="s">
        <v>446</v>
      </c>
      <c r="T1921" t="s">
        <v>1965</v>
      </c>
      <c r="U1921" t="b">
        <v>0</v>
      </c>
      <c r="V1921" t="s">
        <v>446</v>
      </c>
    </row>
    <row r="1922" spans="1:22" x14ac:dyDescent="0.25">
      <c r="A1922" t="s">
        <v>42</v>
      </c>
      <c r="B1922">
        <v>232</v>
      </c>
      <c r="C1922" t="s">
        <v>987</v>
      </c>
      <c r="D1922" t="s">
        <v>5213</v>
      </c>
      <c r="E1922" t="s">
        <v>986</v>
      </c>
      <c r="F1922" t="s">
        <v>5214</v>
      </c>
      <c r="G1922" t="s">
        <v>24</v>
      </c>
      <c r="H1922" t="s">
        <v>26</v>
      </c>
      <c r="I1922" t="s">
        <v>3167</v>
      </c>
      <c r="J1922" t="s">
        <v>990</v>
      </c>
      <c r="K1922" t="s">
        <v>3171</v>
      </c>
      <c r="L1922" t="s">
        <v>990</v>
      </c>
      <c r="M1922" t="s">
        <v>980</v>
      </c>
      <c r="N1922" t="s">
        <v>988</v>
      </c>
      <c r="O1922" t="s">
        <v>988</v>
      </c>
      <c r="P1922" t="s">
        <v>1089</v>
      </c>
      <c r="Q1922" t="s">
        <v>3169</v>
      </c>
      <c r="R1922" t="s">
        <v>446</v>
      </c>
      <c r="S1922" t="s">
        <v>446</v>
      </c>
      <c r="T1922" t="s">
        <v>1965</v>
      </c>
      <c r="U1922" t="b">
        <v>0</v>
      </c>
      <c r="V1922" t="s">
        <v>446</v>
      </c>
    </row>
    <row r="1923" spans="1:22" x14ac:dyDescent="0.25">
      <c r="A1923" t="s">
        <v>42</v>
      </c>
      <c r="B1923">
        <v>232</v>
      </c>
      <c r="C1923" t="s">
        <v>993</v>
      </c>
      <c r="D1923" t="s">
        <v>5215</v>
      </c>
      <c r="E1923" t="s">
        <v>992</v>
      </c>
      <c r="F1923" t="s">
        <v>5216</v>
      </c>
      <c r="G1923" t="s">
        <v>24</v>
      </c>
      <c r="H1923" t="s">
        <v>26</v>
      </c>
      <c r="I1923" t="s">
        <v>3167</v>
      </c>
      <c r="J1923" t="s">
        <v>996</v>
      </c>
      <c r="K1923" t="s">
        <v>3173</v>
      </c>
      <c r="L1923" t="s">
        <v>996</v>
      </c>
      <c r="M1923" t="s">
        <v>980</v>
      </c>
      <c r="N1923" t="s">
        <v>994</v>
      </c>
      <c r="O1923" t="s">
        <v>994</v>
      </c>
      <c r="P1923" t="s">
        <v>1089</v>
      </c>
      <c r="Q1923" t="s">
        <v>3169</v>
      </c>
      <c r="R1923" t="s">
        <v>446</v>
      </c>
      <c r="S1923" t="s">
        <v>446</v>
      </c>
      <c r="T1923" t="s">
        <v>1965</v>
      </c>
      <c r="U1923" t="b">
        <v>0</v>
      </c>
      <c r="V1923" t="s">
        <v>446</v>
      </c>
    </row>
    <row r="1924" spans="1:22" x14ac:dyDescent="0.25">
      <c r="A1924" t="s">
        <v>42</v>
      </c>
      <c r="B1924">
        <v>232</v>
      </c>
      <c r="C1924" t="s">
        <v>999</v>
      </c>
      <c r="D1924" t="s">
        <v>5217</v>
      </c>
      <c r="E1924" t="s">
        <v>998</v>
      </c>
      <c r="F1924" t="s">
        <v>5218</v>
      </c>
      <c r="G1924" t="s">
        <v>24</v>
      </c>
      <c r="H1924" t="s">
        <v>26</v>
      </c>
      <c r="I1924" t="s">
        <v>3167</v>
      </c>
      <c r="J1924" t="s">
        <v>1003</v>
      </c>
      <c r="K1924" t="s">
        <v>3175</v>
      </c>
      <c r="L1924" t="s">
        <v>1003</v>
      </c>
      <c r="M1924" t="s">
        <v>1000</v>
      </c>
      <c r="N1924" t="s">
        <v>1001</v>
      </c>
      <c r="O1924" t="s">
        <v>1001</v>
      </c>
      <c r="P1924" t="s">
        <v>1089</v>
      </c>
      <c r="Q1924" t="s">
        <v>3169</v>
      </c>
      <c r="R1924" t="s">
        <v>446</v>
      </c>
      <c r="S1924" t="s">
        <v>446</v>
      </c>
      <c r="T1924" t="s">
        <v>1965</v>
      </c>
      <c r="U1924" t="b">
        <v>0</v>
      </c>
      <c r="V1924" t="s">
        <v>446</v>
      </c>
    </row>
    <row r="1925" spans="1:22" x14ac:dyDescent="0.25">
      <c r="A1925" t="s">
        <v>42</v>
      </c>
      <c r="B1925">
        <v>232</v>
      </c>
      <c r="C1925" t="s">
        <v>1007</v>
      </c>
      <c r="D1925" t="s">
        <v>5219</v>
      </c>
      <c r="E1925" t="s">
        <v>1006</v>
      </c>
      <c r="F1925" t="s">
        <v>5220</v>
      </c>
      <c r="G1925" t="s">
        <v>24</v>
      </c>
      <c r="H1925" t="s">
        <v>26</v>
      </c>
      <c r="I1925" t="s">
        <v>3167</v>
      </c>
      <c r="J1925" t="s">
        <v>1011</v>
      </c>
      <c r="K1925" t="s">
        <v>3179</v>
      </c>
      <c r="L1925" t="s">
        <v>1011</v>
      </c>
      <c r="M1925" t="s">
        <v>1008</v>
      </c>
      <c r="N1925" t="s">
        <v>1009</v>
      </c>
      <c r="O1925" t="s">
        <v>1009</v>
      </c>
      <c r="P1925" t="s">
        <v>1089</v>
      </c>
      <c r="Q1925" t="s">
        <v>3169</v>
      </c>
      <c r="R1925" t="s">
        <v>446</v>
      </c>
      <c r="S1925" t="s">
        <v>446</v>
      </c>
      <c r="T1925" t="s">
        <v>1965</v>
      </c>
      <c r="U1925" t="b">
        <v>0</v>
      </c>
      <c r="V1925" t="s">
        <v>446</v>
      </c>
    </row>
    <row r="1926" spans="1:22" x14ac:dyDescent="0.25">
      <c r="A1926" t="s">
        <v>42</v>
      </c>
      <c r="B1926">
        <v>232</v>
      </c>
      <c r="C1926" t="s">
        <v>1014</v>
      </c>
      <c r="D1926" t="s">
        <v>5221</v>
      </c>
      <c r="E1926" t="s">
        <v>1013</v>
      </c>
      <c r="F1926" t="s">
        <v>5222</v>
      </c>
      <c r="G1926" t="s">
        <v>24</v>
      </c>
      <c r="H1926" t="s">
        <v>26</v>
      </c>
      <c r="I1926" t="s">
        <v>3167</v>
      </c>
      <c r="J1926" t="s">
        <v>1016</v>
      </c>
      <c r="K1926" t="s">
        <v>3181</v>
      </c>
      <c r="L1926" t="s">
        <v>1016</v>
      </c>
      <c r="M1926" t="s">
        <v>980</v>
      </c>
      <c r="N1926" t="s">
        <v>1015</v>
      </c>
      <c r="O1926" t="s">
        <v>1015</v>
      </c>
      <c r="P1926" t="s">
        <v>1089</v>
      </c>
      <c r="Q1926" t="s">
        <v>3169</v>
      </c>
      <c r="R1926" t="s">
        <v>446</v>
      </c>
      <c r="S1926" t="s">
        <v>446</v>
      </c>
      <c r="T1926" t="s">
        <v>1965</v>
      </c>
      <c r="U1926" t="b">
        <v>0</v>
      </c>
      <c r="V1926" t="s">
        <v>446</v>
      </c>
    </row>
    <row r="1927" spans="1:22" x14ac:dyDescent="0.25">
      <c r="A1927" t="s">
        <v>42</v>
      </c>
      <c r="B1927">
        <v>232</v>
      </c>
      <c r="C1927" t="s">
        <v>1019</v>
      </c>
      <c r="D1927" t="s">
        <v>5223</v>
      </c>
      <c r="E1927" t="s">
        <v>1018</v>
      </c>
      <c r="F1927" t="s">
        <v>5224</v>
      </c>
      <c r="G1927" t="s">
        <v>24</v>
      </c>
      <c r="H1927" t="s">
        <v>26</v>
      </c>
      <c r="I1927" t="s">
        <v>3167</v>
      </c>
      <c r="J1927" t="s">
        <v>1021</v>
      </c>
      <c r="K1927" t="s">
        <v>3183</v>
      </c>
      <c r="L1927" t="s">
        <v>1021</v>
      </c>
      <c r="M1927" t="s">
        <v>980</v>
      </c>
      <c r="N1927" t="s">
        <v>1020</v>
      </c>
      <c r="O1927" t="s">
        <v>1020</v>
      </c>
      <c r="P1927" t="s">
        <v>1089</v>
      </c>
      <c r="Q1927" t="s">
        <v>3169</v>
      </c>
      <c r="R1927" t="s">
        <v>446</v>
      </c>
      <c r="S1927" t="s">
        <v>446</v>
      </c>
      <c r="T1927" t="s">
        <v>1965</v>
      </c>
      <c r="U1927" t="b">
        <v>0</v>
      </c>
      <c r="V1927" t="s">
        <v>446</v>
      </c>
    </row>
    <row r="1928" spans="1:22" x14ac:dyDescent="0.25">
      <c r="A1928" t="s">
        <v>42</v>
      </c>
      <c r="B1928">
        <v>232</v>
      </c>
      <c r="C1928" t="s">
        <v>1024</v>
      </c>
      <c r="D1928" t="s">
        <v>5225</v>
      </c>
      <c r="E1928" t="s">
        <v>1023</v>
      </c>
      <c r="F1928" t="s">
        <v>5226</v>
      </c>
      <c r="G1928" t="s">
        <v>24</v>
      </c>
      <c r="H1928" t="s">
        <v>26</v>
      </c>
      <c r="I1928" t="s">
        <v>3167</v>
      </c>
      <c r="J1928" t="s">
        <v>1026</v>
      </c>
      <c r="K1928" t="s">
        <v>3185</v>
      </c>
      <c r="L1928" t="s">
        <v>1026</v>
      </c>
      <c r="M1928" t="s">
        <v>1000</v>
      </c>
      <c r="N1928" t="s">
        <v>1025</v>
      </c>
      <c r="O1928" t="s">
        <v>1025</v>
      </c>
      <c r="P1928" t="s">
        <v>1089</v>
      </c>
      <c r="Q1928" t="s">
        <v>3169</v>
      </c>
      <c r="R1928" t="s">
        <v>446</v>
      </c>
      <c r="S1928" t="s">
        <v>446</v>
      </c>
      <c r="T1928" t="s">
        <v>1965</v>
      </c>
      <c r="U1928" t="b">
        <v>0</v>
      </c>
      <c r="V1928" t="s">
        <v>446</v>
      </c>
    </row>
    <row r="1929" spans="1:22" x14ac:dyDescent="0.25">
      <c r="A1929" t="s">
        <v>42</v>
      </c>
      <c r="B1929">
        <v>232</v>
      </c>
      <c r="C1929" t="s">
        <v>1028</v>
      </c>
      <c r="D1929" t="s">
        <v>5227</v>
      </c>
      <c r="E1929" t="s">
        <v>1010</v>
      </c>
      <c r="F1929" t="s">
        <v>5228</v>
      </c>
      <c r="G1929" t="s">
        <v>24</v>
      </c>
      <c r="H1929" t="s">
        <v>26</v>
      </c>
      <c r="I1929" t="s">
        <v>3167</v>
      </c>
      <c r="J1929" t="s">
        <v>1026</v>
      </c>
      <c r="K1929" t="s">
        <v>3185</v>
      </c>
      <c r="L1929" t="s">
        <v>1026</v>
      </c>
      <c r="M1929" t="s">
        <v>1000</v>
      </c>
      <c r="N1929" t="s">
        <v>1025</v>
      </c>
      <c r="O1929" t="s">
        <v>1025</v>
      </c>
      <c r="P1929" t="s">
        <v>1089</v>
      </c>
      <c r="Q1929" t="s">
        <v>3169</v>
      </c>
      <c r="R1929" t="s">
        <v>446</v>
      </c>
      <c r="S1929" t="s">
        <v>446</v>
      </c>
      <c r="T1929" t="s">
        <v>1965</v>
      </c>
      <c r="U1929" t="b">
        <v>0</v>
      </c>
      <c r="V1929" t="s">
        <v>446</v>
      </c>
    </row>
    <row r="1930" spans="1:22" x14ac:dyDescent="0.25">
      <c r="A1930" t="s">
        <v>42</v>
      </c>
      <c r="B1930">
        <v>232</v>
      </c>
      <c r="C1930" t="s">
        <v>1030</v>
      </c>
      <c r="D1930" t="s">
        <v>5229</v>
      </c>
      <c r="E1930" t="s">
        <v>1029</v>
      </c>
      <c r="F1930" t="s">
        <v>5230</v>
      </c>
      <c r="G1930" t="s">
        <v>24</v>
      </c>
      <c r="H1930" t="s">
        <v>26</v>
      </c>
      <c r="I1930" t="s">
        <v>3167</v>
      </c>
      <c r="J1930" t="s">
        <v>1033</v>
      </c>
      <c r="K1930" t="s">
        <v>3189</v>
      </c>
      <c r="L1930" t="s">
        <v>1033</v>
      </c>
      <c r="M1930" t="s">
        <v>980</v>
      </c>
      <c r="N1930" t="s">
        <v>1031</v>
      </c>
      <c r="O1930" t="s">
        <v>1031</v>
      </c>
      <c r="P1930" t="s">
        <v>1089</v>
      </c>
      <c r="Q1930" t="s">
        <v>3169</v>
      </c>
      <c r="R1930" t="s">
        <v>446</v>
      </c>
      <c r="S1930" t="s">
        <v>446</v>
      </c>
      <c r="T1930" t="s">
        <v>1965</v>
      </c>
      <c r="U1930" t="b">
        <v>0</v>
      </c>
      <c r="V1930" t="s">
        <v>446</v>
      </c>
    </row>
    <row r="1931" spans="1:22" x14ac:dyDescent="0.25">
      <c r="A1931" t="s">
        <v>42</v>
      </c>
      <c r="B1931">
        <v>232</v>
      </c>
      <c r="C1931" t="s">
        <v>1036</v>
      </c>
      <c r="D1931" t="s">
        <v>5231</v>
      </c>
      <c r="E1931" t="s">
        <v>1035</v>
      </c>
      <c r="F1931" t="s">
        <v>5232</v>
      </c>
      <c r="G1931" t="s">
        <v>24</v>
      </c>
      <c r="H1931" t="s">
        <v>26</v>
      </c>
      <c r="I1931" t="s">
        <v>3167</v>
      </c>
      <c r="J1931" t="s">
        <v>1038</v>
      </c>
      <c r="K1931" t="s">
        <v>3191</v>
      </c>
      <c r="L1931" t="s">
        <v>1038</v>
      </c>
      <c r="M1931" t="s">
        <v>980</v>
      </c>
      <c r="N1931" t="s">
        <v>1037</v>
      </c>
      <c r="O1931" t="s">
        <v>1037</v>
      </c>
      <c r="P1931" t="s">
        <v>1089</v>
      </c>
      <c r="Q1931" t="s">
        <v>3169</v>
      </c>
      <c r="R1931" t="s">
        <v>446</v>
      </c>
      <c r="S1931" t="s">
        <v>446</v>
      </c>
      <c r="T1931" t="s">
        <v>1965</v>
      </c>
      <c r="U1931" t="b">
        <v>0</v>
      </c>
      <c r="V1931" t="s">
        <v>446</v>
      </c>
    </row>
    <row r="1932" spans="1:22" x14ac:dyDescent="0.25">
      <c r="A1932" t="s">
        <v>42</v>
      </c>
      <c r="B1932">
        <v>232</v>
      </c>
      <c r="C1932" t="s">
        <v>1041</v>
      </c>
      <c r="D1932" t="s">
        <v>5233</v>
      </c>
      <c r="E1932" t="s">
        <v>1040</v>
      </c>
      <c r="F1932" t="s">
        <v>5234</v>
      </c>
      <c r="G1932" t="s">
        <v>24</v>
      </c>
      <c r="H1932" t="s">
        <v>26</v>
      </c>
      <c r="I1932" t="s">
        <v>3167</v>
      </c>
      <c r="J1932" t="s">
        <v>1043</v>
      </c>
      <c r="K1932" t="s">
        <v>3193</v>
      </c>
      <c r="L1932" t="s">
        <v>1043</v>
      </c>
      <c r="M1932" t="s">
        <v>980</v>
      </c>
      <c r="N1932" t="s">
        <v>1042</v>
      </c>
      <c r="O1932" t="s">
        <v>1042</v>
      </c>
      <c r="P1932" t="s">
        <v>1089</v>
      </c>
      <c r="Q1932" t="s">
        <v>3169</v>
      </c>
      <c r="R1932" t="s">
        <v>446</v>
      </c>
      <c r="S1932" t="s">
        <v>446</v>
      </c>
      <c r="T1932" t="s">
        <v>1965</v>
      </c>
      <c r="U1932" t="b">
        <v>0</v>
      </c>
      <c r="V1932" t="s">
        <v>446</v>
      </c>
    </row>
    <row r="1933" spans="1:22" x14ac:dyDescent="0.25">
      <c r="A1933" t="s">
        <v>42</v>
      </c>
      <c r="B1933">
        <v>232</v>
      </c>
      <c r="C1933" t="s">
        <v>1046</v>
      </c>
      <c r="D1933" t="s">
        <v>5235</v>
      </c>
      <c r="E1933" t="s">
        <v>1045</v>
      </c>
      <c r="F1933" t="s">
        <v>5236</v>
      </c>
      <c r="G1933" t="s">
        <v>24</v>
      </c>
      <c r="H1933" t="s">
        <v>26</v>
      </c>
      <c r="I1933" t="s">
        <v>3167</v>
      </c>
      <c r="J1933" t="s">
        <v>1048</v>
      </c>
      <c r="K1933" t="s">
        <v>3195</v>
      </c>
      <c r="L1933" t="s">
        <v>1048</v>
      </c>
      <c r="M1933" t="s">
        <v>1000</v>
      </c>
      <c r="N1933" t="s">
        <v>1047</v>
      </c>
      <c r="O1933" t="s">
        <v>1047</v>
      </c>
      <c r="P1933" t="s">
        <v>1089</v>
      </c>
      <c r="Q1933" t="s">
        <v>3169</v>
      </c>
      <c r="R1933" t="s">
        <v>446</v>
      </c>
      <c r="S1933" t="s">
        <v>446</v>
      </c>
      <c r="T1933" t="s">
        <v>1965</v>
      </c>
      <c r="U1933" t="b">
        <v>0</v>
      </c>
      <c r="V1933" t="s">
        <v>446</v>
      </c>
    </row>
    <row r="1934" spans="1:22" x14ac:dyDescent="0.25">
      <c r="A1934" t="s">
        <v>42</v>
      </c>
      <c r="B1934">
        <v>232</v>
      </c>
      <c r="C1934" t="s">
        <v>1050</v>
      </c>
      <c r="D1934" t="s">
        <v>5237</v>
      </c>
      <c r="E1934" t="s">
        <v>1032</v>
      </c>
      <c r="F1934" t="s">
        <v>5238</v>
      </c>
      <c r="G1934" t="s">
        <v>24</v>
      </c>
      <c r="H1934" t="s">
        <v>26</v>
      </c>
      <c r="I1934" t="s">
        <v>3167</v>
      </c>
      <c r="J1934" t="s">
        <v>1048</v>
      </c>
      <c r="K1934" t="s">
        <v>3195</v>
      </c>
      <c r="L1934" t="s">
        <v>1048</v>
      </c>
      <c r="M1934" t="s">
        <v>1000</v>
      </c>
      <c r="N1934" t="s">
        <v>1047</v>
      </c>
      <c r="O1934" t="s">
        <v>1047</v>
      </c>
      <c r="P1934" t="s">
        <v>1089</v>
      </c>
      <c r="Q1934" t="s">
        <v>3169</v>
      </c>
      <c r="R1934" t="s">
        <v>446</v>
      </c>
      <c r="S1934" t="s">
        <v>446</v>
      </c>
      <c r="T1934" t="s">
        <v>1965</v>
      </c>
      <c r="U1934" t="b">
        <v>0</v>
      </c>
      <c r="V1934" t="s">
        <v>446</v>
      </c>
    </row>
    <row r="1935" spans="1:22" x14ac:dyDescent="0.25">
      <c r="A1935" t="s">
        <v>42</v>
      </c>
      <c r="B1935">
        <v>232</v>
      </c>
      <c r="C1935" t="s">
        <v>1052</v>
      </c>
      <c r="D1935" t="s">
        <v>5239</v>
      </c>
      <c r="E1935" t="s">
        <v>1051</v>
      </c>
      <c r="F1935" t="s">
        <v>5240</v>
      </c>
      <c r="G1935" t="s">
        <v>24</v>
      </c>
      <c r="H1935" t="s">
        <v>26</v>
      </c>
      <c r="I1935" t="s">
        <v>3167</v>
      </c>
      <c r="J1935" t="s">
        <v>1055</v>
      </c>
      <c r="K1935" t="s">
        <v>3199</v>
      </c>
      <c r="L1935" t="s">
        <v>1055</v>
      </c>
      <c r="M1935" t="s">
        <v>980</v>
      </c>
      <c r="N1935" t="s">
        <v>1053</v>
      </c>
      <c r="O1935" t="s">
        <v>1053</v>
      </c>
      <c r="P1935" t="s">
        <v>1089</v>
      </c>
      <c r="Q1935" t="s">
        <v>3169</v>
      </c>
      <c r="R1935" t="s">
        <v>446</v>
      </c>
      <c r="S1935" t="s">
        <v>446</v>
      </c>
      <c r="T1935" t="s">
        <v>1965</v>
      </c>
      <c r="U1935" t="b">
        <v>0</v>
      </c>
      <c r="V1935" t="s">
        <v>446</v>
      </c>
    </row>
    <row r="1936" spans="1:22" x14ac:dyDescent="0.25">
      <c r="A1936" t="s">
        <v>42</v>
      </c>
      <c r="B1936">
        <v>234</v>
      </c>
      <c r="C1936" t="s">
        <v>979</v>
      </c>
      <c r="D1936" t="s">
        <v>5241</v>
      </c>
      <c r="E1936" t="s">
        <v>978</v>
      </c>
      <c r="F1936" t="s">
        <v>3218</v>
      </c>
      <c r="G1936" t="s">
        <v>24</v>
      </c>
      <c r="H1936" t="s">
        <v>26</v>
      </c>
      <c r="I1936" t="s">
        <v>3167</v>
      </c>
      <c r="J1936" t="s">
        <v>984</v>
      </c>
      <c r="K1936" t="s">
        <v>3168</v>
      </c>
      <c r="L1936" t="s">
        <v>984</v>
      </c>
      <c r="M1936" t="s">
        <v>980</v>
      </c>
      <c r="N1936" t="s">
        <v>981</v>
      </c>
      <c r="O1936" t="s">
        <v>981</v>
      </c>
      <c r="P1936" t="s">
        <v>1089</v>
      </c>
      <c r="Q1936" t="s">
        <v>3169</v>
      </c>
      <c r="R1936" t="s">
        <v>446</v>
      </c>
      <c r="S1936" t="s">
        <v>446</v>
      </c>
      <c r="T1936" t="s">
        <v>1965</v>
      </c>
      <c r="U1936" t="b">
        <v>0</v>
      </c>
      <c r="V1936" t="s">
        <v>446</v>
      </c>
    </row>
    <row r="1937" spans="1:22" x14ac:dyDescent="0.25">
      <c r="A1937" t="s">
        <v>42</v>
      </c>
      <c r="B1937">
        <v>234</v>
      </c>
      <c r="C1937" t="s">
        <v>987</v>
      </c>
      <c r="D1937" t="s">
        <v>5242</v>
      </c>
      <c r="E1937" t="s">
        <v>986</v>
      </c>
      <c r="F1937" t="s">
        <v>3218</v>
      </c>
      <c r="G1937" t="s">
        <v>24</v>
      </c>
      <c r="H1937" t="s">
        <v>26</v>
      </c>
      <c r="I1937" t="s">
        <v>3167</v>
      </c>
      <c r="J1937" t="s">
        <v>990</v>
      </c>
      <c r="K1937" t="s">
        <v>3171</v>
      </c>
      <c r="L1937" t="s">
        <v>990</v>
      </c>
      <c r="M1937" t="s">
        <v>980</v>
      </c>
      <c r="N1937" t="s">
        <v>988</v>
      </c>
      <c r="O1937" t="s">
        <v>988</v>
      </c>
      <c r="P1937" t="s">
        <v>1089</v>
      </c>
      <c r="Q1937" t="s">
        <v>3169</v>
      </c>
      <c r="R1937" t="s">
        <v>446</v>
      </c>
      <c r="S1937" t="s">
        <v>446</v>
      </c>
      <c r="T1937" t="s">
        <v>1965</v>
      </c>
      <c r="U1937" t="b">
        <v>0</v>
      </c>
      <c r="V1937" t="s">
        <v>446</v>
      </c>
    </row>
    <row r="1938" spans="1:22" x14ac:dyDescent="0.25">
      <c r="A1938" t="s">
        <v>42</v>
      </c>
      <c r="B1938">
        <v>234</v>
      </c>
      <c r="C1938" t="s">
        <v>993</v>
      </c>
      <c r="D1938" t="s">
        <v>5243</v>
      </c>
      <c r="E1938" t="s">
        <v>992</v>
      </c>
      <c r="F1938" t="s">
        <v>3218</v>
      </c>
      <c r="G1938" t="s">
        <v>24</v>
      </c>
      <c r="H1938" t="s">
        <v>26</v>
      </c>
      <c r="I1938" t="s">
        <v>3167</v>
      </c>
      <c r="J1938" t="s">
        <v>996</v>
      </c>
      <c r="K1938" t="s">
        <v>3173</v>
      </c>
      <c r="L1938" t="s">
        <v>996</v>
      </c>
      <c r="M1938" t="s">
        <v>980</v>
      </c>
      <c r="N1938" t="s">
        <v>994</v>
      </c>
      <c r="O1938" t="s">
        <v>994</v>
      </c>
      <c r="P1938" t="s">
        <v>1089</v>
      </c>
      <c r="Q1938" t="s">
        <v>3169</v>
      </c>
      <c r="R1938" t="s">
        <v>446</v>
      </c>
      <c r="S1938" t="s">
        <v>446</v>
      </c>
      <c r="T1938" t="s">
        <v>1965</v>
      </c>
      <c r="U1938" t="b">
        <v>0</v>
      </c>
      <c r="V1938" t="s">
        <v>446</v>
      </c>
    </row>
    <row r="1939" spans="1:22" x14ac:dyDescent="0.25">
      <c r="A1939" t="s">
        <v>42</v>
      </c>
      <c r="B1939">
        <v>234</v>
      </c>
      <c r="C1939" t="s">
        <v>999</v>
      </c>
      <c r="D1939" t="s">
        <v>5244</v>
      </c>
      <c r="E1939" t="s">
        <v>998</v>
      </c>
      <c r="F1939" t="s">
        <v>3218</v>
      </c>
      <c r="G1939" t="s">
        <v>24</v>
      </c>
      <c r="H1939" t="s">
        <v>26</v>
      </c>
      <c r="I1939" t="s">
        <v>3167</v>
      </c>
      <c r="J1939" t="s">
        <v>1003</v>
      </c>
      <c r="K1939" t="s">
        <v>3175</v>
      </c>
      <c r="L1939" t="s">
        <v>1003</v>
      </c>
      <c r="M1939" t="s">
        <v>1000</v>
      </c>
      <c r="N1939" t="s">
        <v>1001</v>
      </c>
      <c r="O1939" t="s">
        <v>1001</v>
      </c>
      <c r="P1939" t="s">
        <v>1089</v>
      </c>
      <c r="Q1939" t="s">
        <v>3169</v>
      </c>
      <c r="R1939" t="s">
        <v>446</v>
      </c>
      <c r="S1939" t="s">
        <v>446</v>
      </c>
      <c r="T1939" t="s">
        <v>1965</v>
      </c>
      <c r="U1939" t="b">
        <v>0</v>
      </c>
      <c r="V1939" t="s">
        <v>446</v>
      </c>
    </row>
    <row r="1940" spans="1:22" x14ac:dyDescent="0.25">
      <c r="A1940" t="s">
        <v>42</v>
      </c>
      <c r="B1940">
        <v>234</v>
      </c>
      <c r="C1940" t="s">
        <v>1005</v>
      </c>
      <c r="D1940" t="s">
        <v>5245</v>
      </c>
      <c r="E1940" t="s">
        <v>982</v>
      </c>
      <c r="F1940" t="s">
        <v>3166</v>
      </c>
      <c r="G1940" t="s">
        <v>24</v>
      </c>
      <c r="H1940" t="s">
        <v>26</v>
      </c>
      <c r="I1940" t="s">
        <v>3167</v>
      </c>
      <c r="J1940" t="s">
        <v>1003</v>
      </c>
      <c r="K1940" t="s">
        <v>3175</v>
      </c>
      <c r="L1940" t="s">
        <v>1003</v>
      </c>
      <c r="M1940" t="s">
        <v>1000</v>
      </c>
      <c r="N1940" t="s">
        <v>1001</v>
      </c>
      <c r="O1940" t="s">
        <v>1001</v>
      </c>
      <c r="P1940" t="s">
        <v>1089</v>
      </c>
      <c r="Q1940" t="s">
        <v>3169</v>
      </c>
      <c r="R1940" t="s">
        <v>446</v>
      </c>
      <c r="S1940" t="s">
        <v>446</v>
      </c>
      <c r="T1940" t="s">
        <v>1965</v>
      </c>
      <c r="U1940" t="b">
        <v>0</v>
      </c>
      <c r="V1940" t="s">
        <v>446</v>
      </c>
    </row>
    <row r="1941" spans="1:22" x14ac:dyDescent="0.25">
      <c r="A1941" t="s">
        <v>42</v>
      </c>
      <c r="B1941">
        <v>234</v>
      </c>
      <c r="C1941" t="s">
        <v>1007</v>
      </c>
      <c r="D1941" t="s">
        <v>5246</v>
      </c>
      <c r="E1941" t="s">
        <v>1006</v>
      </c>
      <c r="F1941" t="s">
        <v>3218</v>
      </c>
      <c r="G1941" t="s">
        <v>24</v>
      </c>
      <c r="H1941" t="s">
        <v>26</v>
      </c>
      <c r="I1941" t="s">
        <v>3167</v>
      </c>
      <c r="J1941" t="s">
        <v>1011</v>
      </c>
      <c r="K1941" t="s">
        <v>3179</v>
      </c>
      <c r="L1941" t="s">
        <v>1011</v>
      </c>
      <c r="M1941" t="s">
        <v>1008</v>
      </c>
      <c r="N1941" t="s">
        <v>1009</v>
      </c>
      <c r="O1941" t="s">
        <v>1009</v>
      </c>
      <c r="P1941" t="s">
        <v>1089</v>
      </c>
      <c r="Q1941" t="s">
        <v>3169</v>
      </c>
      <c r="R1941" t="s">
        <v>446</v>
      </c>
      <c r="S1941" t="s">
        <v>446</v>
      </c>
      <c r="T1941" t="s">
        <v>1965</v>
      </c>
      <c r="U1941" t="b">
        <v>0</v>
      </c>
      <c r="V1941" t="s">
        <v>446</v>
      </c>
    </row>
    <row r="1942" spans="1:22" x14ac:dyDescent="0.25">
      <c r="A1942" t="s">
        <v>42</v>
      </c>
      <c r="B1942">
        <v>234</v>
      </c>
      <c r="C1942" t="s">
        <v>1014</v>
      </c>
      <c r="D1942" t="s">
        <v>5247</v>
      </c>
      <c r="E1942" t="s">
        <v>1013</v>
      </c>
      <c r="F1942" t="s">
        <v>3218</v>
      </c>
      <c r="G1942" t="s">
        <v>24</v>
      </c>
      <c r="H1942" t="s">
        <v>26</v>
      </c>
      <c r="I1942" t="s">
        <v>3167</v>
      </c>
      <c r="J1942" t="s">
        <v>1016</v>
      </c>
      <c r="K1942" t="s">
        <v>3181</v>
      </c>
      <c r="L1942" t="s">
        <v>1016</v>
      </c>
      <c r="M1942" t="s">
        <v>980</v>
      </c>
      <c r="N1942" t="s">
        <v>1015</v>
      </c>
      <c r="O1942" t="s">
        <v>1015</v>
      </c>
      <c r="P1942" t="s">
        <v>1089</v>
      </c>
      <c r="Q1942" t="s">
        <v>3169</v>
      </c>
      <c r="R1942" t="s">
        <v>446</v>
      </c>
      <c r="S1942" t="s">
        <v>446</v>
      </c>
      <c r="T1942" t="s">
        <v>1965</v>
      </c>
      <c r="U1942" t="b">
        <v>0</v>
      </c>
      <c r="V1942" t="s">
        <v>446</v>
      </c>
    </row>
    <row r="1943" spans="1:22" x14ac:dyDescent="0.25">
      <c r="A1943" t="s">
        <v>42</v>
      </c>
      <c r="B1943">
        <v>234</v>
      </c>
      <c r="C1943" t="s">
        <v>1019</v>
      </c>
      <c r="D1943" t="s">
        <v>5248</v>
      </c>
      <c r="E1943" t="s">
        <v>1018</v>
      </c>
      <c r="F1943" t="s">
        <v>3218</v>
      </c>
      <c r="G1943" t="s">
        <v>24</v>
      </c>
      <c r="H1943" t="s">
        <v>26</v>
      </c>
      <c r="I1943" t="s">
        <v>3167</v>
      </c>
      <c r="J1943" t="s">
        <v>1021</v>
      </c>
      <c r="K1943" t="s">
        <v>3183</v>
      </c>
      <c r="L1943" t="s">
        <v>1021</v>
      </c>
      <c r="M1943" t="s">
        <v>980</v>
      </c>
      <c r="N1943" t="s">
        <v>1020</v>
      </c>
      <c r="O1943" t="s">
        <v>1020</v>
      </c>
      <c r="P1943" t="s">
        <v>1089</v>
      </c>
      <c r="Q1943" t="s">
        <v>3169</v>
      </c>
      <c r="R1943" t="s">
        <v>446</v>
      </c>
      <c r="S1943" t="s">
        <v>446</v>
      </c>
      <c r="T1943" t="s">
        <v>1965</v>
      </c>
      <c r="U1943" t="b">
        <v>0</v>
      </c>
      <c r="V1943" t="s">
        <v>446</v>
      </c>
    </row>
    <row r="1944" spans="1:22" x14ac:dyDescent="0.25">
      <c r="A1944" t="s">
        <v>42</v>
      </c>
      <c r="B1944">
        <v>234</v>
      </c>
      <c r="C1944" t="s">
        <v>1024</v>
      </c>
      <c r="D1944" t="s">
        <v>5249</v>
      </c>
      <c r="E1944" t="s">
        <v>1023</v>
      </c>
      <c r="F1944" t="s">
        <v>3218</v>
      </c>
      <c r="G1944" t="s">
        <v>24</v>
      </c>
      <c r="H1944" t="s">
        <v>26</v>
      </c>
      <c r="I1944" t="s">
        <v>3167</v>
      </c>
      <c r="J1944" t="s">
        <v>1026</v>
      </c>
      <c r="K1944" t="s">
        <v>3185</v>
      </c>
      <c r="L1944" t="s">
        <v>1026</v>
      </c>
      <c r="M1944" t="s">
        <v>1000</v>
      </c>
      <c r="N1944" t="s">
        <v>1025</v>
      </c>
      <c r="O1944" t="s">
        <v>1025</v>
      </c>
      <c r="P1944" t="s">
        <v>1089</v>
      </c>
      <c r="Q1944" t="s">
        <v>3169</v>
      </c>
      <c r="R1944" t="s">
        <v>446</v>
      </c>
      <c r="S1944" t="s">
        <v>446</v>
      </c>
      <c r="T1944" t="s">
        <v>1965</v>
      </c>
      <c r="U1944" t="b">
        <v>0</v>
      </c>
      <c r="V1944" t="s">
        <v>446</v>
      </c>
    </row>
    <row r="1945" spans="1:22" x14ac:dyDescent="0.25">
      <c r="A1945" t="s">
        <v>42</v>
      </c>
      <c r="B1945">
        <v>234</v>
      </c>
      <c r="C1945" t="s">
        <v>1028</v>
      </c>
      <c r="D1945" t="s">
        <v>5250</v>
      </c>
      <c r="E1945" t="s">
        <v>1010</v>
      </c>
      <c r="F1945" t="s">
        <v>3178</v>
      </c>
      <c r="G1945" t="s">
        <v>24</v>
      </c>
      <c r="H1945" t="s">
        <v>26</v>
      </c>
      <c r="I1945" t="s">
        <v>3167</v>
      </c>
      <c r="J1945" t="s">
        <v>1026</v>
      </c>
      <c r="K1945" t="s">
        <v>3185</v>
      </c>
      <c r="L1945" t="s">
        <v>1026</v>
      </c>
      <c r="M1945" t="s">
        <v>1000</v>
      </c>
      <c r="N1945" t="s">
        <v>1025</v>
      </c>
      <c r="O1945" t="s">
        <v>1025</v>
      </c>
      <c r="P1945" t="s">
        <v>1089</v>
      </c>
      <c r="Q1945" t="s">
        <v>3169</v>
      </c>
      <c r="R1945" t="s">
        <v>446</v>
      </c>
      <c r="S1945" t="s">
        <v>446</v>
      </c>
      <c r="T1945" t="s">
        <v>1965</v>
      </c>
      <c r="U1945" t="b">
        <v>0</v>
      </c>
      <c r="V1945" t="s">
        <v>446</v>
      </c>
    </row>
    <row r="1946" spans="1:22" x14ac:dyDescent="0.25">
      <c r="A1946" t="s">
        <v>42</v>
      </c>
      <c r="B1946">
        <v>234</v>
      </c>
      <c r="C1946" t="s">
        <v>1030</v>
      </c>
      <c r="D1946" t="s">
        <v>5251</v>
      </c>
      <c r="E1946" t="s">
        <v>1029</v>
      </c>
      <c r="F1946" t="s">
        <v>3218</v>
      </c>
      <c r="G1946" t="s">
        <v>24</v>
      </c>
      <c r="H1946" t="s">
        <v>26</v>
      </c>
      <c r="I1946" t="s">
        <v>3167</v>
      </c>
      <c r="J1946" t="s">
        <v>1033</v>
      </c>
      <c r="K1946" t="s">
        <v>3189</v>
      </c>
      <c r="L1946" t="s">
        <v>1033</v>
      </c>
      <c r="M1946" t="s">
        <v>980</v>
      </c>
      <c r="N1946" t="s">
        <v>1031</v>
      </c>
      <c r="O1946" t="s">
        <v>1031</v>
      </c>
      <c r="P1946" t="s">
        <v>1089</v>
      </c>
      <c r="Q1946" t="s">
        <v>3169</v>
      </c>
      <c r="R1946" t="s">
        <v>446</v>
      </c>
      <c r="S1946" t="s">
        <v>446</v>
      </c>
      <c r="T1946" t="s">
        <v>1965</v>
      </c>
      <c r="U1946" t="b">
        <v>0</v>
      </c>
      <c r="V1946" t="s">
        <v>446</v>
      </c>
    </row>
    <row r="1947" spans="1:22" x14ac:dyDescent="0.25">
      <c r="A1947" t="s">
        <v>42</v>
      </c>
      <c r="B1947">
        <v>234</v>
      </c>
      <c r="C1947" t="s">
        <v>1036</v>
      </c>
      <c r="D1947" t="s">
        <v>5252</v>
      </c>
      <c r="E1947" t="s">
        <v>1035</v>
      </c>
      <c r="F1947" t="s">
        <v>3218</v>
      </c>
      <c r="G1947" t="s">
        <v>24</v>
      </c>
      <c r="H1947" t="s">
        <v>26</v>
      </c>
      <c r="I1947" t="s">
        <v>3167</v>
      </c>
      <c r="J1947" t="s">
        <v>1038</v>
      </c>
      <c r="K1947" t="s">
        <v>3191</v>
      </c>
      <c r="L1947" t="s">
        <v>1038</v>
      </c>
      <c r="M1947" t="s">
        <v>980</v>
      </c>
      <c r="N1947" t="s">
        <v>1037</v>
      </c>
      <c r="O1947" t="s">
        <v>1037</v>
      </c>
      <c r="P1947" t="s">
        <v>1089</v>
      </c>
      <c r="Q1947" t="s">
        <v>3169</v>
      </c>
      <c r="R1947" t="s">
        <v>446</v>
      </c>
      <c r="S1947" t="s">
        <v>446</v>
      </c>
      <c r="T1947" t="s">
        <v>1965</v>
      </c>
      <c r="U1947" t="b">
        <v>0</v>
      </c>
      <c r="V1947" t="s">
        <v>446</v>
      </c>
    </row>
    <row r="1948" spans="1:22" x14ac:dyDescent="0.25">
      <c r="A1948" t="s">
        <v>42</v>
      </c>
      <c r="B1948">
        <v>234</v>
      </c>
      <c r="C1948" t="s">
        <v>1041</v>
      </c>
      <c r="D1948" t="s">
        <v>5253</v>
      </c>
      <c r="E1948" t="s">
        <v>1040</v>
      </c>
      <c r="F1948" t="s">
        <v>3218</v>
      </c>
      <c r="G1948" t="s">
        <v>24</v>
      </c>
      <c r="H1948" t="s">
        <v>26</v>
      </c>
      <c r="I1948" t="s">
        <v>3167</v>
      </c>
      <c r="J1948" t="s">
        <v>1043</v>
      </c>
      <c r="K1948" t="s">
        <v>3193</v>
      </c>
      <c r="L1948" t="s">
        <v>1043</v>
      </c>
      <c r="M1948" t="s">
        <v>980</v>
      </c>
      <c r="N1948" t="s">
        <v>1042</v>
      </c>
      <c r="O1948" t="s">
        <v>1042</v>
      </c>
      <c r="P1948" t="s">
        <v>1089</v>
      </c>
      <c r="Q1948" t="s">
        <v>3169</v>
      </c>
      <c r="R1948" t="s">
        <v>446</v>
      </c>
      <c r="S1948" t="s">
        <v>446</v>
      </c>
      <c r="T1948" t="s">
        <v>1965</v>
      </c>
      <c r="U1948" t="b">
        <v>0</v>
      </c>
      <c r="V1948" t="s">
        <v>446</v>
      </c>
    </row>
    <row r="1949" spans="1:22" x14ac:dyDescent="0.25">
      <c r="A1949" t="s">
        <v>42</v>
      </c>
      <c r="B1949">
        <v>234</v>
      </c>
      <c r="C1949" t="s">
        <v>1046</v>
      </c>
      <c r="D1949" t="s">
        <v>5254</v>
      </c>
      <c r="E1949" t="s">
        <v>1045</v>
      </c>
      <c r="F1949" t="s">
        <v>3218</v>
      </c>
      <c r="G1949" t="s">
        <v>24</v>
      </c>
      <c r="H1949" t="s">
        <v>26</v>
      </c>
      <c r="I1949" t="s">
        <v>3167</v>
      </c>
      <c r="J1949" t="s">
        <v>1048</v>
      </c>
      <c r="K1949" t="s">
        <v>3195</v>
      </c>
      <c r="L1949" t="s">
        <v>1048</v>
      </c>
      <c r="M1949" t="s">
        <v>1000</v>
      </c>
      <c r="N1949" t="s">
        <v>1047</v>
      </c>
      <c r="O1949" t="s">
        <v>1047</v>
      </c>
      <c r="P1949" t="s">
        <v>1089</v>
      </c>
      <c r="Q1949" t="s">
        <v>3169</v>
      </c>
      <c r="R1949" t="s">
        <v>446</v>
      </c>
      <c r="S1949" t="s">
        <v>446</v>
      </c>
      <c r="T1949" t="s">
        <v>1965</v>
      </c>
      <c r="U1949" t="b">
        <v>0</v>
      </c>
      <c r="V1949" t="s">
        <v>446</v>
      </c>
    </row>
    <row r="1950" spans="1:22" x14ac:dyDescent="0.25">
      <c r="A1950" t="s">
        <v>42</v>
      </c>
      <c r="B1950">
        <v>234</v>
      </c>
      <c r="C1950" t="s">
        <v>1050</v>
      </c>
      <c r="D1950" t="s">
        <v>5255</v>
      </c>
      <c r="E1950" t="s">
        <v>1032</v>
      </c>
      <c r="F1950" t="s">
        <v>3188</v>
      </c>
      <c r="G1950" t="s">
        <v>24</v>
      </c>
      <c r="H1950" t="s">
        <v>26</v>
      </c>
      <c r="I1950" t="s">
        <v>3167</v>
      </c>
      <c r="J1950" t="s">
        <v>1048</v>
      </c>
      <c r="K1950" t="s">
        <v>3195</v>
      </c>
      <c r="L1950" t="s">
        <v>1048</v>
      </c>
      <c r="M1950" t="s">
        <v>1000</v>
      </c>
      <c r="N1950" t="s">
        <v>1047</v>
      </c>
      <c r="O1950" t="s">
        <v>1047</v>
      </c>
      <c r="P1950" t="s">
        <v>1089</v>
      </c>
      <c r="Q1950" t="s">
        <v>3169</v>
      </c>
      <c r="R1950" t="s">
        <v>446</v>
      </c>
      <c r="S1950" t="s">
        <v>446</v>
      </c>
      <c r="T1950" t="s">
        <v>1965</v>
      </c>
      <c r="U1950" t="b">
        <v>0</v>
      </c>
      <c r="V1950" t="s">
        <v>446</v>
      </c>
    </row>
    <row r="1951" spans="1:22" x14ac:dyDescent="0.25">
      <c r="A1951" t="s">
        <v>42</v>
      </c>
      <c r="B1951">
        <v>234</v>
      </c>
      <c r="C1951" t="s">
        <v>1052</v>
      </c>
      <c r="D1951" t="s">
        <v>5256</v>
      </c>
      <c r="E1951" t="s">
        <v>1051</v>
      </c>
      <c r="F1951" t="s">
        <v>3218</v>
      </c>
      <c r="G1951" t="s">
        <v>24</v>
      </c>
      <c r="H1951" t="s">
        <v>26</v>
      </c>
      <c r="I1951" t="s">
        <v>3167</v>
      </c>
      <c r="J1951" t="s">
        <v>1055</v>
      </c>
      <c r="K1951" t="s">
        <v>3199</v>
      </c>
      <c r="L1951" t="s">
        <v>1055</v>
      </c>
      <c r="M1951" t="s">
        <v>980</v>
      </c>
      <c r="N1951" t="s">
        <v>1053</v>
      </c>
      <c r="O1951" t="s">
        <v>1053</v>
      </c>
      <c r="P1951" t="s">
        <v>1089</v>
      </c>
      <c r="Q1951" t="s">
        <v>3169</v>
      </c>
      <c r="R1951" t="s">
        <v>446</v>
      </c>
      <c r="S1951" t="s">
        <v>446</v>
      </c>
      <c r="T1951" t="s">
        <v>1965</v>
      </c>
      <c r="U1951" t="b">
        <v>0</v>
      </c>
      <c r="V1951" t="s">
        <v>446</v>
      </c>
    </row>
    <row r="1952" spans="1:22" x14ac:dyDescent="0.25">
      <c r="A1952" t="s">
        <v>42</v>
      </c>
      <c r="B1952">
        <v>237</v>
      </c>
      <c r="C1952" t="s">
        <v>979</v>
      </c>
      <c r="D1952" t="s">
        <v>5257</v>
      </c>
      <c r="E1952" t="s">
        <v>978</v>
      </c>
      <c r="F1952" t="s">
        <v>3403</v>
      </c>
      <c r="G1952" t="s">
        <v>24</v>
      </c>
      <c r="H1952" t="s">
        <v>26</v>
      </c>
      <c r="I1952" t="s">
        <v>3167</v>
      </c>
      <c r="J1952" t="s">
        <v>984</v>
      </c>
      <c r="K1952" t="s">
        <v>3168</v>
      </c>
      <c r="L1952" t="s">
        <v>984</v>
      </c>
      <c r="M1952" t="s">
        <v>980</v>
      </c>
      <c r="N1952" t="s">
        <v>981</v>
      </c>
      <c r="O1952" t="s">
        <v>981</v>
      </c>
      <c r="P1952" t="s">
        <v>1746</v>
      </c>
      <c r="Q1952" t="s">
        <v>3771</v>
      </c>
      <c r="R1952" t="s">
        <v>446</v>
      </c>
      <c r="S1952" t="s">
        <v>446</v>
      </c>
      <c r="T1952" t="s">
        <v>1965</v>
      </c>
      <c r="U1952" t="b">
        <v>0</v>
      </c>
      <c r="V1952" t="s">
        <v>446</v>
      </c>
    </row>
    <row r="1953" spans="1:22" x14ac:dyDescent="0.25">
      <c r="A1953" t="s">
        <v>42</v>
      </c>
      <c r="B1953">
        <v>237</v>
      </c>
      <c r="C1953" t="s">
        <v>987</v>
      </c>
      <c r="D1953" t="s">
        <v>5258</v>
      </c>
      <c r="E1953" t="s">
        <v>986</v>
      </c>
      <c r="F1953" t="s">
        <v>3405</v>
      </c>
      <c r="G1953" t="s">
        <v>24</v>
      </c>
      <c r="H1953" t="s">
        <v>26</v>
      </c>
      <c r="I1953" t="s">
        <v>3167</v>
      </c>
      <c r="J1953" t="s">
        <v>990</v>
      </c>
      <c r="K1953" t="s">
        <v>3171</v>
      </c>
      <c r="L1953" t="s">
        <v>990</v>
      </c>
      <c r="M1953" t="s">
        <v>980</v>
      </c>
      <c r="N1953" t="s">
        <v>988</v>
      </c>
      <c r="O1953" t="s">
        <v>988</v>
      </c>
      <c r="P1953" t="s">
        <v>1746</v>
      </c>
      <c r="Q1953" t="s">
        <v>3771</v>
      </c>
      <c r="R1953" t="s">
        <v>446</v>
      </c>
      <c r="S1953" t="s">
        <v>446</v>
      </c>
      <c r="T1953" t="s">
        <v>1965</v>
      </c>
      <c r="U1953" t="b">
        <v>0</v>
      </c>
      <c r="V1953" t="s">
        <v>446</v>
      </c>
    </row>
    <row r="1954" spans="1:22" x14ac:dyDescent="0.25">
      <c r="A1954" t="s">
        <v>42</v>
      </c>
      <c r="B1954">
        <v>237</v>
      </c>
      <c r="C1954" t="s">
        <v>993</v>
      </c>
      <c r="D1954" t="s">
        <v>5259</v>
      </c>
      <c r="E1954" t="s">
        <v>992</v>
      </c>
      <c r="F1954" t="s">
        <v>3407</v>
      </c>
      <c r="G1954" t="s">
        <v>24</v>
      </c>
      <c r="H1954" t="s">
        <v>26</v>
      </c>
      <c r="I1954" t="s">
        <v>3167</v>
      </c>
      <c r="J1954" t="s">
        <v>996</v>
      </c>
      <c r="K1954" t="s">
        <v>3173</v>
      </c>
      <c r="L1954" t="s">
        <v>996</v>
      </c>
      <c r="M1954" t="s">
        <v>980</v>
      </c>
      <c r="N1954" t="s">
        <v>994</v>
      </c>
      <c r="O1954" t="s">
        <v>994</v>
      </c>
      <c r="P1954" t="s">
        <v>1746</v>
      </c>
      <c r="Q1954" t="s">
        <v>3771</v>
      </c>
      <c r="R1954" t="s">
        <v>446</v>
      </c>
      <c r="S1954" t="s">
        <v>446</v>
      </c>
      <c r="T1954" t="s">
        <v>1965</v>
      </c>
      <c r="U1954" t="b">
        <v>0</v>
      </c>
      <c r="V1954" t="s">
        <v>446</v>
      </c>
    </row>
    <row r="1955" spans="1:22" x14ac:dyDescent="0.25">
      <c r="A1955" t="s">
        <v>42</v>
      </c>
      <c r="B1955">
        <v>237</v>
      </c>
      <c r="C1955" t="s">
        <v>999</v>
      </c>
      <c r="D1955" t="s">
        <v>5260</v>
      </c>
      <c r="E1955" t="s">
        <v>998</v>
      </c>
      <c r="F1955" t="s">
        <v>3409</v>
      </c>
      <c r="G1955" t="s">
        <v>24</v>
      </c>
      <c r="H1955" t="s">
        <v>26</v>
      </c>
      <c r="I1955" t="s">
        <v>3167</v>
      </c>
      <c r="J1955" t="s">
        <v>1003</v>
      </c>
      <c r="K1955" t="s">
        <v>3175</v>
      </c>
      <c r="L1955" t="s">
        <v>1003</v>
      </c>
      <c r="M1955" t="s">
        <v>1000</v>
      </c>
      <c r="N1955" t="s">
        <v>1001</v>
      </c>
      <c r="O1955" t="s">
        <v>1001</v>
      </c>
      <c r="P1955" t="s">
        <v>1746</v>
      </c>
      <c r="Q1955" t="s">
        <v>3771</v>
      </c>
      <c r="R1955" t="s">
        <v>446</v>
      </c>
      <c r="S1955" t="s">
        <v>446</v>
      </c>
      <c r="T1955" t="s">
        <v>1965</v>
      </c>
      <c r="U1955" t="b">
        <v>0</v>
      </c>
      <c r="V1955" t="s">
        <v>446</v>
      </c>
    </row>
    <row r="1956" spans="1:22" x14ac:dyDescent="0.25">
      <c r="A1956" t="s">
        <v>42</v>
      </c>
      <c r="B1956">
        <v>237</v>
      </c>
      <c r="C1956" t="s">
        <v>1005</v>
      </c>
      <c r="D1956" t="s">
        <v>5261</v>
      </c>
      <c r="E1956" t="s">
        <v>982</v>
      </c>
      <c r="F1956" t="s">
        <v>3411</v>
      </c>
      <c r="G1956" t="s">
        <v>24</v>
      </c>
      <c r="H1956" t="s">
        <v>26</v>
      </c>
      <c r="I1956" t="s">
        <v>3167</v>
      </c>
      <c r="J1956" t="s">
        <v>1003</v>
      </c>
      <c r="K1956" t="s">
        <v>3175</v>
      </c>
      <c r="L1956" t="s">
        <v>1003</v>
      </c>
      <c r="M1956" t="s">
        <v>1000</v>
      </c>
      <c r="N1956" t="s">
        <v>1001</v>
      </c>
      <c r="O1956" t="s">
        <v>1001</v>
      </c>
      <c r="P1956" t="s">
        <v>1746</v>
      </c>
      <c r="Q1956" t="s">
        <v>3771</v>
      </c>
      <c r="R1956" t="s">
        <v>446</v>
      </c>
      <c r="S1956" t="s">
        <v>446</v>
      </c>
      <c r="T1956" t="s">
        <v>1965</v>
      </c>
      <c r="U1956" t="b">
        <v>0</v>
      </c>
      <c r="V1956" t="s">
        <v>446</v>
      </c>
    </row>
    <row r="1957" spans="1:22" x14ac:dyDescent="0.25">
      <c r="A1957" t="s">
        <v>42</v>
      </c>
      <c r="B1957">
        <v>237</v>
      </c>
      <c r="C1957" t="s">
        <v>1007</v>
      </c>
      <c r="D1957" t="s">
        <v>5262</v>
      </c>
      <c r="E1957" t="s">
        <v>1006</v>
      </c>
      <c r="F1957" t="s">
        <v>3413</v>
      </c>
      <c r="G1957" t="s">
        <v>24</v>
      </c>
      <c r="H1957" t="s">
        <v>26</v>
      </c>
      <c r="I1957" t="s">
        <v>3167</v>
      </c>
      <c r="J1957" t="s">
        <v>1011</v>
      </c>
      <c r="K1957" t="s">
        <v>3179</v>
      </c>
      <c r="L1957" t="s">
        <v>1011</v>
      </c>
      <c r="M1957" t="s">
        <v>1008</v>
      </c>
      <c r="N1957" t="s">
        <v>1009</v>
      </c>
      <c r="O1957" t="s">
        <v>1009</v>
      </c>
      <c r="P1957" t="s">
        <v>1746</v>
      </c>
      <c r="Q1957" t="s">
        <v>3771</v>
      </c>
      <c r="R1957" t="s">
        <v>446</v>
      </c>
      <c r="S1957" t="s">
        <v>446</v>
      </c>
      <c r="T1957" t="s">
        <v>1965</v>
      </c>
      <c r="U1957" t="b">
        <v>0</v>
      </c>
      <c r="V1957" t="s">
        <v>446</v>
      </c>
    </row>
    <row r="1958" spans="1:22" x14ac:dyDescent="0.25">
      <c r="A1958" t="s">
        <v>42</v>
      </c>
      <c r="B1958">
        <v>237</v>
      </c>
      <c r="C1958" t="s">
        <v>1014</v>
      </c>
      <c r="D1958" t="s">
        <v>5263</v>
      </c>
      <c r="E1958" t="s">
        <v>1013</v>
      </c>
      <c r="F1958" t="s">
        <v>3415</v>
      </c>
      <c r="G1958" t="s">
        <v>24</v>
      </c>
      <c r="H1958" t="s">
        <v>26</v>
      </c>
      <c r="I1958" t="s">
        <v>3167</v>
      </c>
      <c r="J1958" t="s">
        <v>1016</v>
      </c>
      <c r="K1958" t="s">
        <v>3181</v>
      </c>
      <c r="L1958" t="s">
        <v>1016</v>
      </c>
      <c r="M1958" t="s">
        <v>980</v>
      </c>
      <c r="N1958" t="s">
        <v>1015</v>
      </c>
      <c r="O1958" t="s">
        <v>1015</v>
      </c>
      <c r="P1958" t="s">
        <v>1746</v>
      </c>
      <c r="Q1958" t="s">
        <v>3771</v>
      </c>
      <c r="R1958" t="s">
        <v>446</v>
      </c>
      <c r="S1958" t="s">
        <v>446</v>
      </c>
      <c r="T1958" t="s">
        <v>1965</v>
      </c>
      <c r="U1958" t="b">
        <v>0</v>
      </c>
      <c r="V1958" t="s">
        <v>446</v>
      </c>
    </row>
    <row r="1959" spans="1:22" x14ac:dyDescent="0.25">
      <c r="A1959" t="s">
        <v>42</v>
      </c>
      <c r="B1959">
        <v>237</v>
      </c>
      <c r="C1959" t="s">
        <v>1019</v>
      </c>
      <c r="D1959" t="s">
        <v>5264</v>
      </c>
      <c r="E1959" t="s">
        <v>1018</v>
      </c>
      <c r="F1959" t="s">
        <v>3417</v>
      </c>
      <c r="G1959" t="s">
        <v>24</v>
      </c>
      <c r="H1959" t="s">
        <v>26</v>
      </c>
      <c r="I1959" t="s">
        <v>3167</v>
      </c>
      <c r="J1959" t="s">
        <v>1021</v>
      </c>
      <c r="K1959" t="s">
        <v>3183</v>
      </c>
      <c r="L1959" t="s">
        <v>1021</v>
      </c>
      <c r="M1959" t="s">
        <v>980</v>
      </c>
      <c r="N1959" t="s">
        <v>1020</v>
      </c>
      <c r="O1959" t="s">
        <v>1020</v>
      </c>
      <c r="P1959" t="s">
        <v>1746</v>
      </c>
      <c r="Q1959" t="s">
        <v>3771</v>
      </c>
      <c r="R1959" t="s">
        <v>446</v>
      </c>
      <c r="S1959" t="s">
        <v>446</v>
      </c>
      <c r="T1959" t="s">
        <v>1965</v>
      </c>
      <c r="U1959" t="b">
        <v>0</v>
      </c>
      <c r="V1959" t="s">
        <v>446</v>
      </c>
    </row>
    <row r="1960" spans="1:22" x14ac:dyDescent="0.25">
      <c r="A1960" t="s">
        <v>42</v>
      </c>
      <c r="B1960">
        <v>237</v>
      </c>
      <c r="C1960" t="s">
        <v>1024</v>
      </c>
      <c r="D1960" t="s">
        <v>5265</v>
      </c>
      <c r="E1960" t="s">
        <v>1023</v>
      </c>
      <c r="F1960" t="s">
        <v>3419</v>
      </c>
      <c r="G1960" t="s">
        <v>24</v>
      </c>
      <c r="H1960" t="s">
        <v>26</v>
      </c>
      <c r="I1960" t="s">
        <v>3167</v>
      </c>
      <c r="J1960" t="s">
        <v>1026</v>
      </c>
      <c r="K1960" t="s">
        <v>3185</v>
      </c>
      <c r="L1960" t="s">
        <v>1026</v>
      </c>
      <c r="M1960" t="s">
        <v>1000</v>
      </c>
      <c r="N1960" t="s">
        <v>1025</v>
      </c>
      <c r="O1960" t="s">
        <v>1025</v>
      </c>
      <c r="P1960" t="s">
        <v>1746</v>
      </c>
      <c r="Q1960" t="s">
        <v>3771</v>
      </c>
      <c r="R1960" t="s">
        <v>446</v>
      </c>
      <c r="S1960" t="s">
        <v>446</v>
      </c>
      <c r="T1960" t="s">
        <v>1965</v>
      </c>
      <c r="U1960" t="b">
        <v>0</v>
      </c>
      <c r="V1960" t="s">
        <v>446</v>
      </c>
    </row>
    <row r="1961" spans="1:22" x14ac:dyDescent="0.25">
      <c r="A1961" t="s">
        <v>42</v>
      </c>
      <c r="B1961">
        <v>237</v>
      </c>
      <c r="C1961" t="s">
        <v>1028</v>
      </c>
      <c r="D1961" t="s">
        <v>5266</v>
      </c>
      <c r="E1961" t="s">
        <v>1010</v>
      </c>
      <c r="F1961" t="s">
        <v>3421</v>
      </c>
      <c r="G1961" t="s">
        <v>24</v>
      </c>
      <c r="H1961" t="s">
        <v>26</v>
      </c>
      <c r="I1961" t="s">
        <v>3167</v>
      </c>
      <c r="J1961" t="s">
        <v>1026</v>
      </c>
      <c r="K1961" t="s">
        <v>3185</v>
      </c>
      <c r="L1961" t="s">
        <v>1026</v>
      </c>
      <c r="M1961" t="s">
        <v>1000</v>
      </c>
      <c r="N1961" t="s">
        <v>1025</v>
      </c>
      <c r="O1961" t="s">
        <v>1025</v>
      </c>
      <c r="P1961" t="s">
        <v>1746</v>
      </c>
      <c r="Q1961" t="s">
        <v>3771</v>
      </c>
      <c r="R1961" t="s">
        <v>446</v>
      </c>
      <c r="S1961" t="s">
        <v>446</v>
      </c>
      <c r="T1961" t="s">
        <v>1965</v>
      </c>
      <c r="U1961" t="b">
        <v>0</v>
      </c>
      <c r="V1961" t="s">
        <v>446</v>
      </c>
    </row>
    <row r="1962" spans="1:22" x14ac:dyDescent="0.25">
      <c r="A1962" t="s">
        <v>42</v>
      </c>
      <c r="B1962">
        <v>237</v>
      </c>
      <c r="C1962" t="s">
        <v>1030</v>
      </c>
      <c r="D1962" t="s">
        <v>5267</v>
      </c>
      <c r="E1962" t="s">
        <v>1029</v>
      </c>
      <c r="F1962" t="s">
        <v>3423</v>
      </c>
      <c r="G1962" t="s">
        <v>24</v>
      </c>
      <c r="H1962" t="s">
        <v>26</v>
      </c>
      <c r="I1962" t="s">
        <v>3167</v>
      </c>
      <c r="J1962" t="s">
        <v>1033</v>
      </c>
      <c r="K1962" t="s">
        <v>3189</v>
      </c>
      <c r="L1962" t="s">
        <v>1033</v>
      </c>
      <c r="M1962" t="s">
        <v>980</v>
      </c>
      <c r="N1962" t="s">
        <v>1031</v>
      </c>
      <c r="O1962" t="s">
        <v>1031</v>
      </c>
      <c r="P1962" t="s">
        <v>1746</v>
      </c>
      <c r="Q1962" t="s">
        <v>3771</v>
      </c>
      <c r="R1962" t="s">
        <v>446</v>
      </c>
      <c r="S1962" t="s">
        <v>446</v>
      </c>
      <c r="T1962" t="s">
        <v>1965</v>
      </c>
      <c r="U1962" t="b">
        <v>0</v>
      </c>
      <c r="V1962" t="s">
        <v>446</v>
      </c>
    </row>
    <row r="1963" spans="1:22" x14ac:dyDescent="0.25">
      <c r="A1963" t="s">
        <v>42</v>
      </c>
      <c r="B1963">
        <v>237</v>
      </c>
      <c r="C1963" t="s">
        <v>1036</v>
      </c>
      <c r="D1963" t="s">
        <v>5268</v>
      </c>
      <c r="E1963" t="s">
        <v>1035</v>
      </c>
      <c r="F1963" t="s">
        <v>3425</v>
      </c>
      <c r="G1963" t="s">
        <v>24</v>
      </c>
      <c r="H1963" t="s">
        <v>26</v>
      </c>
      <c r="I1963" t="s">
        <v>3167</v>
      </c>
      <c r="J1963" t="s">
        <v>1038</v>
      </c>
      <c r="K1963" t="s">
        <v>3191</v>
      </c>
      <c r="L1963" t="s">
        <v>1038</v>
      </c>
      <c r="M1963" t="s">
        <v>980</v>
      </c>
      <c r="N1963" t="s">
        <v>1037</v>
      </c>
      <c r="O1963" t="s">
        <v>1037</v>
      </c>
      <c r="P1963" t="s">
        <v>1746</v>
      </c>
      <c r="Q1963" t="s">
        <v>3771</v>
      </c>
      <c r="R1963" t="s">
        <v>446</v>
      </c>
      <c r="S1963" t="s">
        <v>446</v>
      </c>
      <c r="T1963" t="s">
        <v>1965</v>
      </c>
      <c r="U1963" t="b">
        <v>0</v>
      </c>
      <c r="V1963" t="s">
        <v>446</v>
      </c>
    </row>
    <row r="1964" spans="1:22" x14ac:dyDescent="0.25">
      <c r="A1964" t="s">
        <v>42</v>
      </c>
      <c r="B1964">
        <v>237</v>
      </c>
      <c r="C1964" t="s">
        <v>1041</v>
      </c>
      <c r="D1964" t="s">
        <v>5269</v>
      </c>
      <c r="E1964" t="s">
        <v>1040</v>
      </c>
      <c r="F1964" t="s">
        <v>3427</v>
      </c>
      <c r="G1964" t="s">
        <v>24</v>
      </c>
      <c r="H1964" t="s">
        <v>26</v>
      </c>
      <c r="I1964" t="s">
        <v>3167</v>
      </c>
      <c r="J1964" t="s">
        <v>1043</v>
      </c>
      <c r="K1964" t="s">
        <v>3193</v>
      </c>
      <c r="L1964" t="s">
        <v>1043</v>
      </c>
      <c r="M1964" t="s">
        <v>980</v>
      </c>
      <c r="N1964" t="s">
        <v>1042</v>
      </c>
      <c r="O1964" t="s">
        <v>1042</v>
      </c>
      <c r="P1964" t="s">
        <v>1746</v>
      </c>
      <c r="Q1964" t="s">
        <v>3771</v>
      </c>
      <c r="R1964" t="s">
        <v>446</v>
      </c>
      <c r="S1964" t="s">
        <v>446</v>
      </c>
      <c r="T1964" t="s">
        <v>1965</v>
      </c>
      <c r="U1964" t="b">
        <v>0</v>
      </c>
      <c r="V1964" t="s">
        <v>446</v>
      </c>
    </row>
    <row r="1965" spans="1:22" x14ac:dyDescent="0.25">
      <c r="A1965" t="s">
        <v>42</v>
      </c>
      <c r="B1965">
        <v>237</v>
      </c>
      <c r="C1965" t="s">
        <v>1046</v>
      </c>
      <c r="D1965" t="s">
        <v>5270</v>
      </c>
      <c r="E1965" t="s">
        <v>1045</v>
      </c>
      <c r="F1965" t="s">
        <v>3429</v>
      </c>
      <c r="G1965" t="s">
        <v>24</v>
      </c>
      <c r="H1965" t="s">
        <v>26</v>
      </c>
      <c r="I1965" t="s">
        <v>3167</v>
      </c>
      <c r="J1965" t="s">
        <v>1048</v>
      </c>
      <c r="K1965" t="s">
        <v>3195</v>
      </c>
      <c r="L1965" t="s">
        <v>1048</v>
      </c>
      <c r="M1965" t="s">
        <v>1000</v>
      </c>
      <c r="N1965" t="s">
        <v>1047</v>
      </c>
      <c r="O1965" t="s">
        <v>1047</v>
      </c>
      <c r="P1965" t="s">
        <v>1746</v>
      </c>
      <c r="Q1965" t="s">
        <v>3771</v>
      </c>
      <c r="R1965" t="s">
        <v>446</v>
      </c>
      <c r="S1965" t="s">
        <v>446</v>
      </c>
      <c r="T1965" t="s">
        <v>1965</v>
      </c>
      <c r="U1965" t="b">
        <v>0</v>
      </c>
      <c r="V1965" t="s">
        <v>446</v>
      </c>
    </row>
    <row r="1966" spans="1:22" x14ac:dyDescent="0.25">
      <c r="A1966" t="s">
        <v>42</v>
      </c>
      <c r="B1966">
        <v>237</v>
      </c>
      <c r="C1966" t="s">
        <v>1050</v>
      </c>
      <c r="D1966" t="s">
        <v>5271</v>
      </c>
      <c r="E1966" t="s">
        <v>1032</v>
      </c>
      <c r="F1966" t="s">
        <v>3431</v>
      </c>
      <c r="G1966" t="s">
        <v>24</v>
      </c>
      <c r="H1966" t="s">
        <v>26</v>
      </c>
      <c r="I1966" t="s">
        <v>3167</v>
      </c>
      <c r="J1966" t="s">
        <v>1048</v>
      </c>
      <c r="K1966" t="s">
        <v>3195</v>
      </c>
      <c r="L1966" t="s">
        <v>1048</v>
      </c>
      <c r="M1966" t="s">
        <v>1000</v>
      </c>
      <c r="N1966" t="s">
        <v>1047</v>
      </c>
      <c r="O1966" t="s">
        <v>1047</v>
      </c>
      <c r="P1966" t="s">
        <v>1746</v>
      </c>
      <c r="Q1966" t="s">
        <v>3771</v>
      </c>
      <c r="R1966" t="s">
        <v>446</v>
      </c>
      <c r="S1966" t="s">
        <v>446</v>
      </c>
      <c r="T1966" t="s">
        <v>1965</v>
      </c>
      <c r="U1966" t="b">
        <v>0</v>
      </c>
      <c r="V1966" t="s">
        <v>446</v>
      </c>
    </row>
    <row r="1967" spans="1:22" x14ac:dyDescent="0.25">
      <c r="A1967" t="s">
        <v>42</v>
      </c>
      <c r="B1967">
        <v>237</v>
      </c>
      <c r="C1967" t="s">
        <v>1052</v>
      </c>
      <c r="D1967" t="s">
        <v>5272</v>
      </c>
      <c r="E1967" t="s">
        <v>1051</v>
      </c>
      <c r="F1967" t="s">
        <v>3433</v>
      </c>
      <c r="G1967" t="s">
        <v>24</v>
      </c>
      <c r="H1967" t="s">
        <v>26</v>
      </c>
      <c r="I1967" t="s">
        <v>3167</v>
      </c>
      <c r="J1967" t="s">
        <v>1055</v>
      </c>
      <c r="K1967" t="s">
        <v>3199</v>
      </c>
      <c r="L1967" t="s">
        <v>1055</v>
      </c>
      <c r="M1967" t="s">
        <v>980</v>
      </c>
      <c r="N1967" t="s">
        <v>1053</v>
      </c>
      <c r="O1967" t="s">
        <v>1053</v>
      </c>
      <c r="P1967" t="s">
        <v>1746</v>
      </c>
      <c r="Q1967" t="s">
        <v>3771</v>
      </c>
      <c r="R1967" t="s">
        <v>446</v>
      </c>
      <c r="S1967" t="s">
        <v>446</v>
      </c>
      <c r="T1967" t="s">
        <v>1965</v>
      </c>
      <c r="U1967" t="b">
        <v>0</v>
      </c>
      <c r="V1967" t="s">
        <v>446</v>
      </c>
    </row>
    <row r="1968" spans="1:22" x14ac:dyDescent="0.25">
      <c r="A1968" t="s">
        <v>42</v>
      </c>
      <c r="B1968">
        <v>238</v>
      </c>
      <c r="C1968" t="s">
        <v>979</v>
      </c>
      <c r="D1968" t="s">
        <v>5273</v>
      </c>
      <c r="E1968" t="s">
        <v>978</v>
      </c>
      <c r="F1968" t="s">
        <v>3218</v>
      </c>
      <c r="G1968" t="s">
        <v>24</v>
      </c>
      <c r="H1968" t="s">
        <v>26</v>
      </c>
      <c r="I1968" t="s">
        <v>3167</v>
      </c>
      <c r="J1968" t="s">
        <v>984</v>
      </c>
      <c r="K1968" t="s">
        <v>3168</v>
      </c>
      <c r="L1968" t="s">
        <v>984</v>
      </c>
      <c r="M1968" t="s">
        <v>980</v>
      </c>
      <c r="N1968" t="s">
        <v>981</v>
      </c>
      <c r="O1968" t="s">
        <v>981</v>
      </c>
      <c r="P1968" t="s">
        <v>1746</v>
      </c>
      <c r="Q1968" t="s">
        <v>3771</v>
      </c>
      <c r="R1968" t="s">
        <v>446</v>
      </c>
      <c r="S1968" t="s">
        <v>446</v>
      </c>
      <c r="T1968" t="s">
        <v>1965</v>
      </c>
      <c r="U1968" t="b">
        <v>0</v>
      </c>
      <c r="V1968" t="s">
        <v>446</v>
      </c>
    </row>
    <row r="1969" spans="1:22" x14ac:dyDescent="0.25">
      <c r="A1969" t="s">
        <v>42</v>
      </c>
      <c r="B1969">
        <v>238</v>
      </c>
      <c r="C1969" t="s">
        <v>987</v>
      </c>
      <c r="D1969" t="s">
        <v>5274</v>
      </c>
      <c r="E1969" t="s">
        <v>986</v>
      </c>
      <c r="F1969" t="s">
        <v>3218</v>
      </c>
      <c r="G1969" t="s">
        <v>24</v>
      </c>
      <c r="H1969" t="s">
        <v>26</v>
      </c>
      <c r="I1969" t="s">
        <v>3167</v>
      </c>
      <c r="J1969" t="s">
        <v>990</v>
      </c>
      <c r="K1969" t="s">
        <v>3171</v>
      </c>
      <c r="L1969" t="s">
        <v>990</v>
      </c>
      <c r="M1969" t="s">
        <v>980</v>
      </c>
      <c r="N1969" t="s">
        <v>988</v>
      </c>
      <c r="O1969" t="s">
        <v>988</v>
      </c>
      <c r="P1969" t="s">
        <v>1746</v>
      </c>
      <c r="Q1969" t="s">
        <v>3771</v>
      </c>
      <c r="R1969" t="s">
        <v>446</v>
      </c>
      <c r="S1969" t="s">
        <v>446</v>
      </c>
      <c r="T1969" t="s">
        <v>1965</v>
      </c>
      <c r="U1969" t="b">
        <v>0</v>
      </c>
      <c r="V1969" t="s">
        <v>446</v>
      </c>
    </row>
    <row r="1970" spans="1:22" x14ac:dyDescent="0.25">
      <c r="A1970" t="s">
        <v>42</v>
      </c>
      <c r="B1970">
        <v>238</v>
      </c>
      <c r="C1970" t="s">
        <v>993</v>
      </c>
      <c r="D1970" t="s">
        <v>5275</v>
      </c>
      <c r="E1970" t="s">
        <v>992</v>
      </c>
      <c r="F1970" t="s">
        <v>3218</v>
      </c>
      <c r="G1970" t="s">
        <v>24</v>
      </c>
      <c r="H1970" t="s">
        <v>26</v>
      </c>
      <c r="I1970" t="s">
        <v>3167</v>
      </c>
      <c r="J1970" t="s">
        <v>996</v>
      </c>
      <c r="K1970" t="s">
        <v>3173</v>
      </c>
      <c r="L1970" t="s">
        <v>996</v>
      </c>
      <c r="M1970" t="s">
        <v>980</v>
      </c>
      <c r="N1970" t="s">
        <v>994</v>
      </c>
      <c r="O1970" t="s">
        <v>994</v>
      </c>
      <c r="P1970" t="s">
        <v>1746</v>
      </c>
      <c r="Q1970" t="s">
        <v>3771</v>
      </c>
      <c r="R1970" t="s">
        <v>446</v>
      </c>
      <c r="S1970" t="s">
        <v>446</v>
      </c>
      <c r="T1970" t="s">
        <v>1965</v>
      </c>
      <c r="U1970" t="b">
        <v>0</v>
      </c>
      <c r="V1970" t="s">
        <v>446</v>
      </c>
    </row>
    <row r="1971" spans="1:22" x14ac:dyDescent="0.25">
      <c r="A1971" t="s">
        <v>42</v>
      </c>
      <c r="B1971">
        <v>238</v>
      </c>
      <c r="C1971" t="s">
        <v>999</v>
      </c>
      <c r="D1971" t="s">
        <v>5276</v>
      </c>
      <c r="E1971" t="s">
        <v>998</v>
      </c>
      <c r="F1971" t="s">
        <v>3218</v>
      </c>
      <c r="G1971" t="s">
        <v>24</v>
      </c>
      <c r="H1971" t="s">
        <v>26</v>
      </c>
      <c r="I1971" t="s">
        <v>3167</v>
      </c>
      <c r="J1971" t="s">
        <v>1003</v>
      </c>
      <c r="K1971" t="s">
        <v>3175</v>
      </c>
      <c r="L1971" t="s">
        <v>1003</v>
      </c>
      <c r="M1971" t="s">
        <v>1000</v>
      </c>
      <c r="N1971" t="s">
        <v>1001</v>
      </c>
      <c r="O1971" t="s">
        <v>1001</v>
      </c>
      <c r="P1971" t="s">
        <v>1746</v>
      </c>
      <c r="Q1971" t="s">
        <v>3771</v>
      </c>
      <c r="R1971" t="s">
        <v>446</v>
      </c>
      <c r="S1971" t="s">
        <v>446</v>
      </c>
      <c r="T1971" t="s">
        <v>1965</v>
      </c>
      <c r="U1971" t="b">
        <v>0</v>
      </c>
      <c r="V1971" t="s">
        <v>446</v>
      </c>
    </row>
    <row r="1972" spans="1:22" x14ac:dyDescent="0.25">
      <c r="A1972" t="s">
        <v>42</v>
      </c>
      <c r="B1972">
        <v>238</v>
      </c>
      <c r="C1972" t="s">
        <v>1005</v>
      </c>
      <c r="D1972" t="s">
        <v>5277</v>
      </c>
      <c r="E1972" t="s">
        <v>982</v>
      </c>
      <c r="F1972" t="s">
        <v>3218</v>
      </c>
      <c r="G1972" t="s">
        <v>24</v>
      </c>
      <c r="H1972" t="s">
        <v>26</v>
      </c>
      <c r="I1972" t="s">
        <v>3167</v>
      </c>
      <c r="J1972" t="s">
        <v>1003</v>
      </c>
      <c r="K1972" t="s">
        <v>3175</v>
      </c>
      <c r="L1972" t="s">
        <v>1003</v>
      </c>
      <c r="M1972" t="s">
        <v>1000</v>
      </c>
      <c r="N1972" t="s">
        <v>1001</v>
      </c>
      <c r="O1972" t="s">
        <v>1001</v>
      </c>
      <c r="P1972" t="s">
        <v>1746</v>
      </c>
      <c r="Q1972" t="s">
        <v>3771</v>
      </c>
      <c r="R1972" t="s">
        <v>446</v>
      </c>
      <c r="S1972" t="s">
        <v>446</v>
      </c>
      <c r="T1972" t="s">
        <v>1965</v>
      </c>
      <c r="U1972" t="b">
        <v>0</v>
      </c>
      <c r="V1972" t="s">
        <v>446</v>
      </c>
    </row>
    <row r="1973" spans="1:22" x14ac:dyDescent="0.25">
      <c r="A1973" t="s">
        <v>42</v>
      </c>
      <c r="B1973">
        <v>238</v>
      </c>
      <c r="C1973" t="s">
        <v>1007</v>
      </c>
      <c r="D1973" t="s">
        <v>5278</v>
      </c>
      <c r="E1973" t="s">
        <v>1006</v>
      </c>
      <c r="F1973" t="s">
        <v>3218</v>
      </c>
      <c r="G1973" t="s">
        <v>24</v>
      </c>
      <c r="H1973" t="s">
        <v>26</v>
      </c>
      <c r="I1973" t="s">
        <v>3167</v>
      </c>
      <c r="J1973" t="s">
        <v>1011</v>
      </c>
      <c r="K1973" t="s">
        <v>3179</v>
      </c>
      <c r="L1973" t="s">
        <v>1011</v>
      </c>
      <c r="M1973" t="s">
        <v>1008</v>
      </c>
      <c r="N1973" t="s">
        <v>1009</v>
      </c>
      <c r="O1973" t="s">
        <v>1009</v>
      </c>
      <c r="P1973" t="s">
        <v>1746</v>
      </c>
      <c r="Q1973" t="s">
        <v>3771</v>
      </c>
      <c r="R1973" t="s">
        <v>446</v>
      </c>
      <c r="S1973" t="s">
        <v>446</v>
      </c>
      <c r="T1973" t="s">
        <v>1965</v>
      </c>
      <c r="U1973" t="b">
        <v>0</v>
      </c>
      <c r="V1973" t="s">
        <v>446</v>
      </c>
    </row>
    <row r="1974" spans="1:22" x14ac:dyDescent="0.25">
      <c r="A1974" t="s">
        <v>42</v>
      </c>
      <c r="B1974">
        <v>238</v>
      </c>
      <c r="C1974" t="s">
        <v>1014</v>
      </c>
      <c r="D1974" t="s">
        <v>5279</v>
      </c>
      <c r="E1974" t="s">
        <v>1013</v>
      </c>
      <c r="F1974" t="s">
        <v>3218</v>
      </c>
      <c r="G1974" t="s">
        <v>24</v>
      </c>
      <c r="H1974" t="s">
        <v>26</v>
      </c>
      <c r="I1974" t="s">
        <v>3167</v>
      </c>
      <c r="J1974" t="s">
        <v>1016</v>
      </c>
      <c r="K1974" t="s">
        <v>3181</v>
      </c>
      <c r="L1974" t="s">
        <v>1016</v>
      </c>
      <c r="M1974" t="s">
        <v>980</v>
      </c>
      <c r="N1974" t="s">
        <v>1015</v>
      </c>
      <c r="O1974" t="s">
        <v>1015</v>
      </c>
      <c r="P1974" t="s">
        <v>1746</v>
      </c>
      <c r="Q1974" t="s">
        <v>3771</v>
      </c>
      <c r="R1974" t="s">
        <v>446</v>
      </c>
      <c r="S1974" t="s">
        <v>446</v>
      </c>
      <c r="T1974" t="s">
        <v>1965</v>
      </c>
      <c r="U1974" t="b">
        <v>0</v>
      </c>
      <c r="V1974" t="s">
        <v>446</v>
      </c>
    </row>
    <row r="1975" spans="1:22" x14ac:dyDescent="0.25">
      <c r="A1975" t="s">
        <v>42</v>
      </c>
      <c r="B1975">
        <v>238</v>
      </c>
      <c r="C1975" t="s">
        <v>1019</v>
      </c>
      <c r="D1975" t="s">
        <v>5280</v>
      </c>
      <c r="E1975" t="s">
        <v>1018</v>
      </c>
      <c r="F1975" t="s">
        <v>3218</v>
      </c>
      <c r="G1975" t="s">
        <v>24</v>
      </c>
      <c r="H1975" t="s">
        <v>26</v>
      </c>
      <c r="I1975" t="s">
        <v>3167</v>
      </c>
      <c r="J1975" t="s">
        <v>1021</v>
      </c>
      <c r="K1975" t="s">
        <v>3183</v>
      </c>
      <c r="L1975" t="s">
        <v>1021</v>
      </c>
      <c r="M1975" t="s">
        <v>980</v>
      </c>
      <c r="N1975" t="s">
        <v>1020</v>
      </c>
      <c r="O1975" t="s">
        <v>1020</v>
      </c>
      <c r="P1975" t="s">
        <v>1746</v>
      </c>
      <c r="Q1975" t="s">
        <v>3771</v>
      </c>
      <c r="R1975" t="s">
        <v>446</v>
      </c>
      <c r="S1975" t="s">
        <v>446</v>
      </c>
      <c r="T1975" t="s">
        <v>1965</v>
      </c>
      <c r="U1975" t="b">
        <v>0</v>
      </c>
      <c r="V1975" t="s">
        <v>446</v>
      </c>
    </row>
    <row r="1976" spans="1:22" x14ac:dyDescent="0.25">
      <c r="A1976" t="s">
        <v>42</v>
      </c>
      <c r="B1976">
        <v>238</v>
      </c>
      <c r="C1976" t="s">
        <v>1024</v>
      </c>
      <c r="D1976" t="s">
        <v>5281</v>
      </c>
      <c r="E1976" t="s">
        <v>1023</v>
      </c>
      <c r="F1976" t="s">
        <v>3218</v>
      </c>
      <c r="G1976" t="s">
        <v>24</v>
      </c>
      <c r="H1976" t="s">
        <v>26</v>
      </c>
      <c r="I1976" t="s">
        <v>3167</v>
      </c>
      <c r="J1976" t="s">
        <v>1026</v>
      </c>
      <c r="K1976" t="s">
        <v>3185</v>
      </c>
      <c r="L1976" t="s">
        <v>1026</v>
      </c>
      <c r="M1976" t="s">
        <v>1000</v>
      </c>
      <c r="N1976" t="s">
        <v>1025</v>
      </c>
      <c r="O1976" t="s">
        <v>1025</v>
      </c>
      <c r="P1976" t="s">
        <v>1746</v>
      </c>
      <c r="Q1976" t="s">
        <v>3771</v>
      </c>
      <c r="R1976" t="s">
        <v>446</v>
      </c>
      <c r="S1976" t="s">
        <v>446</v>
      </c>
      <c r="T1976" t="s">
        <v>1965</v>
      </c>
      <c r="U1976" t="b">
        <v>0</v>
      </c>
      <c r="V1976" t="s">
        <v>446</v>
      </c>
    </row>
    <row r="1977" spans="1:22" x14ac:dyDescent="0.25">
      <c r="A1977" t="s">
        <v>42</v>
      </c>
      <c r="B1977">
        <v>238</v>
      </c>
      <c r="C1977" t="s">
        <v>1028</v>
      </c>
      <c r="D1977" t="s">
        <v>5282</v>
      </c>
      <c r="E1977" t="s">
        <v>1010</v>
      </c>
      <c r="F1977" t="s">
        <v>3218</v>
      </c>
      <c r="G1977" t="s">
        <v>24</v>
      </c>
      <c r="H1977" t="s">
        <v>26</v>
      </c>
      <c r="I1977" t="s">
        <v>3167</v>
      </c>
      <c r="J1977" t="s">
        <v>1026</v>
      </c>
      <c r="K1977" t="s">
        <v>3185</v>
      </c>
      <c r="L1977" t="s">
        <v>1026</v>
      </c>
      <c r="M1977" t="s">
        <v>1000</v>
      </c>
      <c r="N1977" t="s">
        <v>1025</v>
      </c>
      <c r="O1977" t="s">
        <v>1025</v>
      </c>
      <c r="P1977" t="s">
        <v>1746</v>
      </c>
      <c r="Q1977" t="s">
        <v>3771</v>
      </c>
      <c r="R1977" t="s">
        <v>446</v>
      </c>
      <c r="S1977" t="s">
        <v>446</v>
      </c>
      <c r="T1977" t="s">
        <v>1965</v>
      </c>
      <c r="U1977" t="b">
        <v>0</v>
      </c>
      <c r="V1977" t="s">
        <v>446</v>
      </c>
    </row>
    <row r="1978" spans="1:22" x14ac:dyDescent="0.25">
      <c r="A1978" t="s">
        <v>42</v>
      </c>
      <c r="B1978">
        <v>238</v>
      </c>
      <c r="C1978" t="s">
        <v>1030</v>
      </c>
      <c r="D1978" t="s">
        <v>5283</v>
      </c>
      <c r="E1978" t="s">
        <v>1029</v>
      </c>
      <c r="F1978" t="s">
        <v>3218</v>
      </c>
      <c r="G1978" t="s">
        <v>24</v>
      </c>
      <c r="H1978" t="s">
        <v>26</v>
      </c>
      <c r="I1978" t="s">
        <v>3167</v>
      </c>
      <c r="J1978" t="s">
        <v>1033</v>
      </c>
      <c r="K1978" t="s">
        <v>3189</v>
      </c>
      <c r="L1978" t="s">
        <v>1033</v>
      </c>
      <c r="M1978" t="s">
        <v>980</v>
      </c>
      <c r="N1978" t="s">
        <v>1031</v>
      </c>
      <c r="O1978" t="s">
        <v>1031</v>
      </c>
      <c r="P1978" t="s">
        <v>1746</v>
      </c>
      <c r="Q1978" t="s">
        <v>3771</v>
      </c>
      <c r="R1978" t="s">
        <v>446</v>
      </c>
      <c r="S1978" t="s">
        <v>446</v>
      </c>
      <c r="T1978" t="s">
        <v>1965</v>
      </c>
      <c r="U1978" t="b">
        <v>0</v>
      </c>
      <c r="V1978" t="s">
        <v>446</v>
      </c>
    </row>
    <row r="1979" spans="1:22" x14ac:dyDescent="0.25">
      <c r="A1979" t="s">
        <v>42</v>
      </c>
      <c r="B1979">
        <v>238</v>
      </c>
      <c r="C1979" t="s">
        <v>1036</v>
      </c>
      <c r="D1979" t="s">
        <v>5284</v>
      </c>
      <c r="E1979" t="s">
        <v>1035</v>
      </c>
      <c r="F1979" t="s">
        <v>3218</v>
      </c>
      <c r="G1979" t="s">
        <v>24</v>
      </c>
      <c r="H1979" t="s">
        <v>26</v>
      </c>
      <c r="I1979" t="s">
        <v>3167</v>
      </c>
      <c r="J1979" t="s">
        <v>1038</v>
      </c>
      <c r="K1979" t="s">
        <v>3191</v>
      </c>
      <c r="L1979" t="s">
        <v>1038</v>
      </c>
      <c r="M1979" t="s">
        <v>980</v>
      </c>
      <c r="N1979" t="s">
        <v>1037</v>
      </c>
      <c r="O1979" t="s">
        <v>1037</v>
      </c>
      <c r="P1979" t="s">
        <v>1746</v>
      </c>
      <c r="Q1979" t="s">
        <v>3771</v>
      </c>
      <c r="R1979" t="s">
        <v>446</v>
      </c>
      <c r="S1979" t="s">
        <v>446</v>
      </c>
      <c r="T1979" t="s">
        <v>1965</v>
      </c>
      <c r="U1979" t="b">
        <v>0</v>
      </c>
      <c r="V1979" t="s">
        <v>446</v>
      </c>
    </row>
    <row r="1980" spans="1:22" x14ac:dyDescent="0.25">
      <c r="A1980" t="s">
        <v>42</v>
      </c>
      <c r="B1980">
        <v>238</v>
      </c>
      <c r="C1980" t="s">
        <v>1041</v>
      </c>
      <c r="D1980" t="s">
        <v>5285</v>
      </c>
      <c r="E1980" t="s">
        <v>1040</v>
      </c>
      <c r="F1980" t="s">
        <v>3218</v>
      </c>
      <c r="G1980" t="s">
        <v>24</v>
      </c>
      <c r="H1980" t="s">
        <v>26</v>
      </c>
      <c r="I1980" t="s">
        <v>3167</v>
      </c>
      <c r="J1980" t="s">
        <v>1043</v>
      </c>
      <c r="K1980" t="s">
        <v>3193</v>
      </c>
      <c r="L1980" t="s">
        <v>1043</v>
      </c>
      <c r="M1980" t="s">
        <v>980</v>
      </c>
      <c r="N1980" t="s">
        <v>1042</v>
      </c>
      <c r="O1980" t="s">
        <v>1042</v>
      </c>
      <c r="P1980" t="s">
        <v>1746</v>
      </c>
      <c r="Q1980" t="s">
        <v>3771</v>
      </c>
      <c r="R1980" t="s">
        <v>446</v>
      </c>
      <c r="S1980" t="s">
        <v>446</v>
      </c>
      <c r="T1980" t="s">
        <v>1965</v>
      </c>
      <c r="U1980" t="b">
        <v>0</v>
      </c>
      <c r="V1980" t="s">
        <v>446</v>
      </c>
    </row>
    <row r="1981" spans="1:22" x14ac:dyDescent="0.25">
      <c r="A1981" t="s">
        <v>42</v>
      </c>
      <c r="B1981">
        <v>238</v>
      </c>
      <c r="C1981" t="s">
        <v>1046</v>
      </c>
      <c r="D1981" t="s">
        <v>5286</v>
      </c>
      <c r="E1981" t="s">
        <v>1045</v>
      </c>
      <c r="F1981" t="s">
        <v>3218</v>
      </c>
      <c r="G1981" t="s">
        <v>24</v>
      </c>
      <c r="H1981" t="s">
        <v>26</v>
      </c>
      <c r="I1981" t="s">
        <v>3167</v>
      </c>
      <c r="J1981" t="s">
        <v>1048</v>
      </c>
      <c r="K1981" t="s">
        <v>3195</v>
      </c>
      <c r="L1981" t="s">
        <v>1048</v>
      </c>
      <c r="M1981" t="s">
        <v>1000</v>
      </c>
      <c r="N1981" t="s">
        <v>1047</v>
      </c>
      <c r="O1981" t="s">
        <v>1047</v>
      </c>
      <c r="P1981" t="s">
        <v>1746</v>
      </c>
      <c r="Q1981" t="s">
        <v>3771</v>
      </c>
      <c r="R1981" t="s">
        <v>446</v>
      </c>
      <c r="S1981" t="s">
        <v>446</v>
      </c>
      <c r="T1981" t="s">
        <v>1965</v>
      </c>
      <c r="U1981" t="b">
        <v>0</v>
      </c>
      <c r="V1981" t="s">
        <v>446</v>
      </c>
    </row>
    <row r="1982" spans="1:22" x14ac:dyDescent="0.25">
      <c r="A1982" t="s">
        <v>42</v>
      </c>
      <c r="B1982">
        <v>238</v>
      </c>
      <c r="C1982" t="s">
        <v>1050</v>
      </c>
      <c r="D1982" t="s">
        <v>5287</v>
      </c>
      <c r="E1982" t="s">
        <v>1032</v>
      </c>
      <c r="F1982" t="s">
        <v>3218</v>
      </c>
      <c r="G1982" t="s">
        <v>24</v>
      </c>
      <c r="H1982" t="s">
        <v>26</v>
      </c>
      <c r="I1982" t="s">
        <v>3167</v>
      </c>
      <c r="J1982" t="s">
        <v>1048</v>
      </c>
      <c r="K1982" t="s">
        <v>3195</v>
      </c>
      <c r="L1982" t="s">
        <v>1048</v>
      </c>
      <c r="M1982" t="s">
        <v>1000</v>
      </c>
      <c r="N1982" t="s">
        <v>1047</v>
      </c>
      <c r="O1982" t="s">
        <v>1047</v>
      </c>
      <c r="P1982" t="s">
        <v>1746</v>
      </c>
      <c r="Q1982" t="s">
        <v>3771</v>
      </c>
      <c r="R1982" t="s">
        <v>446</v>
      </c>
      <c r="S1982" t="s">
        <v>446</v>
      </c>
      <c r="T1982" t="s">
        <v>1965</v>
      </c>
      <c r="U1982" t="b">
        <v>0</v>
      </c>
      <c r="V1982" t="s">
        <v>446</v>
      </c>
    </row>
    <row r="1983" spans="1:22" x14ac:dyDescent="0.25">
      <c r="A1983" t="s">
        <v>42</v>
      </c>
      <c r="B1983">
        <v>238</v>
      </c>
      <c r="C1983" t="s">
        <v>1052</v>
      </c>
      <c r="D1983" t="s">
        <v>5288</v>
      </c>
      <c r="E1983" t="s">
        <v>1051</v>
      </c>
      <c r="F1983" t="s">
        <v>3218</v>
      </c>
      <c r="G1983" t="s">
        <v>24</v>
      </c>
      <c r="H1983" t="s">
        <v>26</v>
      </c>
      <c r="I1983" t="s">
        <v>3167</v>
      </c>
      <c r="J1983" t="s">
        <v>1055</v>
      </c>
      <c r="K1983" t="s">
        <v>3199</v>
      </c>
      <c r="L1983" t="s">
        <v>1055</v>
      </c>
      <c r="M1983" t="s">
        <v>980</v>
      </c>
      <c r="N1983" t="s">
        <v>1053</v>
      </c>
      <c r="O1983" t="s">
        <v>1053</v>
      </c>
      <c r="P1983" t="s">
        <v>1746</v>
      </c>
      <c r="Q1983" t="s">
        <v>3771</v>
      </c>
      <c r="R1983" t="s">
        <v>446</v>
      </c>
      <c r="S1983" t="s">
        <v>446</v>
      </c>
      <c r="T1983" t="s">
        <v>1965</v>
      </c>
      <c r="U1983" t="b">
        <v>0</v>
      </c>
      <c r="V1983" t="s">
        <v>446</v>
      </c>
    </row>
    <row r="1984" spans="1:22" x14ac:dyDescent="0.25">
      <c r="A1984" t="s">
        <v>42</v>
      </c>
      <c r="B1984">
        <v>239</v>
      </c>
      <c r="C1984" t="s">
        <v>979</v>
      </c>
      <c r="D1984" t="s">
        <v>1772</v>
      </c>
      <c r="E1984" t="s">
        <v>978</v>
      </c>
      <c r="G1984" t="s">
        <v>24</v>
      </c>
      <c r="H1984" t="s">
        <v>26</v>
      </c>
      <c r="I1984" t="s">
        <v>3167</v>
      </c>
      <c r="J1984" t="s">
        <v>984</v>
      </c>
      <c r="K1984" t="s">
        <v>3168</v>
      </c>
      <c r="L1984" t="s">
        <v>984</v>
      </c>
      <c r="M1984" t="s">
        <v>980</v>
      </c>
      <c r="N1984" t="s">
        <v>981</v>
      </c>
      <c r="O1984" t="s">
        <v>981</v>
      </c>
      <c r="P1984" t="s">
        <v>1746</v>
      </c>
      <c r="Q1984" t="s">
        <v>3771</v>
      </c>
      <c r="R1984" t="s">
        <v>446</v>
      </c>
      <c r="S1984" t="s">
        <v>446</v>
      </c>
      <c r="T1984" t="s">
        <v>3216</v>
      </c>
      <c r="U1984" t="b">
        <v>0</v>
      </c>
      <c r="V1984" t="s">
        <v>1094</v>
      </c>
    </row>
    <row r="1985" spans="1:22" x14ac:dyDescent="0.25">
      <c r="A1985" t="s">
        <v>42</v>
      </c>
      <c r="B1985">
        <v>239</v>
      </c>
      <c r="C1985" t="s">
        <v>987</v>
      </c>
      <c r="D1985" t="s">
        <v>1774</v>
      </c>
      <c r="E1985" t="s">
        <v>986</v>
      </c>
      <c r="G1985" t="s">
        <v>24</v>
      </c>
      <c r="H1985" t="s">
        <v>26</v>
      </c>
      <c r="I1985" t="s">
        <v>3167</v>
      </c>
      <c r="J1985" t="s">
        <v>990</v>
      </c>
      <c r="K1985" t="s">
        <v>3171</v>
      </c>
      <c r="L1985" t="s">
        <v>990</v>
      </c>
      <c r="M1985" t="s">
        <v>980</v>
      </c>
      <c r="N1985" t="s">
        <v>988</v>
      </c>
      <c r="O1985" t="s">
        <v>988</v>
      </c>
      <c r="P1985" t="s">
        <v>1746</v>
      </c>
      <c r="Q1985" t="s">
        <v>3771</v>
      </c>
      <c r="R1985" t="s">
        <v>446</v>
      </c>
      <c r="S1985" t="s">
        <v>446</v>
      </c>
      <c r="T1985" t="s">
        <v>3216</v>
      </c>
      <c r="U1985" t="b">
        <v>0</v>
      </c>
      <c r="V1985" t="s">
        <v>1094</v>
      </c>
    </row>
    <row r="1986" spans="1:22" x14ac:dyDescent="0.25">
      <c r="A1986" t="s">
        <v>42</v>
      </c>
      <c r="B1986">
        <v>239</v>
      </c>
      <c r="C1986" t="s">
        <v>993</v>
      </c>
      <c r="D1986" t="s">
        <v>1776</v>
      </c>
      <c r="E1986" t="s">
        <v>992</v>
      </c>
      <c r="G1986" t="s">
        <v>24</v>
      </c>
      <c r="H1986" t="s">
        <v>26</v>
      </c>
      <c r="I1986" t="s">
        <v>3167</v>
      </c>
      <c r="J1986" t="s">
        <v>996</v>
      </c>
      <c r="K1986" t="s">
        <v>3173</v>
      </c>
      <c r="L1986" t="s">
        <v>996</v>
      </c>
      <c r="M1986" t="s">
        <v>980</v>
      </c>
      <c r="N1986" t="s">
        <v>994</v>
      </c>
      <c r="O1986" t="s">
        <v>994</v>
      </c>
      <c r="P1986" t="s">
        <v>1746</v>
      </c>
      <c r="Q1986" t="s">
        <v>3771</v>
      </c>
      <c r="R1986" t="s">
        <v>446</v>
      </c>
      <c r="S1986" t="s">
        <v>446</v>
      </c>
      <c r="T1986" t="s">
        <v>3216</v>
      </c>
      <c r="U1986" t="b">
        <v>0</v>
      </c>
      <c r="V1986" t="s">
        <v>1094</v>
      </c>
    </row>
    <row r="1987" spans="1:22" x14ac:dyDescent="0.25">
      <c r="A1987" t="s">
        <v>42</v>
      </c>
      <c r="B1987">
        <v>239</v>
      </c>
      <c r="C1987" t="s">
        <v>999</v>
      </c>
      <c r="D1987" t="s">
        <v>1778</v>
      </c>
      <c r="E1987" t="s">
        <v>998</v>
      </c>
      <c r="G1987" t="s">
        <v>24</v>
      </c>
      <c r="H1987" t="s">
        <v>26</v>
      </c>
      <c r="I1987" t="s">
        <v>3167</v>
      </c>
      <c r="J1987" t="s">
        <v>1003</v>
      </c>
      <c r="K1987" t="s">
        <v>3175</v>
      </c>
      <c r="L1987" t="s">
        <v>1003</v>
      </c>
      <c r="M1987" t="s">
        <v>1000</v>
      </c>
      <c r="N1987" t="s">
        <v>1001</v>
      </c>
      <c r="O1987" t="s">
        <v>1001</v>
      </c>
      <c r="P1987" t="s">
        <v>1746</v>
      </c>
      <c r="Q1987" t="s">
        <v>3771</v>
      </c>
      <c r="R1987" t="s">
        <v>446</v>
      </c>
      <c r="S1987" t="s">
        <v>446</v>
      </c>
      <c r="T1987" t="s">
        <v>3216</v>
      </c>
      <c r="U1987" t="b">
        <v>0</v>
      </c>
      <c r="V1987" t="s">
        <v>1094</v>
      </c>
    </row>
    <row r="1988" spans="1:22" x14ac:dyDescent="0.25">
      <c r="A1988" t="s">
        <v>42</v>
      </c>
      <c r="B1988">
        <v>239</v>
      </c>
      <c r="C1988" t="s">
        <v>1005</v>
      </c>
      <c r="D1988" t="s">
        <v>5289</v>
      </c>
      <c r="E1988" t="s">
        <v>982</v>
      </c>
      <c r="F1988" t="s">
        <v>3218</v>
      </c>
      <c r="G1988" t="s">
        <v>24</v>
      </c>
      <c r="H1988" t="s">
        <v>26</v>
      </c>
      <c r="I1988" t="s">
        <v>3167</v>
      </c>
      <c r="J1988" t="s">
        <v>1003</v>
      </c>
      <c r="K1988" t="s">
        <v>3175</v>
      </c>
      <c r="L1988" t="s">
        <v>1003</v>
      </c>
      <c r="M1988" t="s">
        <v>1000</v>
      </c>
      <c r="N1988" t="s">
        <v>1001</v>
      </c>
      <c r="O1988" t="s">
        <v>1001</v>
      </c>
      <c r="P1988" t="s">
        <v>1746</v>
      </c>
      <c r="Q1988" t="s">
        <v>3771</v>
      </c>
      <c r="R1988" t="s">
        <v>446</v>
      </c>
      <c r="S1988" t="s">
        <v>446</v>
      </c>
      <c r="T1988" t="s">
        <v>1965</v>
      </c>
      <c r="U1988" t="b">
        <v>0</v>
      </c>
      <c r="V1988" t="s">
        <v>446</v>
      </c>
    </row>
    <row r="1989" spans="1:22" x14ac:dyDescent="0.25">
      <c r="A1989" t="s">
        <v>42</v>
      </c>
      <c r="B1989">
        <v>239</v>
      </c>
      <c r="C1989" t="s">
        <v>1007</v>
      </c>
      <c r="D1989" t="s">
        <v>1780</v>
      </c>
      <c r="E1989" t="s">
        <v>1006</v>
      </c>
      <c r="G1989" t="s">
        <v>24</v>
      </c>
      <c r="H1989" t="s">
        <v>26</v>
      </c>
      <c r="I1989" t="s">
        <v>3167</v>
      </c>
      <c r="J1989" t="s">
        <v>1011</v>
      </c>
      <c r="K1989" t="s">
        <v>3179</v>
      </c>
      <c r="L1989" t="s">
        <v>1011</v>
      </c>
      <c r="M1989" t="s">
        <v>1008</v>
      </c>
      <c r="N1989" t="s">
        <v>1009</v>
      </c>
      <c r="O1989" t="s">
        <v>1009</v>
      </c>
      <c r="P1989" t="s">
        <v>1746</v>
      </c>
      <c r="Q1989" t="s">
        <v>3771</v>
      </c>
      <c r="R1989" t="s">
        <v>446</v>
      </c>
      <c r="S1989" t="s">
        <v>446</v>
      </c>
      <c r="T1989" t="s">
        <v>3216</v>
      </c>
      <c r="U1989" t="b">
        <v>0</v>
      </c>
      <c r="V1989" t="s">
        <v>1094</v>
      </c>
    </row>
    <row r="1990" spans="1:22" x14ac:dyDescent="0.25">
      <c r="A1990" t="s">
        <v>42</v>
      </c>
      <c r="B1990">
        <v>239</v>
      </c>
      <c r="C1990" t="s">
        <v>1014</v>
      </c>
      <c r="D1990" t="s">
        <v>1782</v>
      </c>
      <c r="E1990" t="s">
        <v>1013</v>
      </c>
      <c r="G1990" t="s">
        <v>24</v>
      </c>
      <c r="H1990" t="s">
        <v>26</v>
      </c>
      <c r="I1990" t="s">
        <v>3167</v>
      </c>
      <c r="J1990" t="s">
        <v>1016</v>
      </c>
      <c r="K1990" t="s">
        <v>3181</v>
      </c>
      <c r="L1990" t="s">
        <v>1016</v>
      </c>
      <c r="M1990" t="s">
        <v>980</v>
      </c>
      <c r="N1990" t="s">
        <v>1015</v>
      </c>
      <c r="O1990" t="s">
        <v>1015</v>
      </c>
      <c r="P1990" t="s">
        <v>1746</v>
      </c>
      <c r="Q1990" t="s">
        <v>3771</v>
      </c>
      <c r="R1990" t="s">
        <v>446</v>
      </c>
      <c r="S1990" t="s">
        <v>446</v>
      </c>
      <c r="T1990" t="s">
        <v>3216</v>
      </c>
      <c r="U1990" t="b">
        <v>0</v>
      </c>
      <c r="V1990" t="s">
        <v>1094</v>
      </c>
    </row>
    <row r="1991" spans="1:22" x14ac:dyDescent="0.25">
      <c r="A1991" t="s">
        <v>42</v>
      </c>
      <c r="B1991">
        <v>239</v>
      </c>
      <c r="C1991" t="s">
        <v>1019</v>
      </c>
      <c r="D1991" t="s">
        <v>1784</v>
      </c>
      <c r="E1991" t="s">
        <v>1018</v>
      </c>
      <c r="G1991" t="s">
        <v>24</v>
      </c>
      <c r="H1991" t="s">
        <v>26</v>
      </c>
      <c r="I1991" t="s">
        <v>3167</v>
      </c>
      <c r="J1991" t="s">
        <v>1021</v>
      </c>
      <c r="K1991" t="s">
        <v>3183</v>
      </c>
      <c r="L1991" t="s">
        <v>1021</v>
      </c>
      <c r="M1991" t="s">
        <v>980</v>
      </c>
      <c r="N1991" t="s">
        <v>1020</v>
      </c>
      <c r="O1991" t="s">
        <v>1020</v>
      </c>
      <c r="P1991" t="s">
        <v>1746</v>
      </c>
      <c r="Q1991" t="s">
        <v>3771</v>
      </c>
      <c r="R1991" t="s">
        <v>446</v>
      </c>
      <c r="S1991" t="s">
        <v>446</v>
      </c>
      <c r="T1991" t="s">
        <v>3216</v>
      </c>
      <c r="U1991" t="b">
        <v>0</v>
      </c>
      <c r="V1991" t="s">
        <v>1094</v>
      </c>
    </row>
    <row r="1992" spans="1:22" x14ac:dyDescent="0.25">
      <c r="A1992" t="s">
        <v>42</v>
      </c>
      <c r="B1992">
        <v>239</v>
      </c>
      <c r="C1992" t="s">
        <v>1024</v>
      </c>
      <c r="D1992" t="s">
        <v>1786</v>
      </c>
      <c r="E1992" t="s">
        <v>1023</v>
      </c>
      <c r="G1992" t="s">
        <v>24</v>
      </c>
      <c r="H1992" t="s">
        <v>26</v>
      </c>
      <c r="I1992" t="s">
        <v>3167</v>
      </c>
      <c r="J1992" t="s">
        <v>1026</v>
      </c>
      <c r="K1992" t="s">
        <v>3185</v>
      </c>
      <c r="L1992" t="s">
        <v>1026</v>
      </c>
      <c r="M1992" t="s">
        <v>1000</v>
      </c>
      <c r="N1992" t="s">
        <v>1025</v>
      </c>
      <c r="O1992" t="s">
        <v>1025</v>
      </c>
      <c r="P1992" t="s">
        <v>1746</v>
      </c>
      <c r="Q1992" t="s">
        <v>3771</v>
      </c>
      <c r="R1992" t="s">
        <v>446</v>
      </c>
      <c r="S1992" t="s">
        <v>446</v>
      </c>
      <c r="T1992" t="s">
        <v>3216</v>
      </c>
      <c r="U1992" t="b">
        <v>0</v>
      </c>
      <c r="V1992" t="s">
        <v>1094</v>
      </c>
    </row>
    <row r="1993" spans="1:22" x14ac:dyDescent="0.25">
      <c r="A1993" t="s">
        <v>42</v>
      </c>
      <c r="B1993">
        <v>239</v>
      </c>
      <c r="C1993" t="s">
        <v>1028</v>
      </c>
      <c r="D1993" t="s">
        <v>5290</v>
      </c>
      <c r="E1993" t="s">
        <v>1010</v>
      </c>
      <c r="F1993" t="s">
        <v>3218</v>
      </c>
      <c r="G1993" t="s">
        <v>24</v>
      </c>
      <c r="H1993" t="s">
        <v>26</v>
      </c>
      <c r="I1993" t="s">
        <v>3167</v>
      </c>
      <c r="J1993" t="s">
        <v>1026</v>
      </c>
      <c r="K1993" t="s">
        <v>3185</v>
      </c>
      <c r="L1993" t="s">
        <v>1026</v>
      </c>
      <c r="M1993" t="s">
        <v>1000</v>
      </c>
      <c r="N1993" t="s">
        <v>1025</v>
      </c>
      <c r="O1993" t="s">
        <v>1025</v>
      </c>
      <c r="P1993" t="s">
        <v>1746</v>
      </c>
      <c r="Q1993" t="s">
        <v>3771</v>
      </c>
      <c r="R1993" t="s">
        <v>446</v>
      </c>
      <c r="S1993" t="s">
        <v>446</v>
      </c>
      <c r="T1993" t="s">
        <v>1965</v>
      </c>
      <c r="U1993" t="b">
        <v>0</v>
      </c>
      <c r="V1993" t="s">
        <v>446</v>
      </c>
    </row>
    <row r="1994" spans="1:22" x14ac:dyDescent="0.25">
      <c r="A1994" t="s">
        <v>42</v>
      </c>
      <c r="B1994">
        <v>239</v>
      </c>
      <c r="C1994" t="s">
        <v>1030</v>
      </c>
      <c r="D1994" t="s">
        <v>1788</v>
      </c>
      <c r="E1994" t="s">
        <v>1029</v>
      </c>
      <c r="G1994" t="s">
        <v>24</v>
      </c>
      <c r="H1994" t="s">
        <v>26</v>
      </c>
      <c r="I1994" t="s">
        <v>3167</v>
      </c>
      <c r="J1994" t="s">
        <v>1033</v>
      </c>
      <c r="K1994" t="s">
        <v>3189</v>
      </c>
      <c r="L1994" t="s">
        <v>1033</v>
      </c>
      <c r="M1994" t="s">
        <v>980</v>
      </c>
      <c r="N1994" t="s">
        <v>1031</v>
      </c>
      <c r="O1994" t="s">
        <v>1031</v>
      </c>
      <c r="P1994" t="s">
        <v>1746</v>
      </c>
      <c r="Q1994" t="s">
        <v>3771</v>
      </c>
      <c r="R1994" t="s">
        <v>446</v>
      </c>
      <c r="S1994" t="s">
        <v>446</v>
      </c>
      <c r="T1994" t="s">
        <v>3216</v>
      </c>
      <c r="U1994" t="b">
        <v>0</v>
      </c>
      <c r="V1994" t="s">
        <v>1094</v>
      </c>
    </row>
    <row r="1995" spans="1:22" x14ac:dyDescent="0.25">
      <c r="A1995" t="s">
        <v>42</v>
      </c>
      <c r="B1995">
        <v>239</v>
      </c>
      <c r="C1995" t="s">
        <v>1036</v>
      </c>
      <c r="D1995" t="s">
        <v>1790</v>
      </c>
      <c r="E1995" t="s">
        <v>1035</v>
      </c>
      <c r="G1995" t="s">
        <v>24</v>
      </c>
      <c r="H1995" t="s">
        <v>26</v>
      </c>
      <c r="I1995" t="s">
        <v>3167</v>
      </c>
      <c r="J1995" t="s">
        <v>1038</v>
      </c>
      <c r="K1995" t="s">
        <v>3191</v>
      </c>
      <c r="L1995" t="s">
        <v>1038</v>
      </c>
      <c r="M1995" t="s">
        <v>980</v>
      </c>
      <c r="N1995" t="s">
        <v>1037</v>
      </c>
      <c r="O1995" t="s">
        <v>1037</v>
      </c>
      <c r="P1995" t="s">
        <v>1746</v>
      </c>
      <c r="Q1995" t="s">
        <v>3771</v>
      </c>
      <c r="R1995" t="s">
        <v>446</v>
      </c>
      <c r="S1995" t="s">
        <v>446</v>
      </c>
      <c r="T1995" t="s">
        <v>3216</v>
      </c>
      <c r="U1995" t="b">
        <v>0</v>
      </c>
      <c r="V1995" t="s">
        <v>1094</v>
      </c>
    </row>
    <row r="1996" spans="1:22" x14ac:dyDescent="0.25">
      <c r="A1996" t="s">
        <v>42</v>
      </c>
      <c r="B1996">
        <v>239</v>
      </c>
      <c r="C1996" t="s">
        <v>1041</v>
      </c>
      <c r="D1996" t="s">
        <v>1791</v>
      </c>
      <c r="E1996" t="s">
        <v>1040</v>
      </c>
      <c r="G1996" t="s">
        <v>24</v>
      </c>
      <c r="H1996" t="s">
        <v>26</v>
      </c>
      <c r="I1996" t="s">
        <v>3167</v>
      </c>
      <c r="J1996" t="s">
        <v>1043</v>
      </c>
      <c r="K1996" t="s">
        <v>3193</v>
      </c>
      <c r="L1996" t="s">
        <v>1043</v>
      </c>
      <c r="M1996" t="s">
        <v>980</v>
      </c>
      <c r="N1996" t="s">
        <v>1042</v>
      </c>
      <c r="O1996" t="s">
        <v>1042</v>
      </c>
      <c r="P1996" t="s">
        <v>1746</v>
      </c>
      <c r="Q1996" t="s">
        <v>3771</v>
      </c>
      <c r="R1996" t="s">
        <v>446</v>
      </c>
      <c r="S1996" t="s">
        <v>446</v>
      </c>
      <c r="T1996" t="s">
        <v>3216</v>
      </c>
      <c r="U1996" t="b">
        <v>0</v>
      </c>
      <c r="V1996" t="s">
        <v>1094</v>
      </c>
    </row>
    <row r="1997" spans="1:22" x14ac:dyDescent="0.25">
      <c r="A1997" t="s">
        <v>42</v>
      </c>
      <c r="B1997">
        <v>239</v>
      </c>
      <c r="C1997" t="s">
        <v>1046</v>
      </c>
      <c r="D1997" t="s">
        <v>1793</v>
      </c>
      <c r="E1997" t="s">
        <v>1045</v>
      </c>
      <c r="G1997" t="s">
        <v>24</v>
      </c>
      <c r="H1997" t="s">
        <v>26</v>
      </c>
      <c r="I1997" t="s">
        <v>3167</v>
      </c>
      <c r="J1997" t="s">
        <v>1048</v>
      </c>
      <c r="K1997" t="s">
        <v>3195</v>
      </c>
      <c r="L1997" t="s">
        <v>1048</v>
      </c>
      <c r="M1997" t="s">
        <v>1000</v>
      </c>
      <c r="N1997" t="s">
        <v>1047</v>
      </c>
      <c r="O1997" t="s">
        <v>1047</v>
      </c>
      <c r="P1997" t="s">
        <v>1746</v>
      </c>
      <c r="Q1997" t="s">
        <v>3771</v>
      </c>
      <c r="R1997" t="s">
        <v>446</v>
      </c>
      <c r="S1997" t="s">
        <v>446</v>
      </c>
      <c r="T1997" t="s">
        <v>3216</v>
      </c>
      <c r="U1997" t="b">
        <v>0</v>
      </c>
      <c r="V1997" t="s">
        <v>1094</v>
      </c>
    </row>
    <row r="1998" spans="1:22" x14ac:dyDescent="0.25">
      <c r="A1998" t="s">
        <v>42</v>
      </c>
      <c r="B1998">
        <v>239</v>
      </c>
      <c r="C1998" t="s">
        <v>1050</v>
      </c>
      <c r="D1998" t="s">
        <v>5291</v>
      </c>
      <c r="E1998" t="s">
        <v>1032</v>
      </c>
      <c r="F1998" t="s">
        <v>3218</v>
      </c>
      <c r="G1998" t="s">
        <v>24</v>
      </c>
      <c r="H1998" t="s">
        <v>26</v>
      </c>
      <c r="I1998" t="s">
        <v>3167</v>
      </c>
      <c r="J1998" t="s">
        <v>1048</v>
      </c>
      <c r="K1998" t="s">
        <v>3195</v>
      </c>
      <c r="L1998" t="s">
        <v>1048</v>
      </c>
      <c r="M1998" t="s">
        <v>1000</v>
      </c>
      <c r="N1998" t="s">
        <v>1047</v>
      </c>
      <c r="O1998" t="s">
        <v>1047</v>
      </c>
      <c r="P1998" t="s">
        <v>1746</v>
      </c>
      <c r="Q1998" t="s">
        <v>3771</v>
      </c>
      <c r="R1998" t="s">
        <v>446</v>
      </c>
      <c r="S1998" t="s">
        <v>446</v>
      </c>
      <c r="T1998" t="s">
        <v>1965</v>
      </c>
      <c r="U1998" t="b">
        <v>0</v>
      </c>
      <c r="V1998" t="s">
        <v>446</v>
      </c>
    </row>
    <row r="1999" spans="1:22" x14ac:dyDescent="0.25">
      <c r="A1999" t="s">
        <v>42</v>
      </c>
      <c r="B1999">
        <v>239</v>
      </c>
      <c r="C1999" t="s">
        <v>1052</v>
      </c>
      <c r="D1999" t="s">
        <v>1795</v>
      </c>
      <c r="E1999" t="s">
        <v>1051</v>
      </c>
      <c r="G1999" t="s">
        <v>24</v>
      </c>
      <c r="H1999" t="s">
        <v>26</v>
      </c>
      <c r="I1999" t="s">
        <v>3167</v>
      </c>
      <c r="J1999" t="s">
        <v>1055</v>
      </c>
      <c r="K1999" t="s">
        <v>3199</v>
      </c>
      <c r="L1999" t="s">
        <v>1055</v>
      </c>
      <c r="M1999" t="s">
        <v>980</v>
      </c>
      <c r="N1999" t="s">
        <v>1053</v>
      </c>
      <c r="O1999" t="s">
        <v>1053</v>
      </c>
      <c r="P1999" t="s">
        <v>1746</v>
      </c>
      <c r="Q1999" t="s">
        <v>3771</v>
      </c>
      <c r="R1999" t="s">
        <v>446</v>
      </c>
      <c r="S1999" t="s">
        <v>446</v>
      </c>
      <c r="T1999" t="s">
        <v>3216</v>
      </c>
      <c r="U1999" t="b">
        <v>0</v>
      </c>
      <c r="V1999" t="s">
        <v>1094</v>
      </c>
    </row>
    <row r="2000" spans="1:22" x14ac:dyDescent="0.25">
      <c r="A2000" t="s">
        <v>42</v>
      </c>
      <c r="B2000">
        <v>240</v>
      </c>
      <c r="C2000" t="s">
        <v>979</v>
      </c>
      <c r="D2000" t="s">
        <v>5292</v>
      </c>
      <c r="E2000" t="s">
        <v>978</v>
      </c>
      <c r="F2000" t="s">
        <v>5293</v>
      </c>
      <c r="G2000" t="s">
        <v>24</v>
      </c>
      <c r="H2000" t="s">
        <v>26</v>
      </c>
      <c r="I2000" t="s">
        <v>3167</v>
      </c>
      <c r="J2000" t="s">
        <v>984</v>
      </c>
      <c r="K2000" t="s">
        <v>3168</v>
      </c>
      <c r="L2000" t="s">
        <v>984</v>
      </c>
      <c r="M2000" t="s">
        <v>980</v>
      </c>
      <c r="N2000" t="s">
        <v>981</v>
      </c>
      <c r="O2000" t="s">
        <v>981</v>
      </c>
      <c r="P2000" t="s">
        <v>1746</v>
      </c>
      <c r="Q2000" t="s">
        <v>3771</v>
      </c>
      <c r="R2000" t="s">
        <v>446</v>
      </c>
      <c r="S2000" t="s">
        <v>446</v>
      </c>
      <c r="T2000" t="s">
        <v>1965</v>
      </c>
      <c r="U2000" t="b">
        <v>0</v>
      </c>
      <c r="V2000" t="s">
        <v>446</v>
      </c>
    </row>
    <row r="2001" spans="1:22" x14ac:dyDescent="0.25">
      <c r="A2001" t="s">
        <v>42</v>
      </c>
      <c r="B2001">
        <v>240</v>
      </c>
      <c r="C2001" t="s">
        <v>987</v>
      </c>
      <c r="D2001" t="s">
        <v>5294</v>
      </c>
      <c r="E2001" t="s">
        <v>986</v>
      </c>
      <c r="F2001" t="s">
        <v>5295</v>
      </c>
      <c r="G2001" t="s">
        <v>24</v>
      </c>
      <c r="H2001" t="s">
        <v>26</v>
      </c>
      <c r="I2001" t="s">
        <v>3167</v>
      </c>
      <c r="J2001" t="s">
        <v>990</v>
      </c>
      <c r="K2001" t="s">
        <v>3171</v>
      </c>
      <c r="L2001" t="s">
        <v>990</v>
      </c>
      <c r="M2001" t="s">
        <v>980</v>
      </c>
      <c r="N2001" t="s">
        <v>988</v>
      </c>
      <c r="O2001" t="s">
        <v>988</v>
      </c>
      <c r="P2001" t="s">
        <v>1746</v>
      </c>
      <c r="Q2001" t="s">
        <v>3771</v>
      </c>
      <c r="R2001" t="s">
        <v>446</v>
      </c>
      <c r="S2001" t="s">
        <v>446</v>
      </c>
      <c r="T2001" t="s">
        <v>1965</v>
      </c>
      <c r="U2001" t="b">
        <v>0</v>
      </c>
      <c r="V2001" t="s">
        <v>446</v>
      </c>
    </row>
    <row r="2002" spans="1:22" x14ac:dyDescent="0.25">
      <c r="A2002" t="s">
        <v>42</v>
      </c>
      <c r="B2002">
        <v>240</v>
      </c>
      <c r="C2002" t="s">
        <v>993</v>
      </c>
      <c r="D2002" t="s">
        <v>5296</v>
      </c>
      <c r="E2002" t="s">
        <v>992</v>
      </c>
      <c r="F2002" t="s">
        <v>5297</v>
      </c>
      <c r="G2002" t="s">
        <v>24</v>
      </c>
      <c r="H2002" t="s">
        <v>26</v>
      </c>
      <c r="I2002" t="s">
        <v>3167</v>
      </c>
      <c r="J2002" t="s">
        <v>996</v>
      </c>
      <c r="K2002" t="s">
        <v>3173</v>
      </c>
      <c r="L2002" t="s">
        <v>996</v>
      </c>
      <c r="M2002" t="s">
        <v>980</v>
      </c>
      <c r="N2002" t="s">
        <v>994</v>
      </c>
      <c r="O2002" t="s">
        <v>994</v>
      </c>
      <c r="P2002" t="s">
        <v>1746</v>
      </c>
      <c r="Q2002" t="s">
        <v>3771</v>
      </c>
      <c r="R2002" t="s">
        <v>446</v>
      </c>
      <c r="S2002" t="s">
        <v>446</v>
      </c>
      <c r="T2002" t="s">
        <v>1965</v>
      </c>
      <c r="U2002" t="b">
        <v>0</v>
      </c>
      <c r="V2002" t="s">
        <v>446</v>
      </c>
    </row>
    <row r="2003" spans="1:22" x14ac:dyDescent="0.25">
      <c r="A2003" t="s">
        <v>42</v>
      </c>
      <c r="B2003">
        <v>240</v>
      </c>
      <c r="C2003" t="s">
        <v>999</v>
      </c>
      <c r="D2003" t="s">
        <v>5298</v>
      </c>
      <c r="E2003" t="s">
        <v>998</v>
      </c>
      <c r="F2003" t="s">
        <v>5299</v>
      </c>
      <c r="G2003" t="s">
        <v>24</v>
      </c>
      <c r="H2003" t="s">
        <v>26</v>
      </c>
      <c r="I2003" t="s">
        <v>3167</v>
      </c>
      <c r="J2003" t="s">
        <v>1003</v>
      </c>
      <c r="K2003" t="s">
        <v>3175</v>
      </c>
      <c r="L2003" t="s">
        <v>1003</v>
      </c>
      <c r="M2003" t="s">
        <v>1000</v>
      </c>
      <c r="N2003" t="s">
        <v>1001</v>
      </c>
      <c r="O2003" t="s">
        <v>1001</v>
      </c>
      <c r="P2003" t="s">
        <v>1746</v>
      </c>
      <c r="Q2003" t="s">
        <v>3771</v>
      </c>
      <c r="R2003" t="s">
        <v>446</v>
      </c>
      <c r="S2003" t="s">
        <v>446</v>
      </c>
      <c r="T2003" t="s">
        <v>1965</v>
      </c>
      <c r="U2003" t="b">
        <v>0</v>
      </c>
      <c r="V2003" t="s">
        <v>446</v>
      </c>
    </row>
    <row r="2004" spans="1:22" x14ac:dyDescent="0.25">
      <c r="A2004" t="s">
        <v>42</v>
      </c>
      <c r="B2004">
        <v>240</v>
      </c>
      <c r="C2004" t="s">
        <v>1005</v>
      </c>
      <c r="D2004" t="s">
        <v>5300</v>
      </c>
      <c r="E2004" t="s">
        <v>982</v>
      </c>
      <c r="F2004" t="s">
        <v>5301</v>
      </c>
      <c r="G2004" t="s">
        <v>24</v>
      </c>
      <c r="H2004" t="s">
        <v>26</v>
      </c>
      <c r="I2004" t="s">
        <v>3167</v>
      </c>
      <c r="J2004" t="s">
        <v>1003</v>
      </c>
      <c r="K2004" t="s">
        <v>3175</v>
      </c>
      <c r="L2004" t="s">
        <v>1003</v>
      </c>
      <c r="M2004" t="s">
        <v>1000</v>
      </c>
      <c r="N2004" t="s">
        <v>1001</v>
      </c>
      <c r="O2004" t="s">
        <v>1001</v>
      </c>
      <c r="P2004" t="s">
        <v>1746</v>
      </c>
      <c r="Q2004" t="s">
        <v>3771</v>
      </c>
      <c r="R2004" t="s">
        <v>446</v>
      </c>
      <c r="S2004" t="s">
        <v>446</v>
      </c>
      <c r="T2004" t="s">
        <v>1965</v>
      </c>
      <c r="U2004" t="b">
        <v>0</v>
      </c>
      <c r="V2004" t="s">
        <v>446</v>
      </c>
    </row>
    <row r="2005" spans="1:22" x14ac:dyDescent="0.25">
      <c r="A2005" t="s">
        <v>42</v>
      </c>
      <c r="B2005">
        <v>240</v>
      </c>
      <c r="C2005" t="s">
        <v>1007</v>
      </c>
      <c r="D2005" t="s">
        <v>5302</v>
      </c>
      <c r="E2005" t="s">
        <v>1006</v>
      </c>
      <c r="F2005" t="s">
        <v>5303</v>
      </c>
      <c r="G2005" t="s">
        <v>24</v>
      </c>
      <c r="H2005" t="s">
        <v>26</v>
      </c>
      <c r="I2005" t="s">
        <v>3167</v>
      </c>
      <c r="J2005" t="s">
        <v>1011</v>
      </c>
      <c r="K2005" t="s">
        <v>3179</v>
      </c>
      <c r="L2005" t="s">
        <v>1011</v>
      </c>
      <c r="M2005" t="s">
        <v>1008</v>
      </c>
      <c r="N2005" t="s">
        <v>1009</v>
      </c>
      <c r="O2005" t="s">
        <v>1009</v>
      </c>
      <c r="P2005" t="s">
        <v>1746</v>
      </c>
      <c r="Q2005" t="s">
        <v>3771</v>
      </c>
      <c r="R2005" t="s">
        <v>446</v>
      </c>
      <c r="S2005" t="s">
        <v>446</v>
      </c>
      <c r="T2005" t="s">
        <v>1965</v>
      </c>
      <c r="U2005" t="b">
        <v>0</v>
      </c>
      <c r="V2005" t="s">
        <v>446</v>
      </c>
    </row>
    <row r="2006" spans="1:22" x14ac:dyDescent="0.25">
      <c r="A2006" t="s">
        <v>42</v>
      </c>
      <c r="B2006">
        <v>240</v>
      </c>
      <c r="C2006" t="s">
        <v>1014</v>
      </c>
      <c r="D2006" t="s">
        <v>5304</v>
      </c>
      <c r="E2006" t="s">
        <v>1013</v>
      </c>
      <c r="F2006" t="s">
        <v>5305</v>
      </c>
      <c r="G2006" t="s">
        <v>24</v>
      </c>
      <c r="H2006" t="s">
        <v>26</v>
      </c>
      <c r="I2006" t="s">
        <v>3167</v>
      </c>
      <c r="J2006" t="s">
        <v>1016</v>
      </c>
      <c r="K2006" t="s">
        <v>3181</v>
      </c>
      <c r="L2006" t="s">
        <v>1016</v>
      </c>
      <c r="M2006" t="s">
        <v>980</v>
      </c>
      <c r="N2006" t="s">
        <v>1015</v>
      </c>
      <c r="O2006" t="s">
        <v>1015</v>
      </c>
      <c r="P2006" t="s">
        <v>1746</v>
      </c>
      <c r="Q2006" t="s">
        <v>3771</v>
      </c>
      <c r="R2006" t="s">
        <v>446</v>
      </c>
      <c r="S2006" t="s">
        <v>446</v>
      </c>
      <c r="T2006" t="s">
        <v>1965</v>
      </c>
      <c r="U2006" t="b">
        <v>0</v>
      </c>
      <c r="V2006" t="s">
        <v>446</v>
      </c>
    </row>
    <row r="2007" spans="1:22" x14ac:dyDescent="0.25">
      <c r="A2007" t="s">
        <v>42</v>
      </c>
      <c r="B2007">
        <v>240</v>
      </c>
      <c r="C2007" t="s">
        <v>1019</v>
      </c>
      <c r="D2007" t="s">
        <v>5306</v>
      </c>
      <c r="E2007" t="s">
        <v>1018</v>
      </c>
      <c r="F2007" t="s">
        <v>5307</v>
      </c>
      <c r="G2007" t="s">
        <v>24</v>
      </c>
      <c r="H2007" t="s">
        <v>26</v>
      </c>
      <c r="I2007" t="s">
        <v>3167</v>
      </c>
      <c r="J2007" t="s">
        <v>1021</v>
      </c>
      <c r="K2007" t="s">
        <v>3183</v>
      </c>
      <c r="L2007" t="s">
        <v>1021</v>
      </c>
      <c r="M2007" t="s">
        <v>980</v>
      </c>
      <c r="N2007" t="s">
        <v>1020</v>
      </c>
      <c r="O2007" t="s">
        <v>1020</v>
      </c>
      <c r="P2007" t="s">
        <v>1746</v>
      </c>
      <c r="Q2007" t="s">
        <v>3771</v>
      </c>
      <c r="R2007" t="s">
        <v>446</v>
      </c>
      <c r="S2007" t="s">
        <v>446</v>
      </c>
      <c r="T2007" t="s">
        <v>1965</v>
      </c>
      <c r="U2007" t="b">
        <v>0</v>
      </c>
      <c r="V2007" t="s">
        <v>446</v>
      </c>
    </row>
    <row r="2008" spans="1:22" x14ac:dyDescent="0.25">
      <c r="A2008" t="s">
        <v>42</v>
      </c>
      <c r="B2008">
        <v>240</v>
      </c>
      <c r="C2008" t="s">
        <v>1024</v>
      </c>
      <c r="D2008" t="s">
        <v>5308</v>
      </c>
      <c r="E2008" t="s">
        <v>1023</v>
      </c>
      <c r="F2008" t="s">
        <v>5309</v>
      </c>
      <c r="G2008" t="s">
        <v>24</v>
      </c>
      <c r="H2008" t="s">
        <v>26</v>
      </c>
      <c r="I2008" t="s">
        <v>3167</v>
      </c>
      <c r="J2008" t="s">
        <v>1026</v>
      </c>
      <c r="K2008" t="s">
        <v>3185</v>
      </c>
      <c r="L2008" t="s">
        <v>1026</v>
      </c>
      <c r="M2008" t="s">
        <v>1000</v>
      </c>
      <c r="N2008" t="s">
        <v>1025</v>
      </c>
      <c r="O2008" t="s">
        <v>1025</v>
      </c>
      <c r="P2008" t="s">
        <v>1746</v>
      </c>
      <c r="Q2008" t="s">
        <v>3771</v>
      </c>
      <c r="R2008" t="s">
        <v>446</v>
      </c>
      <c r="S2008" t="s">
        <v>446</v>
      </c>
      <c r="T2008" t="s">
        <v>1965</v>
      </c>
      <c r="U2008" t="b">
        <v>0</v>
      </c>
      <c r="V2008" t="s">
        <v>446</v>
      </c>
    </row>
    <row r="2009" spans="1:22" x14ac:dyDescent="0.25">
      <c r="A2009" t="s">
        <v>42</v>
      </c>
      <c r="B2009">
        <v>240</v>
      </c>
      <c r="C2009" t="s">
        <v>1028</v>
      </c>
      <c r="D2009" t="s">
        <v>5310</v>
      </c>
      <c r="E2009" t="s">
        <v>1010</v>
      </c>
      <c r="F2009" t="s">
        <v>5311</v>
      </c>
      <c r="G2009" t="s">
        <v>24</v>
      </c>
      <c r="H2009" t="s">
        <v>26</v>
      </c>
      <c r="I2009" t="s">
        <v>3167</v>
      </c>
      <c r="J2009" t="s">
        <v>1026</v>
      </c>
      <c r="K2009" t="s">
        <v>3185</v>
      </c>
      <c r="L2009" t="s">
        <v>1026</v>
      </c>
      <c r="M2009" t="s">
        <v>1000</v>
      </c>
      <c r="N2009" t="s">
        <v>1025</v>
      </c>
      <c r="O2009" t="s">
        <v>1025</v>
      </c>
      <c r="P2009" t="s">
        <v>1746</v>
      </c>
      <c r="Q2009" t="s">
        <v>3771</v>
      </c>
      <c r="R2009" t="s">
        <v>446</v>
      </c>
      <c r="S2009" t="s">
        <v>446</v>
      </c>
      <c r="T2009" t="s">
        <v>1965</v>
      </c>
      <c r="U2009" t="b">
        <v>0</v>
      </c>
      <c r="V2009" t="s">
        <v>446</v>
      </c>
    </row>
    <row r="2010" spans="1:22" x14ac:dyDescent="0.25">
      <c r="A2010" t="s">
        <v>42</v>
      </c>
      <c r="B2010">
        <v>240</v>
      </c>
      <c r="C2010" t="s">
        <v>1030</v>
      </c>
      <c r="D2010" t="s">
        <v>5312</v>
      </c>
      <c r="E2010" t="s">
        <v>1029</v>
      </c>
      <c r="F2010" t="s">
        <v>5313</v>
      </c>
      <c r="G2010" t="s">
        <v>24</v>
      </c>
      <c r="H2010" t="s">
        <v>26</v>
      </c>
      <c r="I2010" t="s">
        <v>3167</v>
      </c>
      <c r="J2010" t="s">
        <v>1033</v>
      </c>
      <c r="K2010" t="s">
        <v>3189</v>
      </c>
      <c r="L2010" t="s">
        <v>1033</v>
      </c>
      <c r="M2010" t="s">
        <v>980</v>
      </c>
      <c r="N2010" t="s">
        <v>1031</v>
      </c>
      <c r="O2010" t="s">
        <v>1031</v>
      </c>
      <c r="P2010" t="s">
        <v>1746</v>
      </c>
      <c r="Q2010" t="s">
        <v>3771</v>
      </c>
      <c r="R2010" t="s">
        <v>446</v>
      </c>
      <c r="S2010" t="s">
        <v>446</v>
      </c>
      <c r="T2010" t="s">
        <v>1965</v>
      </c>
      <c r="U2010" t="b">
        <v>0</v>
      </c>
      <c r="V2010" t="s">
        <v>446</v>
      </c>
    </row>
    <row r="2011" spans="1:22" x14ac:dyDescent="0.25">
      <c r="A2011" t="s">
        <v>42</v>
      </c>
      <c r="B2011">
        <v>240</v>
      </c>
      <c r="C2011" t="s">
        <v>1036</v>
      </c>
      <c r="D2011" t="s">
        <v>5314</v>
      </c>
      <c r="E2011" t="s">
        <v>1035</v>
      </c>
      <c r="G2011" t="s">
        <v>24</v>
      </c>
      <c r="H2011" t="s">
        <v>26</v>
      </c>
      <c r="I2011" t="s">
        <v>3167</v>
      </c>
      <c r="J2011" t="s">
        <v>1038</v>
      </c>
      <c r="K2011" t="s">
        <v>3191</v>
      </c>
      <c r="L2011" t="s">
        <v>1038</v>
      </c>
      <c r="M2011" t="s">
        <v>980</v>
      </c>
      <c r="N2011" t="s">
        <v>1037</v>
      </c>
      <c r="O2011" t="s">
        <v>1037</v>
      </c>
      <c r="P2011" t="s">
        <v>1746</v>
      </c>
      <c r="Q2011" t="s">
        <v>3771</v>
      </c>
      <c r="R2011" t="s">
        <v>446</v>
      </c>
      <c r="S2011" t="s">
        <v>446</v>
      </c>
      <c r="T2011" t="s">
        <v>1965</v>
      </c>
      <c r="U2011" t="b">
        <v>0</v>
      </c>
      <c r="V2011" t="s">
        <v>446</v>
      </c>
    </row>
    <row r="2012" spans="1:22" x14ac:dyDescent="0.25">
      <c r="A2012" t="s">
        <v>42</v>
      </c>
      <c r="B2012">
        <v>240</v>
      </c>
      <c r="C2012" t="s">
        <v>1041</v>
      </c>
      <c r="D2012" t="s">
        <v>5315</v>
      </c>
      <c r="E2012" t="s">
        <v>1040</v>
      </c>
      <c r="F2012" t="s">
        <v>5316</v>
      </c>
      <c r="G2012" t="s">
        <v>24</v>
      </c>
      <c r="H2012" t="s">
        <v>26</v>
      </c>
      <c r="I2012" t="s">
        <v>3167</v>
      </c>
      <c r="J2012" t="s">
        <v>1043</v>
      </c>
      <c r="K2012" t="s">
        <v>3193</v>
      </c>
      <c r="L2012" t="s">
        <v>1043</v>
      </c>
      <c r="M2012" t="s">
        <v>980</v>
      </c>
      <c r="N2012" t="s">
        <v>1042</v>
      </c>
      <c r="O2012" t="s">
        <v>1042</v>
      </c>
      <c r="P2012" t="s">
        <v>1746</v>
      </c>
      <c r="Q2012" t="s">
        <v>3771</v>
      </c>
      <c r="R2012" t="s">
        <v>446</v>
      </c>
      <c r="S2012" t="s">
        <v>446</v>
      </c>
      <c r="T2012" t="s">
        <v>1965</v>
      </c>
      <c r="U2012" t="b">
        <v>0</v>
      </c>
      <c r="V2012" t="s">
        <v>446</v>
      </c>
    </row>
    <row r="2013" spans="1:22" x14ac:dyDescent="0.25">
      <c r="A2013" t="s">
        <v>42</v>
      </c>
      <c r="B2013">
        <v>240</v>
      </c>
      <c r="C2013" t="s">
        <v>1046</v>
      </c>
      <c r="D2013" t="s">
        <v>5317</v>
      </c>
      <c r="E2013" t="s">
        <v>1045</v>
      </c>
      <c r="F2013" t="s">
        <v>5318</v>
      </c>
      <c r="G2013" t="s">
        <v>24</v>
      </c>
      <c r="H2013" t="s">
        <v>26</v>
      </c>
      <c r="I2013" t="s">
        <v>3167</v>
      </c>
      <c r="J2013" t="s">
        <v>1048</v>
      </c>
      <c r="K2013" t="s">
        <v>3195</v>
      </c>
      <c r="L2013" t="s">
        <v>1048</v>
      </c>
      <c r="M2013" t="s">
        <v>1000</v>
      </c>
      <c r="N2013" t="s">
        <v>1047</v>
      </c>
      <c r="O2013" t="s">
        <v>1047</v>
      </c>
      <c r="P2013" t="s">
        <v>1746</v>
      </c>
      <c r="Q2013" t="s">
        <v>3771</v>
      </c>
      <c r="R2013" t="s">
        <v>446</v>
      </c>
      <c r="S2013" t="s">
        <v>446</v>
      </c>
      <c r="T2013" t="s">
        <v>1965</v>
      </c>
      <c r="U2013" t="b">
        <v>0</v>
      </c>
      <c r="V2013" t="s">
        <v>446</v>
      </c>
    </row>
    <row r="2014" spans="1:22" x14ac:dyDescent="0.25">
      <c r="A2014" t="s">
        <v>42</v>
      </c>
      <c r="B2014">
        <v>240</v>
      </c>
      <c r="C2014" t="s">
        <v>1050</v>
      </c>
      <c r="D2014" t="s">
        <v>5319</v>
      </c>
      <c r="E2014" t="s">
        <v>1032</v>
      </c>
      <c r="F2014" t="s">
        <v>5320</v>
      </c>
      <c r="G2014" t="s">
        <v>24</v>
      </c>
      <c r="H2014" t="s">
        <v>26</v>
      </c>
      <c r="I2014" t="s">
        <v>3167</v>
      </c>
      <c r="J2014" t="s">
        <v>1048</v>
      </c>
      <c r="K2014" t="s">
        <v>3195</v>
      </c>
      <c r="L2014" t="s">
        <v>1048</v>
      </c>
      <c r="M2014" t="s">
        <v>1000</v>
      </c>
      <c r="N2014" t="s">
        <v>1047</v>
      </c>
      <c r="O2014" t="s">
        <v>1047</v>
      </c>
      <c r="P2014" t="s">
        <v>1746</v>
      </c>
      <c r="Q2014" t="s">
        <v>3771</v>
      </c>
      <c r="R2014" t="s">
        <v>446</v>
      </c>
      <c r="S2014" t="s">
        <v>446</v>
      </c>
      <c r="T2014" t="s">
        <v>1965</v>
      </c>
      <c r="U2014" t="b">
        <v>0</v>
      </c>
      <c r="V2014" t="s">
        <v>446</v>
      </c>
    </row>
    <row r="2015" spans="1:22" x14ac:dyDescent="0.25">
      <c r="A2015" t="s">
        <v>42</v>
      </c>
      <c r="B2015">
        <v>240</v>
      </c>
      <c r="C2015" t="s">
        <v>1052</v>
      </c>
      <c r="D2015" t="s">
        <v>5321</v>
      </c>
      <c r="E2015" t="s">
        <v>1051</v>
      </c>
      <c r="F2015" t="s">
        <v>5322</v>
      </c>
      <c r="G2015" t="s">
        <v>24</v>
      </c>
      <c r="H2015" t="s">
        <v>26</v>
      </c>
      <c r="I2015" t="s">
        <v>3167</v>
      </c>
      <c r="J2015" t="s">
        <v>1055</v>
      </c>
      <c r="K2015" t="s">
        <v>3199</v>
      </c>
      <c r="L2015" t="s">
        <v>1055</v>
      </c>
      <c r="M2015" t="s">
        <v>980</v>
      </c>
      <c r="N2015" t="s">
        <v>1053</v>
      </c>
      <c r="O2015" t="s">
        <v>1053</v>
      </c>
      <c r="P2015" t="s">
        <v>1746</v>
      </c>
      <c r="Q2015" t="s">
        <v>3771</v>
      </c>
      <c r="R2015" t="s">
        <v>446</v>
      </c>
      <c r="S2015" t="s">
        <v>446</v>
      </c>
      <c r="T2015" t="s">
        <v>1965</v>
      </c>
      <c r="U2015" t="b">
        <v>0</v>
      </c>
      <c r="V2015" t="s">
        <v>446</v>
      </c>
    </row>
    <row r="2016" spans="1:22" x14ac:dyDescent="0.25">
      <c r="A2016" t="s">
        <v>42</v>
      </c>
      <c r="B2016">
        <v>241</v>
      </c>
      <c r="C2016" t="s">
        <v>979</v>
      </c>
      <c r="D2016" t="s">
        <v>1797</v>
      </c>
      <c r="E2016" t="s">
        <v>978</v>
      </c>
      <c r="G2016" t="s">
        <v>24</v>
      </c>
      <c r="H2016" t="s">
        <v>26</v>
      </c>
      <c r="I2016" t="s">
        <v>3167</v>
      </c>
      <c r="J2016" t="s">
        <v>984</v>
      </c>
      <c r="K2016" t="s">
        <v>3168</v>
      </c>
      <c r="L2016" t="s">
        <v>984</v>
      </c>
      <c r="M2016" t="s">
        <v>980</v>
      </c>
      <c r="N2016" t="s">
        <v>981</v>
      </c>
      <c r="O2016" t="s">
        <v>981</v>
      </c>
      <c r="P2016" t="s">
        <v>1746</v>
      </c>
      <c r="Q2016" t="s">
        <v>3771</v>
      </c>
      <c r="R2016" t="s">
        <v>446</v>
      </c>
      <c r="S2016" t="s">
        <v>446</v>
      </c>
      <c r="T2016" t="s">
        <v>3216</v>
      </c>
      <c r="U2016" t="b">
        <v>0</v>
      </c>
      <c r="V2016" t="s">
        <v>1094</v>
      </c>
    </row>
    <row r="2017" spans="1:22" x14ac:dyDescent="0.25">
      <c r="A2017" t="s">
        <v>42</v>
      </c>
      <c r="B2017">
        <v>241</v>
      </c>
      <c r="C2017" t="s">
        <v>987</v>
      </c>
      <c r="D2017" t="s">
        <v>1799</v>
      </c>
      <c r="E2017" t="s">
        <v>986</v>
      </c>
      <c r="G2017" t="s">
        <v>24</v>
      </c>
      <c r="H2017" t="s">
        <v>26</v>
      </c>
      <c r="I2017" t="s">
        <v>3167</v>
      </c>
      <c r="J2017" t="s">
        <v>990</v>
      </c>
      <c r="K2017" t="s">
        <v>3171</v>
      </c>
      <c r="L2017" t="s">
        <v>990</v>
      </c>
      <c r="M2017" t="s">
        <v>980</v>
      </c>
      <c r="N2017" t="s">
        <v>988</v>
      </c>
      <c r="O2017" t="s">
        <v>988</v>
      </c>
      <c r="P2017" t="s">
        <v>1746</v>
      </c>
      <c r="Q2017" t="s">
        <v>3771</v>
      </c>
      <c r="R2017" t="s">
        <v>446</v>
      </c>
      <c r="S2017" t="s">
        <v>446</v>
      </c>
      <c r="T2017" t="s">
        <v>3216</v>
      </c>
      <c r="U2017" t="b">
        <v>0</v>
      </c>
      <c r="V2017" t="s">
        <v>1094</v>
      </c>
    </row>
    <row r="2018" spans="1:22" x14ac:dyDescent="0.25">
      <c r="A2018" t="s">
        <v>42</v>
      </c>
      <c r="B2018">
        <v>241</v>
      </c>
      <c r="C2018" t="s">
        <v>993</v>
      </c>
      <c r="D2018" t="s">
        <v>5323</v>
      </c>
      <c r="E2018" t="s">
        <v>992</v>
      </c>
      <c r="F2018" t="s">
        <v>5324</v>
      </c>
      <c r="G2018" t="s">
        <v>24</v>
      </c>
      <c r="H2018" t="s">
        <v>26</v>
      </c>
      <c r="I2018" t="s">
        <v>3167</v>
      </c>
      <c r="J2018" t="s">
        <v>996</v>
      </c>
      <c r="K2018" t="s">
        <v>3173</v>
      </c>
      <c r="L2018" t="s">
        <v>996</v>
      </c>
      <c r="M2018" t="s">
        <v>980</v>
      </c>
      <c r="N2018" t="s">
        <v>994</v>
      </c>
      <c r="O2018" t="s">
        <v>994</v>
      </c>
      <c r="P2018" t="s">
        <v>1746</v>
      </c>
      <c r="Q2018" t="s">
        <v>3771</v>
      </c>
      <c r="R2018" t="s">
        <v>446</v>
      </c>
      <c r="S2018" t="s">
        <v>446</v>
      </c>
      <c r="T2018" t="s">
        <v>1965</v>
      </c>
      <c r="U2018" t="b">
        <v>0</v>
      </c>
      <c r="V2018" t="s">
        <v>446</v>
      </c>
    </row>
    <row r="2019" spans="1:22" x14ac:dyDescent="0.25">
      <c r="A2019" t="s">
        <v>42</v>
      </c>
      <c r="B2019">
        <v>241</v>
      </c>
      <c r="C2019" t="s">
        <v>999</v>
      </c>
      <c r="D2019" t="s">
        <v>1801</v>
      </c>
      <c r="E2019" t="s">
        <v>998</v>
      </c>
      <c r="G2019" t="s">
        <v>24</v>
      </c>
      <c r="H2019" t="s">
        <v>26</v>
      </c>
      <c r="I2019" t="s">
        <v>3167</v>
      </c>
      <c r="J2019" t="s">
        <v>1003</v>
      </c>
      <c r="K2019" t="s">
        <v>3175</v>
      </c>
      <c r="L2019" t="s">
        <v>1003</v>
      </c>
      <c r="M2019" t="s">
        <v>1000</v>
      </c>
      <c r="N2019" t="s">
        <v>1001</v>
      </c>
      <c r="O2019" t="s">
        <v>1001</v>
      </c>
      <c r="P2019" t="s">
        <v>1746</v>
      </c>
      <c r="Q2019" t="s">
        <v>3771</v>
      </c>
      <c r="R2019" t="s">
        <v>446</v>
      </c>
      <c r="S2019" t="s">
        <v>446</v>
      </c>
      <c r="T2019" t="s">
        <v>3216</v>
      </c>
      <c r="U2019" t="b">
        <v>0</v>
      </c>
      <c r="V2019" t="s">
        <v>1094</v>
      </c>
    </row>
    <row r="2020" spans="1:22" x14ac:dyDescent="0.25">
      <c r="A2020" t="s">
        <v>42</v>
      </c>
      <c r="B2020">
        <v>241</v>
      </c>
      <c r="C2020" t="s">
        <v>1005</v>
      </c>
      <c r="D2020" t="s">
        <v>5325</v>
      </c>
      <c r="E2020" t="s">
        <v>982</v>
      </c>
      <c r="F2020" t="s">
        <v>5324</v>
      </c>
      <c r="G2020" t="s">
        <v>24</v>
      </c>
      <c r="H2020" t="s">
        <v>26</v>
      </c>
      <c r="I2020" t="s">
        <v>3167</v>
      </c>
      <c r="J2020" t="s">
        <v>1003</v>
      </c>
      <c r="K2020" t="s">
        <v>3175</v>
      </c>
      <c r="L2020" t="s">
        <v>1003</v>
      </c>
      <c r="M2020" t="s">
        <v>1000</v>
      </c>
      <c r="N2020" t="s">
        <v>1001</v>
      </c>
      <c r="O2020" t="s">
        <v>1001</v>
      </c>
      <c r="P2020" t="s">
        <v>1746</v>
      </c>
      <c r="Q2020" t="s">
        <v>3771</v>
      </c>
      <c r="R2020" t="s">
        <v>446</v>
      </c>
      <c r="S2020" t="s">
        <v>446</v>
      </c>
      <c r="T2020" t="s">
        <v>1965</v>
      </c>
      <c r="U2020" t="b">
        <v>0</v>
      </c>
      <c r="V2020" t="s">
        <v>446</v>
      </c>
    </row>
    <row r="2021" spans="1:22" x14ac:dyDescent="0.25">
      <c r="A2021" t="s">
        <v>42</v>
      </c>
      <c r="B2021">
        <v>241</v>
      </c>
      <c r="C2021" t="s">
        <v>1007</v>
      </c>
      <c r="D2021" t="s">
        <v>1803</v>
      </c>
      <c r="E2021" t="s">
        <v>1006</v>
      </c>
      <c r="G2021" t="s">
        <v>24</v>
      </c>
      <c r="H2021" t="s">
        <v>26</v>
      </c>
      <c r="I2021" t="s">
        <v>3167</v>
      </c>
      <c r="J2021" t="s">
        <v>1011</v>
      </c>
      <c r="K2021" t="s">
        <v>3179</v>
      </c>
      <c r="L2021" t="s">
        <v>1011</v>
      </c>
      <c r="M2021" t="s">
        <v>1008</v>
      </c>
      <c r="N2021" t="s">
        <v>1009</v>
      </c>
      <c r="O2021" t="s">
        <v>1009</v>
      </c>
      <c r="P2021" t="s">
        <v>1746</v>
      </c>
      <c r="Q2021" t="s">
        <v>3771</v>
      </c>
      <c r="R2021" t="s">
        <v>446</v>
      </c>
      <c r="S2021" t="s">
        <v>446</v>
      </c>
      <c r="T2021" t="s">
        <v>3216</v>
      </c>
      <c r="U2021" t="b">
        <v>0</v>
      </c>
      <c r="V2021" t="s">
        <v>1094</v>
      </c>
    </row>
    <row r="2022" spans="1:22" x14ac:dyDescent="0.25">
      <c r="A2022" t="s">
        <v>42</v>
      </c>
      <c r="B2022">
        <v>241</v>
      </c>
      <c r="C2022" t="s">
        <v>1014</v>
      </c>
      <c r="D2022" t="s">
        <v>1805</v>
      </c>
      <c r="E2022" t="s">
        <v>1013</v>
      </c>
      <c r="G2022" t="s">
        <v>24</v>
      </c>
      <c r="H2022" t="s">
        <v>26</v>
      </c>
      <c r="I2022" t="s">
        <v>3167</v>
      </c>
      <c r="J2022" t="s">
        <v>1016</v>
      </c>
      <c r="K2022" t="s">
        <v>3181</v>
      </c>
      <c r="L2022" t="s">
        <v>1016</v>
      </c>
      <c r="M2022" t="s">
        <v>980</v>
      </c>
      <c r="N2022" t="s">
        <v>1015</v>
      </c>
      <c r="O2022" t="s">
        <v>1015</v>
      </c>
      <c r="P2022" t="s">
        <v>1746</v>
      </c>
      <c r="Q2022" t="s">
        <v>3771</v>
      </c>
      <c r="R2022" t="s">
        <v>446</v>
      </c>
      <c r="S2022" t="s">
        <v>446</v>
      </c>
      <c r="T2022" t="s">
        <v>3216</v>
      </c>
      <c r="U2022" t="b">
        <v>0</v>
      </c>
      <c r="V2022" t="s">
        <v>1094</v>
      </c>
    </row>
    <row r="2023" spans="1:22" x14ac:dyDescent="0.25">
      <c r="A2023" t="s">
        <v>42</v>
      </c>
      <c r="B2023">
        <v>241</v>
      </c>
      <c r="C2023" t="s">
        <v>1019</v>
      </c>
      <c r="D2023" t="s">
        <v>1807</v>
      </c>
      <c r="E2023" t="s">
        <v>1018</v>
      </c>
      <c r="G2023" t="s">
        <v>24</v>
      </c>
      <c r="H2023" t="s">
        <v>26</v>
      </c>
      <c r="I2023" t="s">
        <v>3167</v>
      </c>
      <c r="J2023" t="s">
        <v>1021</v>
      </c>
      <c r="K2023" t="s">
        <v>3183</v>
      </c>
      <c r="L2023" t="s">
        <v>1021</v>
      </c>
      <c r="M2023" t="s">
        <v>980</v>
      </c>
      <c r="N2023" t="s">
        <v>1020</v>
      </c>
      <c r="O2023" t="s">
        <v>1020</v>
      </c>
      <c r="P2023" t="s">
        <v>1746</v>
      </c>
      <c r="Q2023" t="s">
        <v>3771</v>
      </c>
      <c r="R2023" t="s">
        <v>446</v>
      </c>
      <c r="S2023" t="s">
        <v>446</v>
      </c>
      <c r="T2023" t="s">
        <v>3216</v>
      </c>
      <c r="U2023" t="b">
        <v>0</v>
      </c>
      <c r="V2023" t="s">
        <v>1094</v>
      </c>
    </row>
    <row r="2024" spans="1:22" x14ac:dyDescent="0.25">
      <c r="A2024" t="s">
        <v>42</v>
      </c>
      <c r="B2024">
        <v>241</v>
      </c>
      <c r="C2024" t="s">
        <v>1024</v>
      </c>
      <c r="D2024" t="s">
        <v>1809</v>
      </c>
      <c r="E2024" t="s">
        <v>1023</v>
      </c>
      <c r="G2024" t="s">
        <v>24</v>
      </c>
      <c r="H2024" t="s">
        <v>26</v>
      </c>
      <c r="I2024" t="s">
        <v>3167</v>
      </c>
      <c r="J2024" t="s">
        <v>1026</v>
      </c>
      <c r="K2024" t="s">
        <v>3185</v>
      </c>
      <c r="L2024" t="s">
        <v>1026</v>
      </c>
      <c r="M2024" t="s">
        <v>1000</v>
      </c>
      <c r="N2024" t="s">
        <v>1025</v>
      </c>
      <c r="O2024" t="s">
        <v>1025</v>
      </c>
      <c r="P2024" t="s">
        <v>1746</v>
      </c>
      <c r="Q2024" t="s">
        <v>3771</v>
      </c>
      <c r="R2024" t="s">
        <v>446</v>
      </c>
      <c r="S2024" t="s">
        <v>446</v>
      </c>
      <c r="T2024" t="s">
        <v>3216</v>
      </c>
      <c r="U2024" t="b">
        <v>0</v>
      </c>
      <c r="V2024" t="s">
        <v>1094</v>
      </c>
    </row>
    <row r="2025" spans="1:22" x14ac:dyDescent="0.25">
      <c r="A2025" t="s">
        <v>42</v>
      </c>
      <c r="B2025">
        <v>241</v>
      </c>
      <c r="C2025" t="s">
        <v>1028</v>
      </c>
      <c r="D2025" t="s">
        <v>5326</v>
      </c>
      <c r="E2025" t="s">
        <v>1010</v>
      </c>
      <c r="F2025" t="s">
        <v>3218</v>
      </c>
      <c r="G2025" t="s">
        <v>24</v>
      </c>
      <c r="H2025" t="s">
        <v>26</v>
      </c>
      <c r="I2025" t="s">
        <v>3167</v>
      </c>
      <c r="J2025" t="s">
        <v>1026</v>
      </c>
      <c r="K2025" t="s">
        <v>3185</v>
      </c>
      <c r="L2025" t="s">
        <v>1026</v>
      </c>
      <c r="M2025" t="s">
        <v>1000</v>
      </c>
      <c r="N2025" t="s">
        <v>1025</v>
      </c>
      <c r="O2025" t="s">
        <v>1025</v>
      </c>
      <c r="P2025" t="s">
        <v>1746</v>
      </c>
      <c r="Q2025" t="s">
        <v>3771</v>
      </c>
      <c r="R2025" t="s">
        <v>446</v>
      </c>
      <c r="S2025" t="s">
        <v>446</v>
      </c>
      <c r="T2025" t="s">
        <v>1965</v>
      </c>
      <c r="U2025" t="b">
        <v>0</v>
      </c>
      <c r="V2025" t="s">
        <v>446</v>
      </c>
    </row>
    <row r="2026" spans="1:22" x14ac:dyDescent="0.25">
      <c r="A2026" t="s">
        <v>42</v>
      </c>
      <c r="B2026">
        <v>241</v>
      </c>
      <c r="C2026" t="s">
        <v>1030</v>
      </c>
      <c r="D2026" t="s">
        <v>1811</v>
      </c>
      <c r="E2026" t="s">
        <v>1029</v>
      </c>
      <c r="G2026" t="s">
        <v>24</v>
      </c>
      <c r="H2026" t="s">
        <v>26</v>
      </c>
      <c r="I2026" t="s">
        <v>3167</v>
      </c>
      <c r="J2026" t="s">
        <v>1033</v>
      </c>
      <c r="K2026" t="s">
        <v>3189</v>
      </c>
      <c r="L2026" t="s">
        <v>1033</v>
      </c>
      <c r="M2026" t="s">
        <v>980</v>
      </c>
      <c r="N2026" t="s">
        <v>1031</v>
      </c>
      <c r="O2026" t="s">
        <v>1031</v>
      </c>
      <c r="P2026" t="s">
        <v>1746</v>
      </c>
      <c r="Q2026" t="s">
        <v>3771</v>
      </c>
      <c r="R2026" t="s">
        <v>446</v>
      </c>
      <c r="S2026" t="s">
        <v>446</v>
      </c>
      <c r="T2026" t="s">
        <v>3216</v>
      </c>
      <c r="U2026" t="b">
        <v>0</v>
      </c>
      <c r="V2026" t="s">
        <v>1094</v>
      </c>
    </row>
    <row r="2027" spans="1:22" x14ac:dyDescent="0.25">
      <c r="A2027" t="s">
        <v>42</v>
      </c>
      <c r="B2027">
        <v>241</v>
      </c>
      <c r="C2027" t="s">
        <v>1036</v>
      </c>
      <c r="D2027" t="s">
        <v>1813</v>
      </c>
      <c r="E2027" t="s">
        <v>1035</v>
      </c>
      <c r="G2027" t="s">
        <v>24</v>
      </c>
      <c r="H2027" t="s">
        <v>26</v>
      </c>
      <c r="I2027" t="s">
        <v>3167</v>
      </c>
      <c r="J2027" t="s">
        <v>1038</v>
      </c>
      <c r="K2027" t="s">
        <v>3191</v>
      </c>
      <c r="L2027" t="s">
        <v>1038</v>
      </c>
      <c r="M2027" t="s">
        <v>980</v>
      </c>
      <c r="N2027" t="s">
        <v>1037</v>
      </c>
      <c r="O2027" t="s">
        <v>1037</v>
      </c>
      <c r="P2027" t="s">
        <v>1746</v>
      </c>
      <c r="Q2027" t="s">
        <v>3771</v>
      </c>
      <c r="R2027" t="s">
        <v>446</v>
      </c>
      <c r="S2027" t="s">
        <v>446</v>
      </c>
      <c r="T2027" t="s">
        <v>3216</v>
      </c>
      <c r="U2027" t="b">
        <v>0</v>
      </c>
      <c r="V2027" t="s">
        <v>1094</v>
      </c>
    </row>
    <row r="2028" spans="1:22" x14ac:dyDescent="0.25">
      <c r="A2028" t="s">
        <v>42</v>
      </c>
      <c r="B2028">
        <v>241</v>
      </c>
      <c r="C2028" t="s">
        <v>1041</v>
      </c>
      <c r="D2028" t="s">
        <v>1814</v>
      </c>
      <c r="E2028" t="s">
        <v>1040</v>
      </c>
      <c r="G2028" t="s">
        <v>24</v>
      </c>
      <c r="H2028" t="s">
        <v>26</v>
      </c>
      <c r="I2028" t="s">
        <v>3167</v>
      </c>
      <c r="J2028" t="s">
        <v>1043</v>
      </c>
      <c r="K2028" t="s">
        <v>3193</v>
      </c>
      <c r="L2028" t="s">
        <v>1043</v>
      </c>
      <c r="M2028" t="s">
        <v>980</v>
      </c>
      <c r="N2028" t="s">
        <v>1042</v>
      </c>
      <c r="O2028" t="s">
        <v>1042</v>
      </c>
      <c r="P2028" t="s">
        <v>1746</v>
      </c>
      <c r="Q2028" t="s">
        <v>3771</v>
      </c>
      <c r="R2028" t="s">
        <v>446</v>
      </c>
      <c r="S2028" t="s">
        <v>446</v>
      </c>
      <c r="T2028" t="s">
        <v>3216</v>
      </c>
      <c r="U2028" t="b">
        <v>0</v>
      </c>
      <c r="V2028" t="s">
        <v>1094</v>
      </c>
    </row>
    <row r="2029" spans="1:22" x14ac:dyDescent="0.25">
      <c r="A2029" t="s">
        <v>42</v>
      </c>
      <c r="B2029">
        <v>241</v>
      </c>
      <c r="C2029" t="s">
        <v>1046</v>
      </c>
      <c r="D2029" t="s">
        <v>5327</v>
      </c>
      <c r="E2029" t="s">
        <v>1045</v>
      </c>
      <c r="F2029" t="s">
        <v>5328</v>
      </c>
      <c r="G2029" t="s">
        <v>24</v>
      </c>
      <c r="H2029" t="s">
        <v>26</v>
      </c>
      <c r="I2029" t="s">
        <v>3167</v>
      </c>
      <c r="J2029" t="s">
        <v>1048</v>
      </c>
      <c r="K2029" t="s">
        <v>3195</v>
      </c>
      <c r="L2029" t="s">
        <v>1048</v>
      </c>
      <c r="M2029" t="s">
        <v>1000</v>
      </c>
      <c r="N2029" t="s">
        <v>1047</v>
      </c>
      <c r="O2029" t="s">
        <v>1047</v>
      </c>
      <c r="P2029" t="s">
        <v>1746</v>
      </c>
      <c r="Q2029" t="s">
        <v>3771</v>
      </c>
      <c r="R2029" t="s">
        <v>446</v>
      </c>
      <c r="S2029" t="s">
        <v>446</v>
      </c>
      <c r="T2029" t="s">
        <v>1965</v>
      </c>
      <c r="U2029" t="b">
        <v>0</v>
      </c>
      <c r="V2029" t="s">
        <v>446</v>
      </c>
    </row>
    <row r="2030" spans="1:22" x14ac:dyDescent="0.25">
      <c r="A2030" t="s">
        <v>42</v>
      </c>
      <c r="B2030">
        <v>241</v>
      </c>
      <c r="C2030" t="s">
        <v>1050</v>
      </c>
      <c r="D2030" t="s">
        <v>5329</v>
      </c>
      <c r="E2030" t="s">
        <v>1032</v>
      </c>
      <c r="F2030" t="s">
        <v>5328</v>
      </c>
      <c r="G2030" t="s">
        <v>24</v>
      </c>
      <c r="H2030" t="s">
        <v>26</v>
      </c>
      <c r="I2030" t="s">
        <v>3167</v>
      </c>
      <c r="J2030" t="s">
        <v>1048</v>
      </c>
      <c r="K2030" t="s">
        <v>3195</v>
      </c>
      <c r="L2030" t="s">
        <v>1048</v>
      </c>
      <c r="M2030" t="s">
        <v>1000</v>
      </c>
      <c r="N2030" t="s">
        <v>1047</v>
      </c>
      <c r="O2030" t="s">
        <v>1047</v>
      </c>
      <c r="P2030" t="s">
        <v>1746</v>
      </c>
      <c r="Q2030" t="s">
        <v>3771</v>
      </c>
      <c r="R2030" t="s">
        <v>446</v>
      </c>
      <c r="S2030" t="s">
        <v>446</v>
      </c>
      <c r="T2030" t="s">
        <v>1965</v>
      </c>
      <c r="U2030" t="b">
        <v>0</v>
      </c>
      <c r="V2030" t="s">
        <v>446</v>
      </c>
    </row>
    <row r="2031" spans="1:22" x14ac:dyDescent="0.25">
      <c r="A2031" t="s">
        <v>42</v>
      </c>
      <c r="B2031">
        <v>241</v>
      </c>
      <c r="C2031" t="s">
        <v>1052</v>
      </c>
      <c r="D2031" t="s">
        <v>1816</v>
      </c>
      <c r="E2031" t="s">
        <v>1051</v>
      </c>
      <c r="G2031" t="s">
        <v>24</v>
      </c>
      <c r="H2031" t="s">
        <v>26</v>
      </c>
      <c r="I2031" t="s">
        <v>3167</v>
      </c>
      <c r="J2031" t="s">
        <v>1055</v>
      </c>
      <c r="K2031" t="s">
        <v>3199</v>
      </c>
      <c r="L2031" t="s">
        <v>1055</v>
      </c>
      <c r="M2031" t="s">
        <v>980</v>
      </c>
      <c r="N2031" t="s">
        <v>1053</v>
      </c>
      <c r="O2031" t="s">
        <v>1053</v>
      </c>
      <c r="P2031" t="s">
        <v>1746</v>
      </c>
      <c r="Q2031" t="s">
        <v>3771</v>
      </c>
      <c r="R2031" t="s">
        <v>446</v>
      </c>
      <c r="S2031" t="s">
        <v>446</v>
      </c>
      <c r="T2031" t="s">
        <v>3216</v>
      </c>
      <c r="U2031" t="b">
        <v>0</v>
      </c>
      <c r="V2031" t="s">
        <v>1094</v>
      </c>
    </row>
    <row r="2032" spans="1:22" x14ac:dyDescent="0.25">
      <c r="A2032" t="s">
        <v>42</v>
      </c>
      <c r="B2032">
        <v>245</v>
      </c>
      <c r="C2032" t="s">
        <v>979</v>
      </c>
      <c r="D2032" t="s">
        <v>1818</v>
      </c>
      <c r="E2032" t="s">
        <v>978</v>
      </c>
      <c r="G2032" t="s">
        <v>24</v>
      </c>
      <c r="H2032" t="s">
        <v>26</v>
      </c>
      <c r="I2032" t="s">
        <v>3167</v>
      </c>
      <c r="J2032" t="s">
        <v>984</v>
      </c>
      <c r="K2032" t="s">
        <v>3168</v>
      </c>
      <c r="L2032" t="s">
        <v>984</v>
      </c>
      <c r="M2032" t="s">
        <v>980</v>
      </c>
      <c r="N2032" t="s">
        <v>981</v>
      </c>
      <c r="O2032" t="s">
        <v>981</v>
      </c>
      <c r="P2032" t="s">
        <v>1746</v>
      </c>
      <c r="Q2032" t="s">
        <v>3771</v>
      </c>
      <c r="R2032" t="s">
        <v>446</v>
      </c>
      <c r="S2032" t="s">
        <v>446</v>
      </c>
      <c r="T2032" t="s">
        <v>3216</v>
      </c>
      <c r="U2032" t="b">
        <v>0</v>
      </c>
      <c r="V2032" t="s">
        <v>1094</v>
      </c>
    </row>
    <row r="2033" spans="1:22" x14ac:dyDescent="0.25">
      <c r="A2033" t="s">
        <v>42</v>
      </c>
      <c r="B2033">
        <v>245</v>
      </c>
      <c r="C2033" t="s">
        <v>987</v>
      </c>
      <c r="D2033" t="s">
        <v>1819</v>
      </c>
      <c r="E2033" t="s">
        <v>986</v>
      </c>
      <c r="G2033" t="s">
        <v>24</v>
      </c>
      <c r="H2033" t="s">
        <v>26</v>
      </c>
      <c r="I2033" t="s">
        <v>3167</v>
      </c>
      <c r="J2033" t="s">
        <v>990</v>
      </c>
      <c r="K2033" t="s">
        <v>3171</v>
      </c>
      <c r="L2033" t="s">
        <v>990</v>
      </c>
      <c r="M2033" t="s">
        <v>980</v>
      </c>
      <c r="N2033" t="s">
        <v>988</v>
      </c>
      <c r="O2033" t="s">
        <v>988</v>
      </c>
      <c r="P2033" t="s">
        <v>1746</v>
      </c>
      <c r="Q2033" t="s">
        <v>3771</v>
      </c>
      <c r="R2033" t="s">
        <v>446</v>
      </c>
      <c r="S2033" t="s">
        <v>446</v>
      </c>
      <c r="T2033" t="s">
        <v>3216</v>
      </c>
      <c r="U2033" t="b">
        <v>0</v>
      </c>
      <c r="V2033" t="s">
        <v>1094</v>
      </c>
    </row>
    <row r="2034" spans="1:22" x14ac:dyDescent="0.25">
      <c r="A2034" t="s">
        <v>42</v>
      </c>
      <c r="B2034">
        <v>245</v>
      </c>
      <c r="C2034" t="s">
        <v>993</v>
      </c>
      <c r="D2034" t="s">
        <v>1820</v>
      </c>
      <c r="E2034" t="s">
        <v>992</v>
      </c>
      <c r="G2034" t="s">
        <v>24</v>
      </c>
      <c r="H2034" t="s">
        <v>26</v>
      </c>
      <c r="I2034" t="s">
        <v>3167</v>
      </c>
      <c r="J2034" t="s">
        <v>996</v>
      </c>
      <c r="K2034" t="s">
        <v>3173</v>
      </c>
      <c r="L2034" t="s">
        <v>996</v>
      </c>
      <c r="M2034" t="s">
        <v>980</v>
      </c>
      <c r="N2034" t="s">
        <v>994</v>
      </c>
      <c r="O2034" t="s">
        <v>994</v>
      </c>
      <c r="P2034" t="s">
        <v>1746</v>
      </c>
      <c r="Q2034" t="s">
        <v>3771</v>
      </c>
      <c r="R2034" t="s">
        <v>446</v>
      </c>
      <c r="S2034" t="s">
        <v>446</v>
      </c>
      <c r="T2034" t="s">
        <v>3216</v>
      </c>
      <c r="U2034" t="b">
        <v>0</v>
      </c>
      <c r="V2034" t="s">
        <v>1094</v>
      </c>
    </row>
    <row r="2035" spans="1:22" x14ac:dyDescent="0.25">
      <c r="A2035" t="s">
        <v>42</v>
      </c>
      <c r="B2035">
        <v>245</v>
      </c>
      <c r="C2035" t="s">
        <v>999</v>
      </c>
      <c r="D2035" t="s">
        <v>1821</v>
      </c>
      <c r="E2035" t="s">
        <v>998</v>
      </c>
      <c r="G2035" t="s">
        <v>24</v>
      </c>
      <c r="H2035" t="s">
        <v>26</v>
      </c>
      <c r="I2035" t="s">
        <v>3167</v>
      </c>
      <c r="J2035" t="s">
        <v>1003</v>
      </c>
      <c r="K2035" t="s">
        <v>3175</v>
      </c>
      <c r="L2035" t="s">
        <v>1003</v>
      </c>
      <c r="M2035" t="s">
        <v>1000</v>
      </c>
      <c r="N2035" t="s">
        <v>1001</v>
      </c>
      <c r="O2035" t="s">
        <v>1001</v>
      </c>
      <c r="P2035" t="s">
        <v>1746</v>
      </c>
      <c r="Q2035" t="s">
        <v>3771</v>
      </c>
      <c r="R2035" t="s">
        <v>446</v>
      </c>
      <c r="S2035" t="s">
        <v>446</v>
      </c>
      <c r="T2035" t="s">
        <v>3216</v>
      </c>
      <c r="U2035" t="b">
        <v>0</v>
      </c>
      <c r="V2035" t="s">
        <v>1094</v>
      </c>
    </row>
    <row r="2036" spans="1:22" x14ac:dyDescent="0.25">
      <c r="A2036" t="s">
        <v>42</v>
      </c>
      <c r="B2036">
        <v>245</v>
      </c>
      <c r="C2036" t="s">
        <v>1005</v>
      </c>
      <c r="D2036" t="s">
        <v>5330</v>
      </c>
      <c r="E2036" t="s">
        <v>982</v>
      </c>
      <c r="F2036" t="s">
        <v>3218</v>
      </c>
      <c r="G2036" t="s">
        <v>24</v>
      </c>
      <c r="H2036" t="s">
        <v>26</v>
      </c>
      <c r="I2036" t="s">
        <v>3167</v>
      </c>
      <c r="J2036" t="s">
        <v>1003</v>
      </c>
      <c r="K2036" t="s">
        <v>3175</v>
      </c>
      <c r="L2036" t="s">
        <v>1003</v>
      </c>
      <c r="M2036" t="s">
        <v>1000</v>
      </c>
      <c r="N2036" t="s">
        <v>1001</v>
      </c>
      <c r="O2036" t="s">
        <v>1001</v>
      </c>
      <c r="P2036" t="s">
        <v>1746</v>
      </c>
      <c r="Q2036" t="s">
        <v>3771</v>
      </c>
      <c r="R2036" t="s">
        <v>446</v>
      </c>
      <c r="S2036" t="s">
        <v>446</v>
      </c>
      <c r="T2036" t="s">
        <v>1965</v>
      </c>
      <c r="U2036" t="b">
        <v>0</v>
      </c>
      <c r="V2036" t="s">
        <v>446</v>
      </c>
    </row>
    <row r="2037" spans="1:22" x14ac:dyDescent="0.25">
      <c r="A2037" t="s">
        <v>42</v>
      </c>
      <c r="B2037">
        <v>245</v>
      </c>
      <c r="C2037" t="s">
        <v>1007</v>
      </c>
      <c r="D2037" t="s">
        <v>1822</v>
      </c>
      <c r="E2037" t="s">
        <v>1006</v>
      </c>
      <c r="G2037" t="s">
        <v>24</v>
      </c>
      <c r="H2037" t="s">
        <v>26</v>
      </c>
      <c r="I2037" t="s">
        <v>3167</v>
      </c>
      <c r="J2037" t="s">
        <v>1011</v>
      </c>
      <c r="K2037" t="s">
        <v>3179</v>
      </c>
      <c r="L2037" t="s">
        <v>1011</v>
      </c>
      <c r="M2037" t="s">
        <v>1008</v>
      </c>
      <c r="N2037" t="s">
        <v>1009</v>
      </c>
      <c r="O2037" t="s">
        <v>1009</v>
      </c>
      <c r="P2037" t="s">
        <v>1746</v>
      </c>
      <c r="Q2037" t="s">
        <v>3771</v>
      </c>
      <c r="R2037" t="s">
        <v>446</v>
      </c>
      <c r="S2037" t="s">
        <v>446</v>
      </c>
      <c r="T2037" t="s">
        <v>3216</v>
      </c>
      <c r="U2037" t="b">
        <v>0</v>
      </c>
      <c r="V2037" t="s">
        <v>1094</v>
      </c>
    </row>
    <row r="2038" spans="1:22" x14ac:dyDescent="0.25">
      <c r="A2038" t="s">
        <v>42</v>
      </c>
      <c r="B2038">
        <v>245</v>
      </c>
      <c r="C2038" t="s">
        <v>1014</v>
      </c>
      <c r="D2038" t="s">
        <v>1823</v>
      </c>
      <c r="E2038" t="s">
        <v>1013</v>
      </c>
      <c r="G2038" t="s">
        <v>24</v>
      </c>
      <c r="H2038" t="s">
        <v>26</v>
      </c>
      <c r="I2038" t="s">
        <v>3167</v>
      </c>
      <c r="J2038" t="s">
        <v>1016</v>
      </c>
      <c r="K2038" t="s">
        <v>3181</v>
      </c>
      <c r="L2038" t="s">
        <v>1016</v>
      </c>
      <c r="M2038" t="s">
        <v>980</v>
      </c>
      <c r="N2038" t="s">
        <v>1015</v>
      </c>
      <c r="O2038" t="s">
        <v>1015</v>
      </c>
      <c r="P2038" t="s">
        <v>1746</v>
      </c>
      <c r="Q2038" t="s">
        <v>3771</v>
      </c>
      <c r="R2038" t="s">
        <v>446</v>
      </c>
      <c r="S2038" t="s">
        <v>446</v>
      </c>
      <c r="T2038" t="s">
        <v>3216</v>
      </c>
      <c r="U2038" t="b">
        <v>0</v>
      </c>
      <c r="V2038" t="s">
        <v>1094</v>
      </c>
    </row>
    <row r="2039" spans="1:22" x14ac:dyDescent="0.25">
      <c r="A2039" t="s">
        <v>42</v>
      </c>
      <c r="B2039">
        <v>245</v>
      </c>
      <c r="C2039" t="s">
        <v>1019</v>
      </c>
      <c r="D2039" t="s">
        <v>1824</v>
      </c>
      <c r="E2039" t="s">
        <v>1018</v>
      </c>
      <c r="G2039" t="s">
        <v>24</v>
      </c>
      <c r="H2039" t="s">
        <v>26</v>
      </c>
      <c r="I2039" t="s">
        <v>3167</v>
      </c>
      <c r="J2039" t="s">
        <v>1021</v>
      </c>
      <c r="K2039" t="s">
        <v>3183</v>
      </c>
      <c r="L2039" t="s">
        <v>1021</v>
      </c>
      <c r="M2039" t="s">
        <v>980</v>
      </c>
      <c r="N2039" t="s">
        <v>1020</v>
      </c>
      <c r="O2039" t="s">
        <v>1020</v>
      </c>
      <c r="P2039" t="s">
        <v>1746</v>
      </c>
      <c r="Q2039" t="s">
        <v>3771</v>
      </c>
      <c r="R2039" t="s">
        <v>446</v>
      </c>
      <c r="S2039" t="s">
        <v>446</v>
      </c>
      <c r="T2039" t="s">
        <v>3216</v>
      </c>
      <c r="U2039" t="b">
        <v>0</v>
      </c>
      <c r="V2039" t="s">
        <v>1094</v>
      </c>
    </row>
    <row r="2040" spans="1:22" x14ac:dyDescent="0.25">
      <c r="A2040" t="s">
        <v>42</v>
      </c>
      <c r="B2040">
        <v>245</v>
      </c>
      <c r="C2040" t="s">
        <v>1024</v>
      </c>
      <c r="D2040" t="s">
        <v>1825</v>
      </c>
      <c r="E2040" t="s">
        <v>1023</v>
      </c>
      <c r="G2040" t="s">
        <v>24</v>
      </c>
      <c r="H2040" t="s">
        <v>26</v>
      </c>
      <c r="I2040" t="s">
        <v>3167</v>
      </c>
      <c r="J2040" t="s">
        <v>1026</v>
      </c>
      <c r="K2040" t="s">
        <v>3185</v>
      </c>
      <c r="L2040" t="s">
        <v>1026</v>
      </c>
      <c r="M2040" t="s">
        <v>1000</v>
      </c>
      <c r="N2040" t="s">
        <v>1025</v>
      </c>
      <c r="O2040" t="s">
        <v>1025</v>
      </c>
      <c r="P2040" t="s">
        <v>1746</v>
      </c>
      <c r="Q2040" t="s">
        <v>3771</v>
      </c>
      <c r="R2040" t="s">
        <v>446</v>
      </c>
      <c r="S2040" t="s">
        <v>446</v>
      </c>
      <c r="T2040" t="s">
        <v>3216</v>
      </c>
      <c r="U2040" t="b">
        <v>0</v>
      </c>
      <c r="V2040" t="s">
        <v>1094</v>
      </c>
    </row>
    <row r="2041" spans="1:22" x14ac:dyDescent="0.25">
      <c r="A2041" t="s">
        <v>42</v>
      </c>
      <c r="B2041">
        <v>245</v>
      </c>
      <c r="C2041" t="s">
        <v>1028</v>
      </c>
      <c r="D2041" t="s">
        <v>5331</v>
      </c>
      <c r="E2041" t="s">
        <v>1010</v>
      </c>
      <c r="F2041" t="s">
        <v>3218</v>
      </c>
      <c r="G2041" t="s">
        <v>24</v>
      </c>
      <c r="H2041" t="s">
        <v>26</v>
      </c>
      <c r="I2041" t="s">
        <v>3167</v>
      </c>
      <c r="J2041" t="s">
        <v>1026</v>
      </c>
      <c r="K2041" t="s">
        <v>3185</v>
      </c>
      <c r="L2041" t="s">
        <v>1026</v>
      </c>
      <c r="M2041" t="s">
        <v>1000</v>
      </c>
      <c r="N2041" t="s">
        <v>1025</v>
      </c>
      <c r="O2041" t="s">
        <v>1025</v>
      </c>
      <c r="P2041" t="s">
        <v>1746</v>
      </c>
      <c r="Q2041" t="s">
        <v>3771</v>
      </c>
      <c r="R2041" t="s">
        <v>446</v>
      </c>
      <c r="S2041" t="s">
        <v>446</v>
      </c>
      <c r="T2041" t="s">
        <v>1965</v>
      </c>
      <c r="U2041" t="b">
        <v>0</v>
      </c>
      <c r="V2041" t="s">
        <v>446</v>
      </c>
    </row>
    <row r="2042" spans="1:22" x14ac:dyDescent="0.25">
      <c r="A2042" t="s">
        <v>42</v>
      </c>
      <c r="B2042">
        <v>245</v>
      </c>
      <c r="C2042" t="s">
        <v>1030</v>
      </c>
      <c r="D2042" t="s">
        <v>1826</v>
      </c>
      <c r="E2042" t="s">
        <v>1029</v>
      </c>
      <c r="G2042" t="s">
        <v>24</v>
      </c>
      <c r="H2042" t="s">
        <v>26</v>
      </c>
      <c r="I2042" t="s">
        <v>3167</v>
      </c>
      <c r="J2042" t="s">
        <v>1033</v>
      </c>
      <c r="K2042" t="s">
        <v>3189</v>
      </c>
      <c r="L2042" t="s">
        <v>1033</v>
      </c>
      <c r="M2042" t="s">
        <v>980</v>
      </c>
      <c r="N2042" t="s">
        <v>1031</v>
      </c>
      <c r="O2042" t="s">
        <v>1031</v>
      </c>
      <c r="P2042" t="s">
        <v>1746</v>
      </c>
      <c r="Q2042" t="s">
        <v>3771</v>
      </c>
      <c r="R2042" t="s">
        <v>446</v>
      </c>
      <c r="S2042" t="s">
        <v>446</v>
      </c>
      <c r="T2042" t="s">
        <v>3216</v>
      </c>
      <c r="U2042" t="b">
        <v>0</v>
      </c>
      <c r="V2042" t="s">
        <v>1094</v>
      </c>
    </row>
    <row r="2043" spans="1:22" x14ac:dyDescent="0.25">
      <c r="A2043" t="s">
        <v>42</v>
      </c>
      <c r="B2043">
        <v>245</v>
      </c>
      <c r="C2043" t="s">
        <v>1036</v>
      </c>
      <c r="D2043" t="s">
        <v>1827</v>
      </c>
      <c r="E2043" t="s">
        <v>1035</v>
      </c>
      <c r="G2043" t="s">
        <v>24</v>
      </c>
      <c r="H2043" t="s">
        <v>26</v>
      </c>
      <c r="I2043" t="s">
        <v>3167</v>
      </c>
      <c r="J2043" t="s">
        <v>1038</v>
      </c>
      <c r="K2043" t="s">
        <v>3191</v>
      </c>
      <c r="L2043" t="s">
        <v>1038</v>
      </c>
      <c r="M2043" t="s">
        <v>980</v>
      </c>
      <c r="N2043" t="s">
        <v>1037</v>
      </c>
      <c r="O2043" t="s">
        <v>1037</v>
      </c>
      <c r="P2043" t="s">
        <v>1746</v>
      </c>
      <c r="Q2043" t="s">
        <v>3771</v>
      </c>
      <c r="R2043" t="s">
        <v>446</v>
      </c>
      <c r="S2043" t="s">
        <v>446</v>
      </c>
      <c r="T2043" t="s">
        <v>3216</v>
      </c>
      <c r="U2043" t="b">
        <v>0</v>
      </c>
      <c r="V2043" t="s">
        <v>1094</v>
      </c>
    </row>
    <row r="2044" spans="1:22" x14ac:dyDescent="0.25">
      <c r="A2044" t="s">
        <v>42</v>
      </c>
      <c r="B2044">
        <v>245</v>
      </c>
      <c r="C2044" t="s">
        <v>1041</v>
      </c>
      <c r="D2044" t="s">
        <v>1828</v>
      </c>
      <c r="E2044" t="s">
        <v>1040</v>
      </c>
      <c r="G2044" t="s">
        <v>24</v>
      </c>
      <c r="H2044" t="s">
        <v>26</v>
      </c>
      <c r="I2044" t="s">
        <v>3167</v>
      </c>
      <c r="J2044" t="s">
        <v>1043</v>
      </c>
      <c r="K2044" t="s">
        <v>3193</v>
      </c>
      <c r="L2044" t="s">
        <v>1043</v>
      </c>
      <c r="M2044" t="s">
        <v>980</v>
      </c>
      <c r="N2044" t="s">
        <v>1042</v>
      </c>
      <c r="O2044" t="s">
        <v>1042</v>
      </c>
      <c r="P2044" t="s">
        <v>1746</v>
      </c>
      <c r="Q2044" t="s">
        <v>3771</v>
      </c>
      <c r="R2044" t="s">
        <v>446</v>
      </c>
      <c r="S2044" t="s">
        <v>446</v>
      </c>
      <c r="T2044" t="s">
        <v>3216</v>
      </c>
      <c r="U2044" t="b">
        <v>0</v>
      </c>
      <c r="V2044" t="s">
        <v>1094</v>
      </c>
    </row>
    <row r="2045" spans="1:22" x14ac:dyDescent="0.25">
      <c r="A2045" t="s">
        <v>42</v>
      </c>
      <c r="B2045">
        <v>245</v>
      </c>
      <c r="C2045" t="s">
        <v>1046</v>
      </c>
      <c r="D2045" t="s">
        <v>1829</v>
      </c>
      <c r="E2045" t="s">
        <v>1045</v>
      </c>
      <c r="G2045" t="s">
        <v>24</v>
      </c>
      <c r="H2045" t="s">
        <v>26</v>
      </c>
      <c r="I2045" t="s">
        <v>3167</v>
      </c>
      <c r="J2045" t="s">
        <v>1048</v>
      </c>
      <c r="K2045" t="s">
        <v>3195</v>
      </c>
      <c r="L2045" t="s">
        <v>1048</v>
      </c>
      <c r="M2045" t="s">
        <v>1000</v>
      </c>
      <c r="N2045" t="s">
        <v>1047</v>
      </c>
      <c r="O2045" t="s">
        <v>1047</v>
      </c>
      <c r="P2045" t="s">
        <v>1746</v>
      </c>
      <c r="Q2045" t="s">
        <v>3771</v>
      </c>
      <c r="R2045" t="s">
        <v>446</v>
      </c>
      <c r="S2045" t="s">
        <v>446</v>
      </c>
      <c r="T2045" t="s">
        <v>3216</v>
      </c>
      <c r="U2045" t="b">
        <v>0</v>
      </c>
      <c r="V2045" t="s">
        <v>1094</v>
      </c>
    </row>
    <row r="2046" spans="1:22" x14ac:dyDescent="0.25">
      <c r="A2046" t="s">
        <v>42</v>
      </c>
      <c r="B2046">
        <v>245</v>
      </c>
      <c r="C2046" t="s">
        <v>1050</v>
      </c>
      <c r="D2046" t="s">
        <v>5332</v>
      </c>
      <c r="E2046" t="s">
        <v>1032</v>
      </c>
      <c r="F2046" t="s">
        <v>3218</v>
      </c>
      <c r="G2046" t="s">
        <v>24</v>
      </c>
      <c r="H2046" t="s">
        <v>26</v>
      </c>
      <c r="I2046" t="s">
        <v>3167</v>
      </c>
      <c r="J2046" t="s">
        <v>1048</v>
      </c>
      <c r="K2046" t="s">
        <v>3195</v>
      </c>
      <c r="L2046" t="s">
        <v>1048</v>
      </c>
      <c r="M2046" t="s">
        <v>1000</v>
      </c>
      <c r="N2046" t="s">
        <v>1047</v>
      </c>
      <c r="O2046" t="s">
        <v>1047</v>
      </c>
      <c r="P2046" t="s">
        <v>1746</v>
      </c>
      <c r="Q2046" t="s">
        <v>3771</v>
      </c>
      <c r="R2046" t="s">
        <v>446</v>
      </c>
      <c r="S2046" t="s">
        <v>446</v>
      </c>
      <c r="T2046" t="s">
        <v>1965</v>
      </c>
      <c r="U2046" t="b">
        <v>0</v>
      </c>
      <c r="V2046" t="s">
        <v>446</v>
      </c>
    </row>
    <row r="2047" spans="1:22" x14ac:dyDescent="0.25">
      <c r="A2047" t="s">
        <v>42</v>
      </c>
      <c r="B2047">
        <v>245</v>
      </c>
      <c r="C2047" t="s">
        <v>1052</v>
      </c>
      <c r="D2047" t="s">
        <v>1830</v>
      </c>
      <c r="E2047" t="s">
        <v>1051</v>
      </c>
      <c r="G2047" t="s">
        <v>24</v>
      </c>
      <c r="H2047" t="s">
        <v>26</v>
      </c>
      <c r="I2047" t="s">
        <v>3167</v>
      </c>
      <c r="J2047" t="s">
        <v>1055</v>
      </c>
      <c r="K2047" t="s">
        <v>3199</v>
      </c>
      <c r="L2047" t="s">
        <v>1055</v>
      </c>
      <c r="M2047" t="s">
        <v>980</v>
      </c>
      <c r="N2047" t="s">
        <v>1053</v>
      </c>
      <c r="O2047" t="s">
        <v>1053</v>
      </c>
      <c r="P2047" t="s">
        <v>1746</v>
      </c>
      <c r="Q2047" t="s">
        <v>3771</v>
      </c>
      <c r="R2047" t="s">
        <v>446</v>
      </c>
      <c r="S2047" t="s">
        <v>446</v>
      </c>
      <c r="T2047" t="s">
        <v>3216</v>
      </c>
      <c r="U2047" t="b">
        <v>0</v>
      </c>
      <c r="V2047" t="s">
        <v>1094</v>
      </c>
    </row>
    <row r="2048" spans="1:22" x14ac:dyDescent="0.25">
      <c r="A2048" t="s">
        <v>42</v>
      </c>
      <c r="B2048">
        <v>246</v>
      </c>
      <c r="C2048" t="s">
        <v>987</v>
      </c>
      <c r="D2048" t="s">
        <v>2601</v>
      </c>
      <c r="E2048" t="s">
        <v>986</v>
      </c>
      <c r="F2048" t="s">
        <v>5333</v>
      </c>
      <c r="G2048" t="s">
        <v>24</v>
      </c>
      <c r="H2048" t="s">
        <v>26</v>
      </c>
      <c r="I2048" t="s">
        <v>3167</v>
      </c>
      <c r="J2048" t="s">
        <v>990</v>
      </c>
      <c r="K2048" t="s">
        <v>3171</v>
      </c>
      <c r="L2048" t="s">
        <v>990</v>
      </c>
      <c r="M2048" t="s">
        <v>980</v>
      </c>
      <c r="N2048" t="s">
        <v>988</v>
      </c>
      <c r="O2048" t="s">
        <v>988</v>
      </c>
      <c r="P2048" t="s">
        <v>1746</v>
      </c>
      <c r="Q2048" t="s">
        <v>3771</v>
      </c>
      <c r="R2048" t="s">
        <v>446</v>
      </c>
      <c r="S2048" t="s">
        <v>2602</v>
      </c>
      <c r="T2048" t="s">
        <v>1965</v>
      </c>
      <c r="U2048" t="b">
        <v>0</v>
      </c>
      <c r="V2048" t="s">
        <v>1962</v>
      </c>
    </row>
    <row r="2049" spans="1:22" x14ac:dyDescent="0.25">
      <c r="A2049" t="s">
        <v>42</v>
      </c>
      <c r="B2049">
        <v>246</v>
      </c>
      <c r="C2049" t="s">
        <v>993</v>
      </c>
      <c r="D2049" t="s">
        <v>2603</v>
      </c>
      <c r="E2049" t="s">
        <v>992</v>
      </c>
      <c r="F2049" t="s">
        <v>5334</v>
      </c>
      <c r="G2049" t="s">
        <v>24</v>
      </c>
      <c r="H2049" t="s">
        <v>26</v>
      </c>
      <c r="I2049" t="s">
        <v>3167</v>
      </c>
      <c r="J2049" t="s">
        <v>996</v>
      </c>
      <c r="K2049" t="s">
        <v>3173</v>
      </c>
      <c r="L2049" t="s">
        <v>996</v>
      </c>
      <c r="M2049" t="s">
        <v>980</v>
      </c>
      <c r="N2049" t="s">
        <v>994</v>
      </c>
      <c r="O2049" t="s">
        <v>994</v>
      </c>
      <c r="P2049" t="s">
        <v>1746</v>
      </c>
      <c r="Q2049" t="s">
        <v>3771</v>
      </c>
      <c r="R2049" t="s">
        <v>446</v>
      </c>
      <c r="S2049" t="s">
        <v>2602</v>
      </c>
      <c r="T2049" t="s">
        <v>1965</v>
      </c>
      <c r="U2049" t="b">
        <v>0</v>
      </c>
      <c r="V2049" t="s">
        <v>1962</v>
      </c>
    </row>
    <row r="2050" spans="1:22" x14ac:dyDescent="0.25">
      <c r="A2050" t="s">
        <v>42</v>
      </c>
      <c r="B2050">
        <v>246</v>
      </c>
      <c r="C2050" t="s">
        <v>1005</v>
      </c>
      <c r="D2050" t="s">
        <v>5335</v>
      </c>
      <c r="E2050" t="s">
        <v>982</v>
      </c>
      <c r="F2050" t="s">
        <v>5336</v>
      </c>
      <c r="G2050" t="s">
        <v>24</v>
      </c>
      <c r="H2050" t="s">
        <v>26</v>
      </c>
      <c r="I2050" t="s">
        <v>3167</v>
      </c>
      <c r="J2050" t="s">
        <v>1003</v>
      </c>
      <c r="K2050" t="s">
        <v>3175</v>
      </c>
      <c r="L2050" t="s">
        <v>1003</v>
      </c>
      <c r="M2050" t="s">
        <v>1000</v>
      </c>
      <c r="N2050" t="s">
        <v>1001</v>
      </c>
      <c r="O2050" t="s">
        <v>1001</v>
      </c>
      <c r="P2050" t="s">
        <v>1746</v>
      </c>
      <c r="Q2050" t="s">
        <v>3771</v>
      </c>
      <c r="R2050" t="s">
        <v>446</v>
      </c>
      <c r="S2050" t="s">
        <v>446</v>
      </c>
      <c r="T2050" t="s">
        <v>1965</v>
      </c>
      <c r="U2050" t="b">
        <v>0</v>
      </c>
      <c r="V2050" t="s">
        <v>446</v>
      </c>
    </row>
    <row r="2051" spans="1:22" x14ac:dyDescent="0.25">
      <c r="A2051" t="s">
        <v>42</v>
      </c>
      <c r="B2051">
        <v>246</v>
      </c>
      <c r="C2051" t="s">
        <v>1014</v>
      </c>
      <c r="D2051" t="s">
        <v>2607</v>
      </c>
      <c r="E2051" t="s">
        <v>1013</v>
      </c>
      <c r="F2051" t="s">
        <v>5337</v>
      </c>
      <c r="G2051" t="s">
        <v>24</v>
      </c>
      <c r="H2051" t="s">
        <v>26</v>
      </c>
      <c r="I2051" t="s">
        <v>3167</v>
      </c>
      <c r="J2051" t="s">
        <v>1016</v>
      </c>
      <c r="K2051" t="s">
        <v>3181</v>
      </c>
      <c r="L2051" t="s">
        <v>1016</v>
      </c>
      <c r="M2051" t="s">
        <v>980</v>
      </c>
      <c r="N2051" t="s">
        <v>1015</v>
      </c>
      <c r="O2051" t="s">
        <v>1015</v>
      </c>
      <c r="P2051" t="s">
        <v>1746</v>
      </c>
      <c r="Q2051" t="s">
        <v>3771</v>
      </c>
      <c r="R2051" t="s">
        <v>446</v>
      </c>
      <c r="S2051" t="s">
        <v>2602</v>
      </c>
      <c r="T2051" t="s">
        <v>1965</v>
      </c>
      <c r="U2051" t="b">
        <v>0</v>
      </c>
      <c r="V2051" t="s">
        <v>1962</v>
      </c>
    </row>
    <row r="2052" spans="1:22" x14ac:dyDescent="0.25">
      <c r="A2052" t="s">
        <v>42</v>
      </c>
      <c r="B2052">
        <v>246</v>
      </c>
      <c r="C2052" t="s">
        <v>1024</v>
      </c>
      <c r="D2052" t="s">
        <v>2610</v>
      </c>
      <c r="E2052" t="s">
        <v>1023</v>
      </c>
      <c r="F2052" t="s">
        <v>5338</v>
      </c>
      <c r="G2052" t="s">
        <v>24</v>
      </c>
      <c r="H2052" t="s">
        <v>26</v>
      </c>
      <c r="I2052" t="s">
        <v>3167</v>
      </c>
      <c r="J2052" t="s">
        <v>1026</v>
      </c>
      <c r="K2052" t="s">
        <v>3185</v>
      </c>
      <c r="L2052" t="s">
        <v>1026</v>
      </c>
      <c r="M2052" t="s">
        <v>1000</v>
      </c>
      <c r="N2052" t="s">
        <v>1025</v>
      </c>
      <c r="O2052" t="s">
        <v>1025</v>
      </c>
      <c r="P2052" t="s">
        <v>1746</v>
      </c>
      <c r="Q2052" t="s">
        <v>3771</v>
      </c>
      <c r="R2052" t="s">
        <v>446</v>
      </c>
      <c r="S2052" t="s">
        <v>2602</v>
      </c>
      <c r="T2052" t="s">
        <v>1965</v>
      </c>
      <c r="U2052" t="b">
        <v>0</v>
      </c>
      <c r="V2052" t="s">
        <v>1962</v>
      </c>
    </row>
    <row r="2053" spans="1:22" x14ac:dyDescent="0.25">
      <c r="A2053" t="s">
        <v>42</v>
      </c>
      <c r="B2053">
        <v>246</v>
      </c>
      <c r="C2053" t="s">
        <v>1028</v>
      </c>
      <c r="D2053" t="s">
        <v>5339</v>
      </c>
      <c r="E2053" t="s">
        <v>1010</v>
      </c>
      <c r="F2053" t="s">
        <v>5340</v>
      </c>
      <c r="G2053" t="s">
        <v>24</v>
      </c>
      <c r="H2053" t="s">
        <v>26</v>
      </c>
      <c r="I2053" t="s">
        <v>3167</v>
      </c>
      <c r="J2053" t="s">
        <v>1026</v>
      </c>
      <c r="K2053" t="s">
        <v>3185</v>
      </c>
      <c r="L2053" t="s">
        <v>1026</v>
      </c>
      <c r="M2053" t="s">
        <v>1000</v>
      </c>
      <c r="N2053" t="s">
        <v>1025</v>
      </c>
      <c r="O2053" t="s">
        <v>1025</v>
      </c>
      <c r="P2053" t="s">
        <v>1746</v>
      </c>
      <c r="Q2053" t="s">
        <v>3771</v>
      </c>
      <c r="R2053" t="s">
        <v>446</v>
      </c>
      <c r="S2053" t="s">
        <v>446</v>
      </c>
      <c r="T2053" t="s">
        <v>1965</v>
      </c>
      <c r="U2053" t="b">
        <v>0</v>
      </c>
      <c r="V2053" t="s">
        <v>446</v>
      </c>
    </row>
    <row r="2054" spans="1:22" x14ac:dyDescent="0.25">
      <c r="A2054" t="s">
        <v>42</v>
      </c>
      <c r="B2054">
        <v>246</v>
      </c>
      <c r="C2054" t="s">
        <v>1046</v>
      </c>
      <c r="D2054" t="s">
        <v>2614</v>
      </c>
      <c r="E2054" t="s">
        <v>1045</v>
      </c>
      <c r="F2054" t="s">
        <v>5340</v>
      </c>
      <c r="G2054" t="s">
        <v>24</v>
      </c>
      <c r="H2054" t="s">
        <v>26</v>
      </c>
      <c r="I2054" t="s">
        <v>3167</v>
      </c>
      <c r="J2054" t="s">
        <v>1048</v>
      </c>
      <c r="K2054" t="s">
        <v>3195</v>
      </c>
      <c r="L2054" t="s">
        <v>1048</v>
      </c>
      <c r="M2054" t="s">
        <v>1000</v>
      </c>
      <c r="N2054" t="s">
        <v>1047</v>
      </c>
      <c r="O2054" t="s">
        <v>1047</v>
      </c>
      <c r="P2054" t="s">
        <v>1746</v>
      </c>
      <c r="Q2054" t="s">
        <v>3771</v>
      </c>
      <c r="R2054" t="s">
        <v>446</v>
      </c>
      <c r="S2054" t="s">
        <v>2602</v>
      </c>
      <c r="T2054" t="s">
        <v>1965</v>
      </c>
      <c r="U2054" t="b">
        <v>0</v>
      </c>
      <c r="V2054" t="s">
        <v>1962</v>
      </c>
    </row>
    <row r="2055" spans="1:22" x14ac:dyDescent="0.25">
      <c r="A2055" t="s">
        <v>42</v>
      </c>
      <c r="B2055">
        <v>246</v>
      </c>
      <c r="C2055" t="s">
        <v>1050</v>
      </c>
      <c r="D2055" t="s">
        <v>5341</v>
      </c>
      <c r="E2055" t="s">
        <v>1032</v>
      </c>
      <c r="F2055" t="s">
        <v>5340</v>
      </c>
      <c r="G2055" t="s">
        <v>24</v>
      </c>
      <c r="H2055" t="s">
        <v>26</v>
      </c>
      <c r="I2055" t="s">
        <v>3167</v>
      </c>
      <c r="J2055" t="s">
        <v>1048</v>
      </c>
      <c r="K2055" t="s">
        <v>3195</v>
      </c>
      <c r="L2055" t="s">
        <v>1048</v>
      </c>
      <c r="M2055" t="s">
        <v>1000</v>
      </c>
      <c r="N2055" t="s">
        <v>1047</v>
      </c>
      <c r="O2055" t="s">
        <v>1047</v>
      </c>
      <c r="P2055" t="s">
        <v>1746</v>
      </c>
      <c r="Q2055" t="s">
        <v>3771</v>
      </c>
      <c r="R2055" t="s">
        <v>446</v>
      </c>
      <c r="S2055" t="s">
        <v>446</v>
      </c>
      <c r="T2055" t="s">
        <v>1965</v>
      </c>
      <c r="U2055" t="b">
        <v>0</v>
      </c>
      <c r="V2055" t="s">
        <v>446</v>
      </c>
    </row>
    <row r="2056" spans="1:22" x14ac:dyDescent="0.25">
      <c r="A2056" t="s">
        <v>42</v>
      </c>
      <c r="B2056">
        <v>247</v>
      </c>
      <c r="C2056" t="s">
        <v>979</v>
      </c>
      <c r="D2056" t="s">
        <v>5342</v>
      </c>
      <c r="E2056" t="s">
        <v>978</v>
      </c>
      <c r="F2056" t="s">
        <v>5343</v>
      </c>
      <c r="G2056" t="s">
        <v>24</v>
      </c>
      <c r="H2056" t="s">
        <v>26</v>
      </c>
      <c r="I2056" t="s">
        <v>3167</v>
      </c>
      <c r="J2056" t="s">
        <v>984</v>
      </c>
      <c r="K2056" t="s">
        <v>3168</v>
      </c>
      <c r="L2056" t="s">
        <v>984</v>
      </c>
      <c r="M2056" t="s">
        <v>980</v>
      </c>
      <c r="N2056" t="s">
        <v>981</v>
      </c>
      <c r="O2056" t="s">
        <v>981</v>
      </c>
      <c r="P2056" t="s">
        <v>1110</v>
      </c>
      <c r="Q2056" t="s">
        <v>3169</v>
      </c>
      <c r="R2056" t="s">
        <v>446</v>
      </c>
      <c r="S2056" t="s">
        <v>446</v>
      </c>
      <c r="T2056" t="s">
        <v>1965</v>
      </c>
      <c r="U2056" t="b">
        <v>0</v>
      </c>
      <c r="V2056" t="s">
        <v>446</v>
      </c>
    </row>
    <row r="2057" spans="1:22" x14ac:dyDescent="0.25">
      <c r="A2057" t="s">
        <v>42</v>
      </c>
      <c r="B2057">
        <v>247</v>
      </c>
      <c r="C2057" t="s">
        <v>987</v>
      </c>
      <c r="D2057" t="s">
        <v>5344</v>
      </c>
      <c r="E2057" t="s">
        <v>986</v>
      </c>
      <c r="F2057" t="s">
        <v>5345</v>
      </c>
      <c r="G2057" t="s">
        <v>24</v>
      </c>
      <c r="H2057" t="s">
        <v>26</v>
      </c>
      <c r="I2057" t="s">
        <v>3167</v>
      </c>
      <c r="J2057" t="s">
        <v>990</v>
      </c>
      <c r="K2057" t="s">
        <v>3171</v>
      </c>
      <c r="L2057" t="s">
        <v>990</v>
      </c>
      <c r="M2057" t="s">
        <v>980</v>
      </c>
      <c r="N2057" t="s">
        <v>988</v>
      </c>
      <c r="O2057" t="s">
        <v>988</v>
      </c>
      <c r="P2057" t="s">
        <v>1110</v>
      </c>
      <c r="Q2057" t="s">
        <v>3169</v>
      </c>
      <c r="R2057" t="s">
        <v>446</v>
      </c>
      <c r="S2057" t="s">
        <v>446</v>
      </c>
      <c r="T2057" t="s">
        <v>1965</v>
      </c>
      <c r="U2057" t="b">
        <v>0</v>
      </c>
      <c r="V2057" t="s">
        <v>446</v>
      </c>
    </row>
    <row r="2058" spans="1:22" x14ac:dyDescent="0.25">
      <c r="A2058" t="s">
        <v>42</v>
      </c>
      <c r="B2058">
        <v>247</v>
      </c>
      <c r="C2058" t="s">
        <v>993</v>
      </c>
      <c r="D2058" t="s">
        <v>5346</v>
      </c>
      <c r="E2058" t="s">
        <v>992</v>
      </c>
      <c r="F2058" t="s">
        <v>5347</v>
      </c>
      <c r="G2058" t="s">
        <v>24</v>
      </c>
      <c r="H2058" t="s">
        <v>26</v>
      </c>
      <c r="I2058" t="s">
        <v>3167</v>
      </c>
      <c r="J2058" t="s">
        <v>996</v>
      </c>
      <c r="K2058" t="s">
        <v>3173</v>
      </c>
      <c r="L2058" t="s">
        <v>996</v>
      </c>
      <c r="M2058" t="s">
        <v>980</v>
      </c>
      <c r="N2058" t="s">
        <v>994</v>
      </c>
      <c r="O2058" t="s">
        <v>994</v>
      </c>
      <c r="P2058" t="s">
        <v>1110</v>
      </c>
      <c r="Q2058" t="s">
        <v>3169</v>
      </c>
      <c r="R2058" t="s">
        <v>446</v>
      </c>
      <c r="S2058" t="s">
        <v>446</v>
      </c>
      <c r="T2058" t="s">
        <v>1965</v>
      </c>
      <c r="U2058" t="b">
        <v>0</v>
      </c>
      <c r="V2058" t="s">
        <v>446</v>
      </c>
    </row>
    <row r="2059" spans="1:22" x14ac:dyDescent="0.25">
      <c r="A2059" t="s">
        <v>42</v>
      </c>
      <c r="B2059">
        <v>247</v>
      </c>
      <c r="C2059" t="s">
        <v>999</v>
      </c>
      <c r="D2059" t="s">
        <v>5348</v>
      </c>
      <c r="E2059" t="s">
        <v>998</v>
      </c>
      <c r="F2059" t="s">
        <v>4176</v>
      </c>
      <c r="G2059" t="s">
        <v>24</v>
      </c>
      <c r="H2059" t="s">
        <v>26</v>
      </c>
      <c r="I2059" t="s">
        <v>3167</v>
      </c>
      <c r="J2059" t="s">
        <v>1003</v>
      </c>
      <c r="K2059" t="s">
        <v>3175</v>
      </c>
      <c r="L2059" t="s">
        <v>1003</v>
      </c>
      <c r="M2059" t="s">
        <v>1000</v>
      </c>
      <c r="N2059" t="s">
        <v>1001</v>
      </c>
      <c r="O2059" t="s">
        <v>1001</v>
      </c>
      <c r="P2059" t="s">
        <v>1110</v>
      </c>
      <c r="Q2059" t="s">
        <v>3169</v>
      </c>
      <c r="R2059" t="s">
        <v>446</v>
      </c>
      <c r="S2059" t="s">
        <v>446</v>
      </c>
      <c r="T2059" t="s">
        <v>1965</v>
      </c>
      <c r="U2059" t="b">
        <v>0</v>
      </c>
      <c r="V2059" t="s">
        <v>446</v>
      </c>
    </row>
    <row r="2060" spans="1:22" x14ac:dyDescent="0.25">
      <c r="A2060" t="s">
        <v>42</v>
      </c>
      <c r="B2060">
        <v>247</v>
      </c>
      <c r="C2060" t="s">
        <v>1005</v>
      </c>
      <c r="D2060" t="s">
        <v>5349</v>
      </c>
      <c r="E2060" t="s">
        <v>982</v>
      </c>
      <c r="F2060" t="s">
        <v>4176</v>
      </c>
      <c r="G2060" t="s">
        <v>24</v>
      </c>
      <c r="H2060" t="s">
        <v>26</v>
      </c>
      <c r="I2060" t="s">
        <v>3167</v>
      </c>
      <c r="J2060" t="s">
        <v>1003</v>
      </c>
      <c r="K2060" t="s">
        <v>3175</v>
      </c>
      <c r="L2060" t="s">
        <v>1003</v>
      </c>
      <c r="M2060" t="s">
        <v>1000</v>
      </c>
      <c r="N2060" t="s">
        <v>1001</v>
      </c>
      <c r="O2060" t="s">
        <v>1001</v>
      </c>
      <c r="P2060" t="s">
        <v>1110</v>
      </c>
      <c r="Q2060" t="s">
        <v>3169</v>
      </c>
      <c r="R2060" t="s">
        <v>446</v>
      </c>
      <c r="S2060" t="s">
        <v>446</v>
      </c>
      <c r="T2060" t="s">
        <v>1965</v>
      </c>
      <c r="U2060" t="b">
        <v>0</v>
      </c>
      <c r="V2060" t="s">
        <v>446</v>
      </c>
    </row>
    <row r="2061" spans="1:22" x14ac:dyDescent="0.25">
      <c r="A2061" t="s">
        <v>42</v>
      </c>
      <c r="B2061">
        <v>247</v>
      </c>
      <c r="C2061" t="s">
        <v>1007</v>
      </c>
      <c r="D2061" t="s">
        <v>5350</v>
      </c>
      <c r="E2061" t="s">
        <v>1006</v>
      </c>
      <c r="F2061" t="s">
        <v>5351</v>
      </c>
      <c r="G2061" t="s">
        <v>24</v>
      </c>
      <c r="H2061" t="s">
        <v>26</v>
      </c>
      <c r="I2061" t="s">
        <v>3167</v>
      </c>
      <c r="J2061" t="s">
        <v>1011</v>
      </c>
      <c r="K2061" t="s">
        <v>3179</v>
      </c>
      <c r="L2061" t="s">
        <v>1011</v>
      </c>
      <c r="M2061" t="s">
        <v>1008</v>
      </c>
      <c r="N2061" t="s">
        <v>1009</v>
      </c>
      <c r="O2061" t="s">
        <v>1009</v>
      </c>
      <c r="P2061" t="s">
        <v>1110</v>
      </c>
      <c r="Q2061" t="s">
        <v>3169</v>
      </c>
      <c r="R2061" t="s">
        <v>446</v>
      </c>
      <c r="S2061" t="s">
        <v>446</v>
      </c>
      <c r="T2061" t="s">
        <v>1965</v>
      </c>
      <c r="U2061" t="b">
        <v>0</v>
      </c>
      <c r="V2061" t="s">
        <v>446</v>
      </c>
    </row>
    <row r="2062" spans="1:22" x14ac:dyDescent="0.25">
      <c r="A2062" t="s">
        <v>42</v>
      </c>
      <c r="B2062">
        <v>247</v>
      </c>
      <c r="C2062" t="s">
        <v>1014</v>
      </c>
      <c r="D2062" t="s">
        <v>5352</v>
      </c>
      <c r="E2062" t="s">
        <v>1013</v>
      </c>
      <c r="F2062" t="s">
        <v>5353</v>
      </c>
      <c r="G2062" t="s">
        <v>24</v>
      </c>
      <c r="H2062" t="s">
        <v>26</v>
      </c>
      <c r="I2062" t="s">
        <v>3167</v>
      </c>
      <c r="J2062" t="s">
        <v>1016</v>
      </c>
      <c r="K2062" t="s">
        <v>3181</v>
      </c>
      <c r="L2062" t="s">
        <v>1016</v>
      </c>
      <c r="M2062" t="s">
        <v>980</v>
      </c>
      <c r="N2062" t="s">
        <v>1015</v>
      </c>
      <c r="O2062" t="s">
        <v>1015</v>
      </c>
      <c r="P2062" t="s">
        <v>1110</v>
      </c>
      <c r="Q2062" t="s">
        <v>3169</v>
      </c>
      <c r="R2062" t="s">
        <v>446</v>
      </c>
      <c r="S2062" t="s">
        <v>446</v>
      </c>
      <c r="T2062" t="s">
        <v>1965</v>
      </c>
      <c r="U2062" t="b">
        <v>0</v>
      </c>
      <c r="V2062" t="s">
        <v>446</v>
      </c>
    </row>
    <row r="2063" spans="1:22" x14ac:dyDescent="0.25">
      <c r="A2063" t="s">
        <v>42</v>
      </c>
      <c r="B2063">
        <v>247</v>
      </c>
      <c r="C2063" t="s">
        <v>1019</v>
      </c>
      <c r="D2063" t="s">
        <v>5354</v>
      </c>
      <c r="E2063" t="s">
        <v>1018</v>
      </c>
      <c r="F2063" t="s">
        <v>5355</v>
      </c>
      <c r="G2063" t="s">
        <v>24</v>
      </c>
      <c r="H2063" t="s">
        <v>26</v>
      </c>
      <c r="I2063" t="s">
        <v>3167</v>
      </c>
      <c r="J2063" t="s">
        <v>1021</v>
      </c>
      <c r="K2063" t="s">
        <v>3183</v>
      </c>
      <c r="L2063" t="s">
        <v>1021</v>
      </c>
      <c r="M2063" t="s">
        <v>980</v>
      </c>
      <c r="N2063" t="s">
        <v>1020</v>
      </c>
      <c r="O2063" t="s">
        <v>1020</v>
      </c>
      <c r="P2063" t="s">
        <v>1110</v>
      </c>
      <c r="Q2063" t="s">
        <v>3169</v>
      </c>
      <c r="R2063" t="s">
        <v>446</v>
      </c>
      <c r="S2063" t="s">
        <v>446</v>
      </c>
      <c r="T2063" t="s">
        <v>1965</v>
      </c>
      <c r="U2063" t="b">
        <v>0</v>
      </c>
      <c r="V2063" t="s">
        <v>446</v>
      </c>
    </row>
    <row r="2064" spans="1:22" x14ac:dyDescent="0.25">
      <c r="A2064" t="s">
        <v>42</v>
      </c>
      <c r="B2064">
        <v>247</v>
      </c>
      <c r="C2064" t="s">
        <v>1024</v>
      </c>
      <c r="D2064" t="s">
        <v>5356</v>
      </c>
      <c r="E2064" t="s">
        <v>1023</v>
      </c>
      <c r="F2064" t="s">
        <v>4177</v>
      </c>
      <c r="G2064" t="s">
        <v>24</v>
      </c>
      <c r="H2064" t="s">
        <v>26</v>
      </c>
      <c r="I2064" t="s">
        <v>3167</v>
      </c>
      <c r="J2064" t="s">
        <v>1026</v>
      </c>
      <c r="K2064" t="s">
        <v>3185</v>
      </c>
      <c r="L2064" t="s">
        <v>1026</v>
      </c>
      <c r="M2064" t="s">
        <v>1000</v>
      </c>
      <c r="N2064" t="s">
        <v>1025</v>
      </c>
      <c r="O2064" t="s">
        <v>1025</v>
      </c>
      <c r="P2064" t="s">
        <v>1110</v>
      </c>
      <c r="Q2064" t="s">
        <v>3169</v>
      </c>
      <c r="R2064" t="s">
        <v>446</v>
      </c>
      <c r="S2064" t="s">
        <v>446</v>
      </c>
      <c r="T2064" t="s">
        <v>1965</v>
      </c>
      <c r="U2064" t="b">
        <v>0</v>
      </c>
      <c r="V2064" t="s">
        <v>446</v>
      </c>
    </row>
    <row r="2065" spans="1:22" x14ac:dyDescent="0.25">
      <c r="A2065" t="s">
        <v>42</v>
      </c>
      <c r="B2065">
        <v>247</v>
      </c>
      <c r="C2065" t="s">
        <v>1028</v>
      </c>
      <c r="D2065" t="s">
        <v>5357</v>
      </c>
      <c r="E2065" t="s">
        <v>1010</v>
      </c>
      <c r="F2065" t="s">
        <v>4177</v>
      </c>
      <c r="G2065" t="s">
        <v>24</v>
      </c>
      <c r="H2065" t="s">
        <v>26</v>
      </c>
      <c r="I2065" t="s">
        <v>3167</v>
      </c>
      <c r="J2065" t="s">
        <v>1026</v>
      </c>
      <c r="K2065" t="s">
        <v>3185</v>
      </c>
      <c r="L2065" t="s">
        <v>1026</v>
      </c>
      <c r="M2065" t="s">
        <v>1000</v>
      </c>
      <c r="N2065" t="s">
        <v>1025</v>
      </c>
      <c r="O2065" t="s">
        <v>1025</v>
      </c>
      <c r="P2065" t="s">
        <v>1110</v>
      </c>
      <c r="Q2065" t="s">
        <v>3169</v>
      </c>
      <c r="R2065" t="s">
        <v>446</v>
      </c>
      <c r="S2065" t="s">
        <v>446</v>
      </c>
      <c r="T2065" t="s">
        <v>1965</v>
      </c>
      <c r="U2065" t="b">
        <v>0</v>
      </c>
      <c r="V2065" t="s">
        <v>446</v>
      </c>
    </row>
    <row r="2066" spans="1:22" x14ac:dyDescent="0.25">
      <c r="A2066" t="s">
        <v>42</v>
      </c>
      <c r="B2066">
        <v>247</v>
      </c>
      <c r="C2066" t="s">
        <v>1030</v>
      </c>
      <c r="D2066" t="s">
        <v>5358</v>
      </c>
      <c r="E2066" t="s">
        <v>1029</v>
      </c>
      <c r="F2066" t="s">
        <v>5359</v>
      </c>
      <c r="G2066" t="s">
        <v>24</v>
      </c>
      <c r="H2066" t="s">
        <v>26</v>
      </c>
      <c r="I2066" t="s">
        <v>3167</v>
      </c>
      <c r="J2066" t="s">
        <v>1033</v>
      </c>
      <c r="K2066" t="s">
        <v>3189</v>
      </c>
      <c r="L2066" t="s">
        <v>1033</v>
      </c>
      <c r="M2066" t="s">
        <v>980</v>
      </c>
      <c r="N2066" t="s">
        <v>1031</v>
      </c>
      <c r="O2066" t="s">
        <v>1031</v>
      </c>
      <c r="P2066" t="s">
        <v>1110</v>
      </c>
      <c r="Q2066" t="s">
        <v>3169</v>
      </c>
      <c r="R2066" t="s">
        <v>446</v>
      </c>
      <c r="S2066" t="s">
        <v>446</v>
      </c>
      <c r="T2066" t="s">
        <v>1965</v>
      </c>
      <c r="U2066" t="b">
        <v>0</v>
      </c>
      <c r="V2066" t="s">
        <v>446</v>
      </c>
    </row>
    <row r="2067" spans="1:22" x14ac:dyDescent="0.25">
      <c r="A2067" t="s">
        <v>42</v>
      </c>
      <c r="B2067">
        <v>247</v>
      </c>
      <c r="C2067" t="s">
        <v>1036</v>
      </c>
      <c r="D2067" t="s">
        <v>5360</v>
      </c>
      <c r="E2067" t="s">
        <v>1035</v>
      </c>
      <c r="F2067" t="s">
        <v>5361</v>
      </c>
      <c r="G2067" t="s">
        <v>24</v>
      </c>
      <c r="H2067" t="s">
        <v>26</v>
      </c>
      <c r="I2067" t="s">
        <v>3167</v>
      </c>
      <c r="J2067" t="s">
        <v>1038</v>
      </c>
      <c r="K2067" t="s">
        <v>3191</v>
      </c>
      <c r="L2067" t="s">
        <v>1038</v>
      </c>
      <c r="M2067" t="s">
        <v>980</v>
      </c>
      <c r="N2067" t="s">
        <v>1037</v>
      </c>
      <c r="O2067" t="s">
        <v>1037</v>
      </c>
      <c r="P2067" t="s">
        <v>1110</v>
      </c>
      <c r="Q2067" t="s">
        <v>3169</v>
      </c>
      <c r="R2067" t="s">
        <v>446</v>
      </c>
      <c r="S2067" t="s">
        <v>446</v>
      </c>
      <c r="T2067" t="s">
        <v>1965</v>
      </c>
      <c r="U2067" t="b">
        <v>0</v>
      </c>
      <c r="V2067" t="s">
        <v>446</v>
      </c>
    </row>
    <row r="2068" spans="1:22" x14ac:dyDescent="0.25">
      <c r="A2068" t="s">
        <v>42</v>
      </c>
      <c r="B2068">
        <v>247</v>
      </c>
      <c r="C2068" t="s">
        <v>1041</v>
      </c>
      <c r="D2068" t="s">
        <v>5362</v>
      </c>
      <c r="E2068" t="s">
        <v>1040</v>
      </c>
      <c r="F2068" t="s">
        <v>5363</v>
      </c>
      <c r="G2068" t="s">
        <v>24</v>
      </c>
      <c r="H2068" t="s">
        <v>26</v>
      </c>
      <c r="I2068" t="s">
        <v>3167</v>
      </c>
      <c r="J2068" t="s">
        <v>1043</v>
      </c>
      <c r="K2068" t="s">
        <v>3193</v>
      </c>
      <c r="L2068" t="s">
        <v>1043</v>
      </c>
      <c r="M2068" t="s">
        <v>980</v>
      </c>
      <c r="N2068" t="s">
        <v>1042</v>
      </c>
      <c r="O2068" t="s">
        <v>1042</v>
      </c>
      <c r="P2068" t="s">
        <v>1110</v>
      </c>
      <c r="Q2068" t="s">
        <v>3169</v>
      </c>
      <c r="R2068" t="s">
        <v>446</v>
      </c>
      <c r="S2068" t="s">
        <v>446</v>
      </c>
      <c r="T2068" t="s">
        <v>1965</v>
      </c>
      <c r="U2068" t="b">
        <v>0</v>
      </c>
      <c r="V2068" t="s">
        <v>446</v>
      </c>
    </row>
    <row r="2069" spans="1:22" x14ac:dyDescent="0.25">
      <c r="A2069" t="s">
        <v>42</v>
      </c>
      <c r="B2069">
        <v>247</v>
      </c>
      <c r="C2069" t="s">
        <v>1046</v>
      </c>
      <c r="D2069" t="s">
        <v>5364</v>
      </c>
      <c r="E2069" t="s">
        <v>1045</v>
      </c>
      <c r="F2069" t="s">
        <v>4178</v>
      </c>
      <c r="G2069" t="s">
        <v>24</v>
      </c>
      <c r="H2069" t="s">
        <v>26</v>
      </c>
      <c r="I2069" t="s">
        <v>3167</v>
      </c>
      <c r="J2069" t="s">
        <v>1048</v>
      </c>
      <c r="K2069" t="s">
        <v>3195</v>
      </c>
      <c r="L2069" t="s">
        <v>1048</v>
      </c>
      <c r="M2069" t="s">
        <v>1000</v>
      </c>
      <c r="N2069" t="s">
        <v>1047</v>
      </c>
      <c r="O2069" t="s">
        <v>1047</v>
      </c>
      <c r="P2069" t="s">
        <v>1110</v>
      </c>
      <c r="Q2069" t="s">
        <v>3169</v>
      </c>
      <c r="R2069" t="s">
        <v>446</v>
      </c>
      <c r="S2069" t="s">
        <v>446</v>
      </c>
      <c r="T2069" t="s">
        <v>1965</v>
      </c>
      <c r="U2069" t="b">
        <v>0</v>
      </c>
      <c r="V2069" t="s">
        <v>446</v>
      </c>
    </row>
    <row r="2070" spans="1:22" x14ac:dyDescent="0.25">
      <c r="A2070" t="s">
        <v>42</v>
      </c>
      <c r="B2070">
        <v>247</v>
      </c>
      <c r="C2070" t="s">
        <v>1050</v>
      </c>
      <c r="D2070" t="s">
        <v>5365</v>
      </c>
      <c r="E2070" t="s">
        <v>1032</v>
      </c>
      <c r="F2070" t="s">
        <v>4178</v>
      </c>
      <c r="G2070" t="s">
        <v>24</v>
      </c>
      <c r="H2070" t="s">
        <v>26</v>
      </c>
      <c r="I2070" t="s">
        <v>3167</v>
      </c>
      <c r="J2070" t="s">
        <v>1048</v>
      </c>
      <c r="K2070" t="s">
        <v>3195</v>
      </c>
      <c r="L2070" t="s">
        <v>1048</v>
      </c>
      <c r="M2070" t="s">
        <v>1000</v>
      </c>
      <c r="N2070" t="s">
        <v>1047</v>
      </c>
      <c r="O2070" t="s">
        <v>1047</v>
      </c>
      <c r="P2070" t="s">
        <v>1110</v>
      </c>
      <c r="Q2070" t="s">
        <v>3169</v>
      </c>
      <c r="R2070" t="s">
        <v>446</v>
      </c>
      <c r="S2070" t="s">
        <v>446</v>
      </c>
      <c r="T2070" t="s">
        <v>1965</v>
      </c>
      <c r="U2070" t="b">
        <v>0</v>
      </c>
      <c r="V2070" t="s">
        <v>446</v>
      </c>
    </row>
    <row r="2071" spans="1:22" x14ac:dyDescent="0.25">
      <c r="A2071" t="s">
        <v>42</v>
      </c>
      <c r="B2071">
        <v>247</v>
      </c>
      <c r="C2071" t="s">
        <v>1052</v>
      </c>
      <c r="D2071" t="s">
        <v>5366</v>
      </c>
      <c r="E2071" t="s">
        <v>1051</v>
      </c>
      <c r="F2071" t="s">
        <v>5367</v>
      </c>
      <c r="G2071" t="s">
        <v>24</v>
      </c>
      <c r="H2071" t="s">
        <v>26</v>
      </c>
      <c r="I2071" t="s">
        <v>3167</v>
      </c>
      <c r="J2071" t="s">
        <v>1055</v>
      </c>
      <c r="K2071" t="s">
        <v>3199</v>
      </c>
      <c r="L2071" t="s">
        <v>1055</v>
      </c>
      <c r="M2071" t="s">
        <v>980</v>
      </c>
      <c r="N2071" t="s">
        <v>1053</v>
      </c>
      <c r="O2071" t="s">
        <v>1053</v>
      </c>
      <c r="P2071" t="s">
        <v>1110</v>
      </c>
      <c r="Q2071" t="s">
        <v>3169</v>
      </c>
      <c r="R2071" t="s">
        <v>446</v>
      </c>
      <c r="S2071" t="s">
        <v>446</v>
      </c>
      <c r="T2071" t="s">
        <v>1965</v>
      </c>
      <c r="U2071" t="b">
        <v>0</v>
      </c>
      <c r="V2071" t="s">
        <v>446</v>
      </c>
    </row>
    <row r="2072" spans="1:22" x14ac:dyDescent="0.25">
      <c r="A2072" t="s">
        <v>42</v>
      </c>
      <c r="B2072">
        <v>249</v>
      </c>
      <c r="C2072" t="s">
        <v>979</v>
      </c>
      <c r="D2072" t="s">
        <v>5368</v>
      </c>
      <c r="E2072" t="s">
        <v>978</v>
      </c>
      <c r="F2072" t="s">
        <v>3218</v>
      </c>
      <c r="G2072" t="s">
        <v>24</v>
      </c>
      <c r="H2072" t="s">
        <v>26</v>
      </c>
      <c r="I2072" t="s">
        <v>3167</v>
      </c>
      <c r="J2072" t="s">
        <v>984</v>
      </c>
      <c r="K2072" t="s">
        <v>3168</v>
      </c>
      <c r="L2072" t="s">
        <v>984</v>
      </c>
      <c r="M2072" t="s">
        <v>980</v>
      </c>
      <c r="N2072" t="s">
        <v>981</v>
      </c>
      <c r="O2072" t="s">
        <v>981</v>
      </c>
      <c r="P2072" t="s">
        <v>1110</v>
      </c>
      <c r="Q2072" t="s">
        <v>3169</v>
      </c>
      <c r="R2072" t="s">
        <v>446</v>
      </c>
      <c r="S2072" t="s">
        <v>446</v>
      </c>
      <c r="T2072" t="s">
        <v>1965</v>
      </c>
      <c r="U2072" t="b">
        <v>0</v>
      </c>
      <c r="V2072" t="s">
        <v>446</v>
      </c>
    </row>
    <row r="2073" spans="1:22" x14ac:dyDescent="0.25">
      <c r="A2073" t="s">
        <v>42</v>
      </c>
      <c r="B2073">
        <v>249</v>
      </c>
      <c r="C2073" t="s">
        <v>987</v>
      </c>
      <c r="D2073" t="s">
        <v>5369</v>
      </c>
      <c r="E2073" t="s">
        <v>986</v>
      </c>
      <c r="F2073" t="s">
        <v>5370</v>
      </c>
      <c r="G2073" t="s">
        <v>24</v>
      </c>
      <c r="H2073" t="s">
        <v>26</v>
      </c>
      <c r="I2073" t="s">
        <v>3167</v>
      </c>
      <c r="J2073" t="s">
        <v>990</v>
      </c>
      <c r="K2073" t="s">
        <v>3171</v>
      </c>
      <c r="L2073" t="s">
        <v>990</v>
      </c>
      <c r="M2073" t="s">
        <v>980</v>
      </c>
      <c r="N2073" t="s">
        <v>988</v>
      </c>
      <c r="O2073" t="s">
        <v>988</v>
      </c>
      <c r="P2073" t="s">
        <v>1110</v>
      </c>
      <c r="Q2073" t="s">
        <v>3169</v>
      </c>
      <c r="R2073" t="s">
        <v>446</v>
      </c>
      <c r="S2073" t="s">
        <v>446</v>
      </c>
      <c r="T2073" t="s">
        <v>1965</v>
      </c>
      <c r="U2073" t="b">
        <v>0</v>
      </c>
      <c r="V2073" t="s">
        <v>446</v>
      </c>
    </row>
    <row r="2074" spans="1:22" x14ac:dyDescent="0.25">
      <c r="A2074" t="s">
        <v>42</v>
      </c>
      <c r="B2074">
        <v>249</v>
      </c>
      <c r="C2074" t="s">
        <v>993</v>
      </c>
      <c r="D2074" t="s">
        <v>5371</v>
      </c>
      <c r="E2074" t="s">
        <v>992</v>
      </c>
      <c r="F2074" t="s">
        <v>5372</v>
      </c>
      <c r="G2074" t="s">
        <v>24</v>
      </c>
      <c r="H2074" t="s">
        <v>26</v>
      </c>
      <c r="I2074" t="s">
        <v>3167</v>
      </c>
      <c r="J2074" t="s">
        <v>996</v>
      </c>
      <c r="K2074" t="s">
        <v>3173</v>
      </c>
      <c r="L2074" t="s">
        <v>996</v>
      </c>
      <c r="M2074" t="s">
        <v>980</v>
      </c>
      <c r="N2074" t="s">
        <v>994</v>
      </c>
      <c r="O2074" t="s">
        <v>994</v>
      </c>
      <c r="P2074" t="s">
        <v>1110</v>
      </c>
      <c r="Q2074" t="s">
        <v>3169</v>
      </c>
      <c r="R2074" t="s">
        <v>446</v>
      </c>
      <c r="S2074" t="s">
        <v>446</v>
      </c>
      <c r="T2074" t="s">
        <v>1965</v>
      </c>
      <c r="U2074" t="b">
        <v>0</v>
      </c>
      <c r="V2074" t="s">
        <v>446</v>
      </c>
    </row>
    <row r="2075" spans="1:22" x14ac:dyDescent="0.25">
      <c r="A2075" t="s">
        <v>42</v>
      </c>
      <c r="B2075">
        <v>249</v>
      </c>
      <c r="C2075" t="s">
        <v>999</v>
      </c>
      <c r="D2075" t="s">
        <v>5373</v>
      </c>
      <c r="E2075" t="s">
        <v>998</v>
      </c>
      <c r="F2075" t="s">
        <v>3218</v>
      </c>
      <c r="G2075" t="s">
        <v>24</v>
      </c>
      <c r="H2075" t="s">
        <v>26</v>
      </c>
      <c r="I2075" t="s">
        <v>3167</v>
      </c>
      <c r="J2075" t="s">
        <v>1003</v>
      </c>
      <c r="K2075" t="s">
        <v>3175</v>
      </c>
      <c r="L2075" t="s">
        <v>1003</v>
      </c>
      <c r="M2075" t="s">
        <v>1000</v>
      </c>
      <c r="N2075" t="s">
        <v>1001</v>
      </c>
      <c r="O2075" t="s">
        <v>1001</v>
      </c>
      <c r="P2075" t="s">
        <v>1110</v>
      </c>
      <c r="Q2075" t="s">
        <v>3169</v>
      </c>
      <c r="R2075" t="s">
        <v>446</v>
      </c>
      <c r="S2075" t="s">
        <v>446</v>
      </c>
      <c r="T2075" t="s">
        <v>1965</v>
      </c>
      <c r="U2075" t="b">
        <v>0</v>
      </c>
      <c r="V2075" t="s">
        <v>446</v>
      </c>
    </row>
    <row r="2076" spans="1:22" x14ac:dyDescent="0.25">
      <c r="A2076" t="s">
        <v>42</v>
      </c>
      <c r="B2076">
        <v>249</v>
      </c>
      <c r="C2076" t="s">
        <v>1005</v>
      </c>
      <c r="D2076" t="s">
        <v>5374</v>
      </c>
      <c r="E2076" t="s">
        <v>982</v>
      </c>
      <c r="F2076" t="s">
        <v>5375</v>
      </c>
      <c r="G2076" t="s">
        <v>24</v>
      </c>
      <c r="H2076" t="s">
        <v>26</v>
      </c>
      <c r="I2076" t="s">
        <v>3167</v>
      </c>
      <c r="J2076" t="s">
        <v>1003</v>
      </c>
      <c r="K2076" t="s">
        <v>3175</v>
      </c>
      <c r="L2076" t="s">
        <v>1003</v>
      </c>
      <c r="M2076" t="s">
        <v>1000</v>
      </c>
      <c r="N2076" t="s">
        <v>1001</v>
      </c>
      <c r="O2076" t="s">
        <v>1001</v>
      </c>
      <c r="P2076" t="s">
        <v>1110</v>
      </c>
      <c r="Q2076" t="s">
        <v>3169</v>
      </c>
      <c r="R2076" t="s">
        <v>446</v>
      </c>
      <c r="S2076" t="s">
        <v>446</v>
      </c>
      <c r="T2076" t="s">
        <v>1965</v>
      </c>
      <c r="U2076" t="b">
        <v>0</v>
      </c>
      <c r="V2076" t="s">
        <v>446</v>
      </c>
    </row>
    <row r="2077" spans="1:22" x14ac:dyDescent="0.25">
      <c r="A2077" t="s">
        <v>42</v>
      </c>
      <c r="B2077">
        <v>249</v>
      </c>
      <c r="C2077" t="s">
        <v>1007</v>
      </c>
      <c r="D2077" t="s">
        <v>5376</v>
      </c>
      <c r="E2077" t="s">
        <v>1006</v>
      </c>
      <c r="F2077" t="s">
        <v>3218</v>
      </c>
      <c r="G2077" t="s">
        <v>24</v>
      </c>
      <c r="H2077" t="s">
        <v>26</v>
      </c>
      <c r="I2077" t="s">
        <v>3167</v>
      </c>
      <c r="J2077" t="s">
        <v>1011</v>
      </c>
      <c r="K2077" t="s">
        <v>3179</v>
      </c>
      <c r="L2077" t="s">
        <v>1011</v>
      </c>
      <c r="M2077" t="s">
        <v>1008</v>
      </c>
      <c r="N2077" t="s">
        <v>1009</v>
      </c>
      <c r="O2077" t="s">
        <v>1009</v>
      </c>
      <c r="P2077" t="s">
        <v>1110</v>
      </c>
      <c r="Q2077" t="s">
        <v>3169</v>
      </c>
      <c r="R2077" t="s">
        <v>446</v>
      </c>
      <c r="S2077" t="s">
        <v>446</v>
      </c>
      <c r="T2077" t="s">
        <v>1965</v>
      </c>
      <c r="U2077" t="b">
        <v>0</v>
      </c>
      <c r="V2077" t="s">
        <v>446</v>
      </c>
    </row>
    <row r="2078" spans="1:22" x14ac:dyDescent="0.25">
      <c r="A2078" t="s">
        <v>42</v>
      </c>
      <c r="B2078">
        <v>249</v>
      </c>
      <c r="C2078" t="s">
        <v>1014</v>
      </c>
      <c r="D2078" t="s">
        <v>5377</v>
      </c>
      <c r="E2078" t="s">
        <v>1013</v>
      </c>
      <c r="F2078" t="s">
        <v>5378</v>
      </c>
      <c r="G2078" t="s">
        <v>24</v>
      </c>
      <c r="H2078" t="s">
        <v>26</v>
      </c>
      <c r="I2078" t="s">
        <v>3167</v>
      </c>
      <c r="J2078" t="s">
        <v>1016</v>
      </c>
      <c r="K2078" t="s">
        <v>3181</v>
      </c>
      <c r="L2078" t="s">
        <v>1016</v>
      </c>
      <c r="M2078" t="s">
        <v>980</v>
      </c>
      <c r="N2078" t="s">
        <v>1015</v>
      </c>
      <c r="O2078" t="s">
        <v>1015</v>
      </c>
      <c r="P2078" t="s">
        <v>1110</v>
      </c>
      <c r="Q2078" t="s">
        <v>3169</v>
      </c>
      <c r="R2078" t="s">
        <v>446</v>
      </c>
      <c r="S2078" t="s">
        <v>446</v>
      </c>
      <c r="T2078" t="s">
        <v>1965</v>
      </c>
      <c r="U2078" t="b">
        <v>0</v>
      </c>
      <c r="V2078" t="s">
        <v>446</v>
      </c>
    </row>
    <row r="2079" spans="1:22" x14ac:dyDescent="0.25">
      <c r="A2079" t="s">
        <v>42</v>
      </c>
      <c r="B2079">
        <v>249</v>
      </c>
      <c r="C2079" t="s">
        <v>1019</v>
      </c>
      <c r="D2079" t="s">
        <v>5379</v>
      </c>
      <c r="E2079" t="s">
        <v>1018</v>
      </c>
      <c r="F2079" t="s">
        <v>3218</v>
      </c>
      <c r="G2079" t="s">
        <v>24</v>
      </c>
      <c r="H2079" t="s">
        <v>26</v>
      </c>
      <c r="I2079" t="s">
        <v>3167</v>
      </c>
      <c r="J2079" t="s">
        <v>1021</v>
      </c>
      <c r="K2079" t="s">
        <v>3183</v>
      </c>
      <c r="L2079" t="s">
        <v>1021</v>
      </c>
      <c r="M2079" t="s">
        <v>980</v>
      </c>
      <c r="N2079" t="s">
        <v>1020</v>
      </c>
      <c r="O2079" t="s">
        <v>1020</v>
      </c>
      <c r="P2079" t="s">
        <v>1110</v>
      </c>
      <c r="Q2079" t="s">
        <v>3169</v>
      </c>
      <c r="R2079" t="s">
        <v>446</v>
      </c>
      <c r="S2079" t="s">
        <v>446</v>
      </c>
      <c r="T2079" t="s">
        <v>1965</v>
      </c>
      <c r="U2079" t="b">
        <v>0</v>
      </c>
      <c r="V2079" t="s">
        <v>446</v>
      </c>
    </row>
    <row r="2080" spans="1:22" x14ac:dyDescent="0.25">
      <c r="A2080" t="s">
        <v>42</v>
      </c>
      <c r="B2080">
        <v>249</v>
      </c>
      <c r="C2080" t="s">
        <v>1024</v>
      </c>
      <c r="D2080" t="s">
        <v>5380</v>
      </c>
      <c r="E2080" t="s">
        <v>1023</v>
      </c>
      <c r="F2080" t="s">
        <v>5381</v>
      </c>
      <c r="G2080" t="s">
        <v>24</v>
      </c>
      <c r="H2080" t="s">
        <v>26</v>
      </c>
      <c r="I2080" t="s">
        <v>3167</v>
      </c>
      <c r="J2080" t="s">
        <v>1026</v>
      </c>
      <c r="K2080" t="s">
        <v>3185</v>
      </c>
      <c r="L2080" t="s">
        <v>1026</v>
      </c>
      <c r="M2080" t="s">
        <v>1000</v>
      </c>
      <c r="N2080" t="s">
        <v>1025</v>
      </c>
      <c r="O2080" t="s">
        <v>1025</v>
      </c>
      <c r="P2080" t="s">
        <v>1110</v>
      </c>
      <c r="Q2080" t="s">
        <v>3169</v>
      </c>
      <c r="R2080" t="s">
        <v>446</v>
      </c>
      <c r="S2080" t="s">
        <v>446</v>
      </c>
      <c r="T2080" t="s">
        <v>1965</v>
      </c>
      <c r="U2080" t="b">
        <v>0</v>
      </c>
      <c r="V2080" t="s">
        <v>446</v>
      </c>
    </row>
    <row r="2081" spans="1:22" x14ac:dyDescent="0.25">
      <c r="A2081" t="s">
        <v>42</v>
      </c>
      <c r="B2081">
        <v>249</v>
      </c>
      <c r="C2081" t="s">
        <v>1028</v>
      </c>
      <c r="D2081" t="s">
        <v>5382</v>
      </c>
      <c r="E2081" t="s">
        <v>1010</v>
      </c>
      <c r="F2081" t="s">
        <v>5383</v>
      </c>
      <c r="G2081" t="s">
        <v>24</v>
      </c>
      <c r="H2081" t="s">
        <v>26</v>
      </c>
      <c r="I2081" t="s">
        <v>3167</v>
      </c>
      <c r="J2081" t="s">
        <v>1026</v>
      </c>
      <c r="K2081" t="s">
        <v>3185</v>
      </c>
      <c r="L2081" t="s">
        <v>1026</v>
      </c>
      <c r="M2081" t="s">
        <v>1000</v>
      </c>
      <c r="N2081" t="s">
        <v>1025</v>
      </c>
      <c r="O2081" t="s">
        <v>1025</v>
      </c>
      <c r="P2081" t="s">
        <v>1110</v>
      </c>
      <c r="Q2081" t="s">
        <v>3169</v>
      </c>
      <c r="R2081" t="s">
        <v>446</v>
      </c>
      <c r="S2081" t="s">
        <v>446</v>
      </c>
      <c r="T2081" t="s">
        <v>1965</v>
      </c>
      <c r="U2081" t="b">
        <v>0</v>
      </c>
      <c r="V2081" t="s">
        <v>446</v>
      </c>
    </row>
    <row r="2082" spans="1:22" x14ac:dyDescent="0.25">
      <c r="A2082" t="s">
        <v>42</v>
      </c>
      <c r="B2082">
        <v>249</v>
      </c>
      <c r="C2082" t="s">
        <v>1030</v>
      </c>
      <c r="D2082" t="s">
        <v>5384</v>
      </c>
      <c r="E2082" t="s">
        <v>1029</v>
      </c>
      <c r="F2082" t="s">
        <v>3218</v>
      </c>
      <c r="G2082" t="s">
        <v>24</v>
      </c>
      <c r="H2082" t="s">
        <v>26</v>
      </c>
      <c r="I2082" t="s">
        <v>3167</v>
      </c>
      <c r="J2082" t="s">
        <v>1033</v>
      </c>
      <c r="K2082" t="s">
        <v>3189</v>
      </c>
      <c r="L2082" t="s">
        <v>1033</v>
      </c>
      <c r="M2082" t="s">
        <v>980</v>
      </c>
      <c r="N2082" t="s">
        <v>1031</v>
      </c>
      <c r="O2082" t="s">
        <v>1031</v>
      </c>
      <c r="P2082" t="s">
        <v>1110</v>
      </c>
      <c r="Q2082" t="s">
        <v>3169</v>
      </c>
      <c r="R2082" t="s">
        <v>446</v>
      </c>
      <c r="S2082" t="s">
        <v>446</v>
      </c>
      <c r="T2082" t="s">
        <v>1965</v>
      </c>
      <c r="U2082" t="b">
        <v>0</v>
      </c>
      <c r="V2082" t="s">
        <v>446</v>
      </c>
    </row>
    <row r="2083" spans="1:22" x14ac:dyDescent="0.25">
      <c r="A2083" t="s">
        <v>42</v>
      </c>
      <c r="B2083">
        <v>249</v>
      </c>
      <c r="C2083" t="s">
        <v>1036</v>
      </c>
      <c r="D2083" t="s">
        <v>5385</v>
      </c>
      <c r="E2083" t="s">
        <v>1035</v>
      </c>
      <c r="F2083" t="s">
        <v>3218</v>
      </c>
      <c r="G2083" t="s">
        <v>24</v>
      </c>
      <c r="H2083" t="s">
        <v>26</v>
      </c>
      <c r="I2083" t="s">
        <v>3167</v>
      </c>
      <c r="J2083" t="s">
        <v>1038</v>
      </c>
      <c r="K2083" t="s">
        <v>3191</v>
      </c>
      <c r="L2083" t="s">
        <v>1038</v>
      </c>
      <c r="M2083" t="s">
        <v>980</v>
      </c>
      <c r="N2083" t="s">
        <v>1037</v>
      </c>
      <c r="O2083" t="s">
        <v>1037</v>
      </c>
      <c r="P2083" t="s">
        <v>1110</v>
      </c>
      <c r="Q2083" t="s">
        <v>3169</v>
      </c>
      <c r="R2083" t="s">
        <v>446</v>
      </c>
      <c r="S2083" t="s">
        <v>446</v>
      </c>
      <c r="T2083" t="s">
        <v>1965</v>
      </c>
      <c r="U2083" t="b">
        <v>0</v>
      </c>
      <c r="V2083" t="s">
        <v>446</v>
      </c>
    </row>
    <row r="2084" spans="1:22" x14ac:dyDescent="0.25">
      <c r="A2084" t="s">
        <v>42</v>
      </c>
      <c r="B2084">
        <v>249</v>
      </c>
      <c r="C2084" t="s">
        <v>1041</v>
      </c>
      <c r="D2084" t="s">
        <v>5386</v>
      </c>
      <c r="E2084" t="s">
        <v>1040</v>
      </c>
      <c r="F2084" t="s">
        <v>3218</v>
      </c>
      <c r="G2084" t="s">
        <v>24</v>
      </c>
      <c r="H2084" t="s">
        <v>26</v>
      </c>
      <c r="I2084" t="s">
        <v>3167</v>
      </c>
      <c r="J2084" t="s">
        <v>1043</v>
      </c>
      <c r="K2084" t="s">
        <v>3193</v>
      </c>
      <c r="L2084" t="s">
        <v>1043</v>
      </c>
      <c r="M2084" t="s">
        <v>980</v>
      </c>
      <c r="N2084" t="s">
        <v>1042</v>
      </c>
      <c r="O2084" t="s">
        <v>1042</v>
      </c>
      <c r="P2084" t="s">
        <v>1110</v>
      </c>
      <c r="Q2084" t="s">
        <v>3169</v>
      </c>
      <c r="R2084" t="s">
        <v>446</v>
      </c>
      <c r="S2084" t="s">
        <v>446</v>
      </c>
      <c r="T2084" t="s">
        <v>1965</v>
      </c>
      <c r="U2084" t="b">
        <v>0</v>
      </c>
      <c r="V2084" t="s">
        <v>446</v>
      </c>
    </row>
    <row r="2085" spans="1:22" x14ac:dyDescent="0.25">
      <c r="A2085" t="s">
        <v>42</v>
      </c>
      <c r="B2085">
        <v>249</v>
      </c>
      <c r="C2085" t="s">
        <v>1046</v>
      </c>
      <c r="D2085" t="s">
        <v>5387</v>
      </c>
      <c r="E2085" t="s">
        <v>1045</v>
      </c>
      <c r="F2085" t="s">
        <v>5388</v>
      </c>
      <c r="G2085" t="s">
        <v>24</v>
      </c>
      <c r="H2085" t="s">
        <v>26</v>
      </c>
      <c r="I2085" t="s">
        <v>3167</v>
      </c>
      <c r="J2085" t="s">
        <v>1048</v>
      </c>
      <c r="K2085" t="s">
        <v>3195</v>
      </c>
      <c r="L2085" t="s">
        <v>1048</v>
      </c>
      <c r="M2085" t="s">
        <v>1000</v>
      </c>
      <c r="N2085" t="s">
        <v>1047</v>
      </c>
      <c r="O2085" t="s">
        <v>1047</v>
      </c>
      <c r="P2085" t="s">
        <v>1110</v>
      </c>
      <c r="Q2085" t="s">
        <v>3169</v>
      </c>
      <c r="R2085" t="s">
        <v>446</v>
      </c>
      <c r="S2085" t="s">
        <v>446</v>
      </c>
      <c r="T2085" t="s">
        <v>1965</v>
      </c>
      <c r="U2085" t="b">
        <v>0</v>
      </c>
      <c r="V2085" t="s">
        <v>446</v>
      </c>
    </row>
    <row r="2086" spans="1:22" x14ac:dyDescent="0.25">
      <c r="A2086" t="s">
        <v>42</v>
      </c>
      <c r="B2086">
        <v>249</v>
      </c>
      <c r="C2086" t="s">
        <v>1050</v>
      </c>
      <c r="D2086" t="s">
        <v>5389</v>
      </c>
      <c r="E2086" t="s">
        <v>1032</v>
      </c>
      <c r="F2086" t="s">
        <v>5390</v>
      </c>
      <c r="G2086" t="s">
        <v>24</v>
      </c>
      <c r="H2086" t="s">
        <v>26</v>
      </c>
      <c r="I2086" t="s">
        <v>3167</v>
      </c>
      <c r="J2086" t="s">
        <v>1048</v>
      </c>
      <c r="K2086" t="s">
        <v>3195</v>
      </c>
      <c r="L2086" t="s">
        <v>1048</v>
      </c>
      <c r="M2086" t="s">
        <v>1000</v>
      </c>
      <c r="N2086" t="s">
        <v>1047</v>
      </c>
      <c r="O2086" t="s">
        <v>1047</v>
      </c>
      <c r="P2086" t="s">
        <v>1110</v>
      </c>
      <c r="Q2086" t="s">
        <v>3169</v>
      </c>
      <c r="R2086" t="s">
        <v>446</v>
      </c>
      <c r="S2086" t="s">
        <v>446</v>
      </c>
      <c r="T2086" t="s">
        <v>1965</v>
      </c>
      <c r="U2086" t="b">
        <v>0</v>
      </c>
      <c r="V2086" t="s">
        <v>446</v>
      </c>
    </row>
    <row r="2087" spans="1:22" x14ac:dyDescent="0.25">
      <c r="A2087" t="s">
        <v>42</v>
      </c>
      <c r="B2087">
        <v>249</v>
      </c>
      <c r="C2087" t="s">
        <v>1052</v>
      </c>
      <c r="D2087" t="s">
        <v>5391</v>
      </c>
      <c r="E2087" t="s">
        <v>1051</v>
      </c>
      <c r="F2087" t="s">
        <v>3218</v>
      </c>
      <c r="G2087" t="s">
        <v>24</v>
      </c>
      <c r="H2087" t="s">
        <v>26</v>
      </c>
      <c r="I2087" t="s">
        <v>3167</v>
      </c>
      <c r="J2087" t="s">
        <v>1055</v>
      </c>
      <c r="K2087" t="s">
        <v>3199</v>
      </c>
      <c r="L2087" t="s">
        <v>1055</v>
      </c>
      <c r="M2087" t="s">
        <v>980</v>
      </c>
      <c r="N2087" t="s">
        <v>1053</v>
      </c>
      <c r="O2087" t="s">
        <v>1053</v>
      </c>
      <c r="P2087" t="s">
        <v>1110</v>
      </c>
      <c r="Q2087" t="s">
        <v>3169</v>
      </c>
      <c r="R2087" t="s">
        <v>446</v>
      </c>
      <c r="S2087" t="s">
        <v>446</v>
      </c>
      <c r="T2087" t="s">
        <v>1965</v>
      </c>
      <c r="U2087" t="b">
        <v>0</v>
      </c>
      <c r="V2087" t="s">
        <v>446</v>
      </c>
    </row>
    <row r="2088" spans="1:22" x14ac:dyDescent="0.25">
      <c r="A2088" t="s">
        <v>42</v>
      </c>
      <c r="B2088">
        <v>252</v>
      </c>
      <c r="C2088" t="s">
        <v>979</v>
      </c>
      <c r="D2088" t="s">
        <v>2616</v>
      </c>
      <c r="E2088" t="s">
        <v>978</v>
      </c>
      <c r="F2088" t="s">
        <v>3218</v>
      </c>
      <c r="G2088" t="s">
        <v>24</v>
      </c>
      <c r="H2088" t="s">
        <v>26</v>
      </c>
      <c r="I2088" t="s">
        <v>3167</v>
      </c>
      <c r="J2088" t="s">
        <v>984</v>
      </c>
      <c r="K2088" t="s">
        <v>3168</v>
      </c>
      <c r="L2088" t="s">
        <v>984</v>
      </c>
      <c r="M2088" t="s">
        <v>980</v>
      </c>
      <c r="N2088" t="s">
        <v>981</v>
      </c>
      <c r="O2088" t="s">
        <v>981</v>
      </c>
      <c r="P2088" t="s">
        <v>1746</v>
      </c>
      <c r="Q2088" t="s">
        <v>3771</v>
      </c>
      <c r="R2088" t="s">
        <v>446</v>
      </c>
      <c r="S2088" t="s">
        <v>446</v>
      </c>
      <c r="T2088" t="s">
        <v>1965</v>
      </c>
      <c r="U2088" t="b">
        <v>0</v>
      </c>
      <c r="V2088" t="s">
        <v>1962</v>
      </c>
    </row>
    <row r="2089" spans="1:22" x14ac:dyDescent="0.25">
      <c r="A2089" t="s">
        <v>42</v>
      </c>
      <c r="B2089">
        <v>252</v>
      </c>
      <c r="C2089" t="s">
        <v>987</v>
      </c>
      <c r="D2089" t="s">
        <v>2617</v>
      </c>
      <c r="E2089" t="s">
        <v>986</v>
      </c>
      <c r="F2089" t="s">
        <v>5392</v>
      </c>
      <c r="G2089" t="s">
        <v>24</v>
      </c>
      <c r="H2089" t="s">
        <v>26</v>
      </c>
      <c r="I2089" t="s">
        <v>3167</v>
      </c>
      <c r="J2089" t="s">
        <v>990</v>
      </c>
      <c r="K2089" t="s">
        <v>3171</v>
      </c>
      <c r="L2089" t="s">
        <v>990</v>
      </c>
      <c r="M2089" t="s">
        <v>980</v>
      </c>
      <c r="N2089" t="s">
        <v>988</v>
      </c>
      <c r="O2089" t="s">
        <v>988</v>
      </c>
      <c r="P2089" t="s">
        <v>1746</v>
      </c>
      <c r="Q2089" t="s">
        <v>3771</v>
      </c>
      <c r="R2089" t="s">
        <v>446</v>
      </c>
      <c r="S2089" t="s">
        <v>446</v>
      </c>
      <c r="T2089" t="s">
        <v>1965</v>
      </c>
      <c r="U2089" t="b">
        <v>0</v>
      </c>
      <c r="V2089" t="s">
        <v>1962</v>
      </c>
    </row>
    <row r="2090" spans="1:22" x14ac:dyDescent="0.25">
      <c r="A2090" t="s">
        <v>42</v>
      </c>
      <c r="B2090">
        <v>252</v>
      </c>
      <c r="C2090" t="s">
        <v>993</v>
      </c>
      <c r="D2090" t="s">
        <v>2618</v>
      </c>
      <c r="E2090" t="s">
        <v>992</v>
      </c>
      <c r="F2090" t="s">
        <v>5393</v>
      </c>
      <c r="G2090" t="s">
        <v>24</v>
      </c>
      <c r="H2090" t="s">
        <v>26</v>
      </c>
      <c r="I2090" t="s">
        <v>3167</v>
      </c>
      <c r="J2090" t="s">
        <v>996</v>
      </c>
      <c r="K2090" t="s">
        <v>3173</v>
      </c>
      <c r="L2090" t="s">
        <v>996</v>
      </c>
      <c r="M2090" t="s">
        <v>980</v>
      </c>
      <c r="N2090" t="s">
        <v>994</v>
      </c>
      <c r="O2090" t="s">
        <v>994</v>
      </c>
      <c r="P2090" t="s">
        <v>1746</v>
      </c>
      <c r="Q2090" t="s">
        <v>3771</v>
      </c>
      <c r="R2090" t="s">
        <v>446</v>
      </c>
      <c r="S2090" t="s">
        <v>446</v>
      </c>
      <c r="T2090" t="s">
        <v>1965</v>
      </c>
      <c r="U2090" t="b">
        <v>0</v>
      </c>
      <c r="V2090" t="s">
        <v>1962</v>
      </c>
    </row>
    <row r="2091" spans="1:22" x14ac:dyDescent="0.25">
      <c r="A2091" t="s">
        <v>42</v>
      </c>
      <c r="B2091">
        <v>252</v>
      </c>
      <c r="C2091" t="s">
        <v>999</v>
      </c>
      <c r="D2091" t="s">
        <v>2619</v>
      </c>
      <c r="E2091" t="s">
        <v>998</v>
      </c>
      <c r="F2091" t="s">
        <v>5394</v>
      </c>
      <c r="G2091" t="s">
        <v>24</v>
      </c>
      <c r="H2091" t="s">
        <v>26</v>
      </c>
      <c r="I2091" t="s">
        <v>3167</v>
      </c>
      <c r="J2091" t="s">
        <v>1003</v>
      </c>
      <c r="K2091" t="s">
        <v>3175</v>
      </c>
      <c r="L2091" t="s">
        <v>1003</v>
      </c>
      <c r="M2091" t="s">
        <v>1000</v>
      </c>
      <c r="N2091" t="s">
        <v>1001</v>
      </c>
      <c r="O2091" t="s">
        <v>1001</v>
      </c>
      <c r="P2091" t="s">
        <v>1746</v>
      </c>
      <c r="Q2091" t="s">
        <v>3771</v>
      </c>
      <c r="R2091" t="s">
        <v>446</v>
      </c>
      <c r="S2091" t="s">
        <v>446</v>
      </c>
      <c r="T2091" t="s">
        <v>1965</v>
      </c>
      <c r="U2091" t="b">
        <v>0</v>
      </c>
      <c r="V2091" t="s">
        <v>1962</v>
      </c>
    </row>
    <row r="2092" spans="1:22" x14ac:dyDescent="0.25">
      <c r="A2092" t="s">
        <v>42</v>
      </c>
      <c r="B2092">
        <v>252</v>
      </c>
      <c r="C2092" t="s">
        <v>1005</v>
      </c>
      <c r="D2092" t="s">
        <v>5395</v>
      </c>
      <c r="E2092" t="s">
        <v>982</v>
      </c>
      <c r="F2092" t="s">
        <v>3218</v>
      </c>
      <c r="G2092" t="s">
        <v>24</v>
      </c>
      <c r="H2092" t="s">
        <v>26</v>
      </c>
      <c r="I2092" t="s">
        <v>3167</v>
      </c>
      <c r="J2092" t="s">
        <v>1003</v>
      </c>
      <c r="K2092" t="s">
        <v>3175</v>
      </c>
      <c r="L2092" t="s">
        <v>1003</v>
      </c>
      <c r="M2092" t="s">
        <v>1000</v>
      </c>
      <c r="N2092" t="s">
        <v>1001</v>
      </c>
      <c r="O2092" t="s">
        <v>1001</v>
      </c>
      <c r="P2092" t="s">
        <v>1746</v>
      </c>
      <c r="Q2092" t="s">
        <v>3771</v>
      </c>
      <c r="R2092" t="s">
        <v>446</v>
      </c>
      <c r="S2092" t="s">
        <v>446</v>
      </c>
      <c r="T2092" t="s">
        <v>1965</v>
      </c>
      <c r="U2092" t="b">
        <v>0</v>
      </c>
      <c r="V2092" t="s">
        <v>446</v>
      </c>
    </row>
    <row r="2093" spans="1:22" x14ac:dyDescent="0.25">
      <c r="A2093" t="s">
        <v>42</v>
      </c>
      <c r="B2093">
        <v>252</v>
      </c>
      <c r="C2093" t="s">
        <v>1007</v>
      </c>
      <c r="D2093" t="s">
        <v>2620</v>
      </c>
      <c r="E2093" t="s">
        <v>1006</v>
      </c>
      <c r="F2093" t="s">
        <v>4180</v>
      </c>
      <c r="G2093" t="s">
        <v>24</v>
      </c>
      <c r="H2093" t="s">
        <v>26</v>
      </c>
      <c r="I2093" t="s">
        <v>3167</v>
      </c>
      <c r="J2093" t="s">
        <v>1011</v>
      </c>
      <c r="K2093" t="s">
        <v>3179</v>
      </c>
      <c r="L2093" t="s">
        <v>1011</v>
      </c>
      <c r="M2093" t="s">
        <v>1008</v>
      </c>
      <c r="N2093" t="s">
        <v>1009</v>
      </c>
      <c r="O2093" t="s">
        <v>1009</v>
      </c>
      <c r="P2093" t="s">
        <v>1746</v>
      </c>
      <c r="Q2093" t="s">
        <v>3771</v>
      </c>
      <c r="R2093" t="s">
        <v>446</v>
      </c>
      <c r="S2093" t="s">
        <v>446</v>
      </c>
      <c r="T2093" t="s">
        <v>1965</v>
      </c>
      <c r="U2093" t="b">
        <v>0</v>
      </c>
      <c r="V2093" t="s">
        <v>1962</v>
      </c>
    </row>
    <row r="2094" spans="1:22" x14ac:dyDescent="0.25">
      <c r="A2094" t="s">
        <v>42</v>
      </c>
      <c r="B2094">
        <v>252</v>
      </c>
      <c r="C2094" t="s">
        <v>1014</v>
      </c>
      <c r="D2094" t="s">
        <v>2621</v>
      </c>
      <c r="E2094" t="s">
        <v>1013</v>
      </c>
      <c r="F2094" t="s">
        <v>5396</v>
      </c>
      <c r="G2094" t="s">
        <v>24</v>
      </c>
      <c r="H2094" t="s">
        <v>26</v>
      </c>
      <c r="I2094" t="s">
        <v>3167</v>
      </c>
      <c r="J2094" t="s">
        <v>1016</v>
      </c>
      <c r="K2094" t="s">
        <v>3181</v>
      </c>
      <c r="L2094" t="s">
        <v>1016</v>
      </c>
      <c r="M2094" t="s">
        <v>980</v>
      </c>
      <c r="N2094" t="s">
        <v>1015</v>
      </c>
      <c r="O2094" t="s">
        <v>1015</v>
      </c>
      <c r="P2094" t="s">
        <v>1746</v>
      </c>
      <c r="Q2094" t="s">
        <v>3771</v>
      </c>
      <c r="R2094" t="s">
        <v>446</v>
      </c>
      <c r="S2094" t="s">
        <v>446</v>
      </c>
      <c r="T2094" t="s">
        <v>1965</v>
      </c>
      <c r="U2094" t="b">
        <v>0</v>
      </c>
      <c r="V2094" t="s">
        <v>1962</v>
      </c>
    </row>
    <row r="2095" spans="1:22" x14ac:dyDescent="0.25">
      <c r="A2095" t="s">
        <v>42</v>
      </c>
      <c r="B2095">
        <v>252</v>
      </c>
      <c r="C2095" t="s">
        <v>1019</v>
      </c>
      <c r="D2095" t="s">
        <v>2622</v>
      </c>
      <c r="E2095" t="s">
        <v>1018</v>
      </c>
      <c r="F2095" t="s">
        <v>5397</v>
      </c>
      <c r="G2095" t="s">
        <v>24</v>
      </c>
      <c r="H2095" t="s">
        <v>26</v>
      </c>
      <c r="I2095" t="s">
        <v>3167</v>
      </c>
      <c r="J2095" t="s">
        <v>1021</v>
      </c>
      <c r="K2095" t="s">
        <v>3183</v>
      </c>
      <c r="L2095" t="s">
        <v>1021</v>
      </c>
      <c r="M2095" t="s">
        <v>980</v>
      </c>
      <c r="N2095" t="s">
        <v>1020</v>
      </c>
      <c r="O2095" t="s">
        <v>1020</v>
      </c>
      <c r="P2095" t="s">
        <v>1746</v>
      </c>
      <c r="Q2095" t="s">
        <v>3771</v>
      </c>
      <c r="R2095" t="s">
        <v>446</v>
      </c>
      <c r="S2095" t="s">
        <v>446</v>
      </c>
      <c r="T2095" t="s">
        <v>1965</v>
      </c>
      <c r="U2095" t="b">
        <v>0</v>
      </c>
      <c r="V2095" t="s">
        <v>1962</v>
      </c>
    </row>
    <row r="2096" spans="1:22" x14ac:dyDescent="0.25">
      <c r="A2096" t="s">
        <v>42</v>
      </c>
      <c r="B2096">
        <v>252</v>
      </c>
      <c r="C2096" t="s">
        <v>1024</v>
      </c>
      <c r="D2096" t="s">
        <v>2623</v>
      </c>
      <c r="E2096" t="s">
        <v>1023</v>
      </c>
      <c r="F2096" t="s">
        <v>5398</v>
      </c>
      <c r="G2096" t="s">
        <v>24</v>
      </c>
      <c r="H2096" t="s">
        <v>26</v>
      </c>
      <c r="I2096" t="s">
        <v>3167</v>
      </c>
      <c r="J2096" t="s">
        <v>1026</v>
      </c>
      <c r="K2096" t="s">
        <v>3185</v>
      </c>
      <c r="L2096" t="s">
        <v>1026</v>
      </c>
      <c r="M2096" t="s">
        <v>1000</v>
      </c>
      <c r="N2096" t="s">
        <v>1025</v>
      </c>
      <c r="O2096" t="s">
        <v>1025</v>
      </c>
      <c r="P2096" t="s">
        <v>1746</v>
      </c>
      <c r="Q2096" t="s">
        <v>3771</v>
      </c>
      <c r="R2096" t="s">
        <v>446</v>
      </c>
      <c r="S2096" t="s">
        <v>446</v>
      </c>
      <c r="T2096" t="s">
        <v>1965</v>
      </c>
      <c r="U2096" t="b">
        <v>0</v>
      </c>
      <c r="V2096" t="s">
        <v>1962</v>
      </c>
    </row>
    <row r="2097" spans="1:22" x14ac:dyDescent="0.25">
      <c r="A2097" t="s">
        <v>42</v>
      </c>
      <c r="B2097">
        <v>252</v>
      </c>
      <c r="C2097" t="s">
        <v>1028</v>
      </c>
      <c r="D2097" t="s">
        <v>5399</v>
      </c>
      <c r="E2097" t="s">
        <v>1010</v>
      </c>
      <c r="F2097" t="s">
        <v>4180</v>
      </c>
      <c r="G2097" t="s">
        <v>24</v>
      </c>
      <c r="H2097" t="s">
        <v>26</v>
      </c>
      <c r="I2097" t="s">
        <v>3167</v>
      </c>
      <c r="J2097" t="s">
        <v>1026</v>
      </c>
      <c r="K2097" t="s">
        <v>3185</v>
      </c>
      <c r="L2097" t="s">
        <v>1026</v>
      </c>
      <c r="M2097" t="s">
        <v>1000</v>
      </c>
      <c r="N2097" t="s">
        <v>1025</v>
      </c>
      <c r="O2097" t="s">
        <v>1025</v>
      </c>
      <c r="P2097" t="s">
        <v>1746</v>
      </c>
      <c r="Q2097" t="s">
        <v>3771</v>
      </c>
      <c r="R2097" t="s">
        <v>446</v>
      </c>
      <c r="S2097" t="s">
        <v>446</v>
      </c>
      <c r="T2097" t="s">
        <v>1965</v>
      </c>
      <c r="U2097" t="b">
        <v>0</v>
      </c>
      <c r="V2097" t="s">
        <v>446</v>
      </c>
    </row>
    <row r="2098" spans="1:22" x14ac:dyDescent="0.25">
      <c r="A2098" t="s">
        <v>42</v>
      </c>
      <c r="B2098">
        <v>252</v>
      </c>
      <c r="C2098" t="s">
        <v>1030</v>
      </c>
      <c r="D2098" t="s">
        <v>2624</v>
      </c>
      <c r="E2098" t="s">
        <v>1029</v>
      </c>
      <c r="F2098" t="s">
        <v>4181</v>
      </c>
      <c r="G2098" t="s">
        <v>24</v>
      </c>
      <c r="H2098" t="s">
        <v>26</v>
      </c>
      <c r="I2098" t="s">
        <v>3167</v>
      </c>
      <c r="J2098" t="s">
        <v>1033</v>
      </c>
      <c r="K2098" t="s">
        <v>3189</v>
      </c>
      <c r="L2098" t="s">
        <v>1033</v>
      </c>
      <c r="M2098" t="s">
        <v>980</v>
      </c>
      <c r="N2098" t="s">
        <v>1031</v>
      </c>
      <c r="O2098" t="s">
        <v>1031</v>
      </c>
      <c r="P2098" t="s">
        <v>1746</v>
      </c>
      <c r="Q2098" t="s">
        <v>3771</v>
      </c>
      <c r="R2098" t="s">
        <v>446</v>
      </c>
      <c r="S2098" t="s">
        <v>446</v>
      </c>
      <c r="T2098" t="s">
        <v>1965</v>
      </c>
      <c r="U2098" t="b">
        <v>0</v>
      </c>
      <c r="V2098" t="s">
        <v>1962</v>
      </c>
    </row>
    <row r="2099" spans="1:22" x14ac:dyDescent="0.25">
      <c r="A2099" t="s">
        <v>42</v>
      </c>
      <c r="B2099">
        <v>252</v>
      </c>
      <c r="C2099" t="s">
        <v>1036</v>
      </c>
      <c r="D2099" t="s">
        <v>2625</v>
      </c>
      <c r="E2099" t="s">
        <v>1035</v>
      </c>
      <c r="F2099" t="s">
        <v>5400</v>
      </c>
      <c r="G2099" t="s">
        <v>24</v>
      </c>
      <c r="H2099" t="s">
        <v>26</v>
      </c>
      <c r="I2099" t="s">
        <v>3167</v>
      </c>
      <c r="J2099" t="s">
        <v>1038</v>
      </c>
      <c r="K2099" t="s">
        <v>3191</v>
      </c>
      <c r="L2099" t="s">
        <v>1038</v>
      </c>
      <c r="M2099" t="s">
        <v>980</v>
      </c>
      <c r="N2099" t="s">
        <v>1037</v>
      </c>
      <c r="O2099" t="s">
        <v>1037</v>
      </c>
      <c r="P2099" t="s">
        <v>1746</v>
      </c>
      <c r="Q2099" t="s">
        <v>3771</v>
      </c>
      <c r="R2099" t="s">
        <v>446</v>
      </c>
      <c r="S2099" t="s">
        <v>446</v>
      </c>
      <c r="T2099" t="s">
        <v>1965</v>
      </c>
      <c r="U2099" t="b">
        <v>0</v>
      </c>
      <c r="V2099" t="s">
        <v>1962</v>
      </c>
    </row>
    <row r="2100" spans="1:22" x14ac:dyDescent="0.25">
      <c r="A2100" t="s">
        <v>42</v>
      </c>
      <c r="B2100">
        <v>252</v>
      </c>
      <c r="C2100" t="s">
        <v>1041</v>
      </c>
      <c r="D2100" t="s">
        <v>2626</v>
      </c>
      <c r="E2100" t="s">
        <v>1040</v>
      </c>
      <c r="F2100" t="s">
        <v>5401</v>
      </c>
      <c r="G2100" t="s">
        <v>24</v>
      </c>
      <c r="H2100" t="s">
        <v>26</v>
      </c>
      <c r="I2100" t="s">
        <v>3167</v>
      </c>
      <c r="J2100" t="s">
        <v>1043</v>
      </c>
      <c r="K2100" t="s">
        <v>3193</v>
      </c>
      <c r="L2100" t="s">
        <v>1043</v>
      </c>
      <c r="M2100" t="s">
        <v>980</v>
      </c>
      <c r="N2100" t="s">
        <v>1042</v>
      </c>
      <c r="O2100" t="s">
        <v>1042</v>
      </c>
      <c r="P2100" t="s">
        <v>1746</v>
      </c>
      <c r="Q2100" t="s">
        <v>3771</v>
      </c>
      <c r="R2100" t="s">
        <v>446</v>
      </c>
      <c r="S2100" t="s">
        <v>446</v>
      </c>
      <c r="T2100" t="s">
        <v>1965</v>
      </c>
      <c r="U2100" t="b">
        <v>0</v>
      </c>
      <c r="V2100" t="s">
        <v>1962</v>
      </c>
    </row>
    <row r="2101" spans="1:22" x14ac:dyDescent="0.25">
      <c r="A2101" t="s">
        <v>42</v>
      </c>
      <c r="B2101">
        <v>252</v>
      </c>
      <c r="C2101" t="s">
        <v>1046</v>
      </c>
      <c r="D2101" t="s">
        <v>2627</v>
      </c>
      <c r="E2101" t="s">
        <v>1045</v>
      </c>
      <c r="F2101" t="s">
        <v>5402</v>
      </c>
      <c r="G2101" t="s">
        <v>24</v>
      </c>
      <c r="H2101" t="s">
        <v>26</v>
      </c>
      <c r="I2101" t="s">
        <v>3167</v>
      </c>
      <c r="J2101" t="s">
        <v>1048</v>
      </c>
      <c r="K2101" t="s">
        <v>3195</v>
      </c>
      <c r="L2101" t="s">
        <v>1048</v>
      </c>
      <c r="M2101" t="s">
        <v>1000</v>
      </c>
      <c r="N2101" t="s">
        <v>1047</v>
      </c>
      <c r="O2101" t="s">
        <v>1047</v>
      </c>
      <c r="P2101" t="s">
        <v>1746</v>
      </c>
      <c r="Q2101" t="s">
        <v>3771</v>
      </c>
      <c r="R2101" t="s">
        <v>446</v>
      </c>
      <c r="S2101" t="s">
        <v>446</v>
      </c>
      <c r="T2101" t="s">
        <v>1965</v>
      </c>
      <c r="U2101" t="b">
        <v>0</v>
      </c>
      <c r="V2101" t="s">
        <v>1962</v>
      </c>
    </row>
    <row r="2102" spans="1:22" x14ac:dyDescent="0.25">
      <c r="A2102" t="s">
        <v>42</v>
      </c>
      <c r="B2102">
        <v>252</v>
      </c>
      <c r="C2102" t="s">
        <v>1050</v>
      </c>
      <c r="D2102" t="s">
        <v>5403</v>
      </c>
      <c r="E2102" t="s">
        <v>1032</v>
      </c>
      <c r="F2102" t="s">
        <v>4181</v>
      </c>
      <c r="G2102" t="s">
        <v>24</v>
      </c>
      <c r="H2102" t="s">
        <v>26</v>
      </c>
      <c r="I2102" t="s">
        <v>3167</v>
      </c>
      <c r="J2102" t="s">
        <v>1048</v>
      </c>
      <c r="K2102" t="s">
        <v>3195</v>
      </c>
      <c r="L2102" t="s">
        <v>1048</v>
      </c>
      <c r="M2102" t="s">
        <v>1000</v>
      </c>
      <c r="N2102" t="s">
        <v>1047</v>
      </c>
      <c r="O2102" t="s">
        <v>1047</v>
      </c>
      <c r="P2102" t="s">
        <v>1746</v>
      </c>
      <c r="Q2102" t="s">
        <v>3771</v>
      </c>
      <c r="R2102" t="s">
        <v>446</v>
      </c>
      <c r="S2102" t="s">
        <v>446</v>
      </c>
      <c r="T2102" t="s">
        <v>1965</v>
      </c>
      <c r="U2102" t="b">
        <v>0</v>
      </c>
      <c r="V2102" t="s">
        <v>446</v>
      </c>
    </row>
    <row r="2103" spans="1:22" x14ac:dyDescent="0.25">
      <c r="A2103" t="s">
        <v>42</v>
      </c>
      <c r="B2103">
        <v>252</v>
      </c>
      <c r="C2103" t="s">
        <v>1052</v>
      </c>
      <c r="D2103" t="s">
        <v>2628</v>
      </c>
      <c r="E2103" t="s">
        <v>1051</v>
      </c>
      <c r="F2103" t="s">
        <v>4182</v>
      </c>
      <c r="G2103" t="s">
        <v>24</v>
      </c>
      <c r="H2103" t="s">
        <v>26</v>
      </c>
      <c r="I2103" t="s">
        <v>3167</v>
      </c>
      <c r="J2103" t="s">
        <v>1055</v>
      </c>
      <c r="K2103" t="s">
        <v>3199</v>
      </c>
      <c r="L2103" t="s">
        <v>1055</v>
      </c>
      <c r="M2103" t="s">
        <v>980</v>
      </c>
      <c r="N2103" t="s">
        <v>1053</v>
      </c>
      <c r="O2103" t="s">
        <v>1053</v>
      </c>
      <c r="P2103" t="s">
        <v>1746</v>
      </c>
      <c r="Q2103" t="s">
        <v>3771</v>
      </c>
      <c r="R2103" t="s">
        <v>446</v>
      </c>
      <c r="S2103" t="s">
        <v>446</v>
      </c>
      <c r="T2103" t="s">
        <v>1965</v>
      </c>
      <c r="U2103" t="b">
        <v>0</v>
      </c>
      <c r="V2103" t="s">
        <v>1962</v>
      </c>
    </row>
    <row r="2104" spans="1:22" x14ac:dyDescent="0.25">
      <c r="A2104" t="s">
        <v>42</v>
      </c>
      <c r="B2104">
        <v>253</v>
      </c>
      <c r="C2104" t="s">
        <v>979</v>
      </c>
      <c r="D2104" t="s">
        <v>5404</v>
      </c>
      <c r="E2104" t="s">
        <v>978</v>
      </c>
      <c r="F2104" t="s">
        <v>3770</v>
      </c>
      <c r="G2104" t="s">
        <v>24</v>
      </c>
      <c r="H2104" t="s">
        <v>26</v>
      </c>
      <c r="I2104" t="s">
        <v>3167</v>
      </c>
      <c r="J2104" t="s">
        <v>984</v>
      </c>
      <c r="K2104" t="s">
        <v>3168</v>
      </c>
      <c r="L2104" t="s">
        <v>984</v>
      </c>
      <c r="M2104" t="s">
        <v>980</v>
      </c>
      <c r="N2104" t="s">
        <v>981</v>
      </c>
      <c r="O2104" t="s">
        <v>981</v>
      </c>
      <c r="P2104" t="s">
        <v>1110</v>
      </c>
      <c r="Q2104" t="s">
        <v>3169</v>
      </c>
      <c r="R2104" t="s">
        <v>446</v>
      </c>
      <c r="S2104" t="s">
        <v>446</v>
      </c>
      <c r="T2104" t="s">
        <v>1965</v>
      </c>
      <c r="U2104" t="b">
        <v>0</v>
      </c>
      <c r="V2104" t="s">
        <v>446</v>
      </c>
    </row>
    <row r="2105" spans="1:22" x14ac:dyDescent="0.25">
      <c r="A2105" t="s">
        <v>42</v>
      </c>
      <c r="B2105">
        <v>253</v>
      </c>
      <c r="C2105" t="s">
        <v>987</v>
      </c>
      <c r="D2105" t="s">
        <v>5405</v>
      </c>
      <c r="E2105" t="s">
        <v>986</v>
      </c>
      <c r="F2105" t="s">
        <v>3773</v>
      </c>
      <c r="G2105" t="s">
        <v>24</v>
      </c>
      <c r="H2105" t="s">
        <v>26</v>
      </c>
      <c r="I2105" t="s">
        <v>3167</v>
      </c>
      <c r="J2105" t="s">
        <v>990</v>
      </c>
      <c r="K2105" t="s">
        <v>3171</v>
      </c>
      <c r="L2105" t="s">
        <v>990</v>
      </c>
      <c r="M2105" t="s">
        <v>980</v>
      </c>
      <c r="N2105" t="s">
        <v>988</v>
      </c>
      <c r="O2105" t="s">
        <v>988</v>
      </c>
      <c r="P2105" t="s">
        <v>1110</v>
      </c>
      <c r="Q2105" t="s">
        <v>3169</v>
      </c>
      <c r="R2105" t="s">
        <v>446</v>
      </c>
      <c r="S2105" t="s">
        <v>446</v>
      </c>
      <c r="T2105" t="s">
        <v>1965</v>
      </c>
      <c r="U2105" t="b">
        <v>0</v>
      </c>
      <c r="V2105" t="s">
        <v>446</v>
      </c>
    </row>
    <row r="2106" spans="1:22" x14ac:dyDescent="0.25">
      <c r="A2106" t="s">
        <v>42</v>
      </c>
      <c r="B2106">
        <v>253</v>
      </c>
      <c r="C2106" t="s">
        <v>993</v>
      </c>
      <c r="D2106" t="s">
        <v>5406</v>
      </c>
      <c r="E2106" t="s">
        <v>992</v>
      </c>
      <c r="F2106" t="s">
        <v>3775</v>
      </c>
      <c r="G2106" t="s">
        <v>24</v>
      </c>
      <c r="H2106" t="s">
        <v>26</v>
      </c>
      <c r="I2106" t="s">
        <v>3167</v>
      </c>
      <c r="J2106" t="s">
        <v>996</v>
      </c>
      <c r="K2106" t="s">
        <v>3173</v>
      </c>
      <c r="L2106" t="s">
        <v>996</v>
      </c>
      <c r="M2106" t="s">
        <v>980</v>
      </c>
      <c r="N2106" t="s">
        <v>994</v>
      </c>
      <c r="O2106" t="s">
        <v>994</v>
      </c>
      <c r="P2106" t="s">
        <v>1110</v>
      </c>
      <c r="Q2106" t="s">
        <v>3169</v>
      </c>
      <c r="R2106" t="s">
        <v>446</v>
      </c>
      <c r="S2106" t="s">
        <v>446</v>
      </c>
      <c r="T2106" t="s">
        <v>1965</v>
      </c>
      <c r="U2106" t="b">
        <v>0</v>
      </c>
      <c r="V2106" t="s">
        <v>446</v>
      </c>
    </row>
    <row r="2107" spans="1:22" x14ac:dyDescent="0.25">
      <c r="A2107" t="s">
        <v>42</v>
      </c>
      <c r="B2107">
        <v>253</v>
      </c>
      <c r="C2107" t="s">
        <v>999</v>
      </c>
      <c r="D2107" t="s">
        <v>5407</v>
      </c>
      <c r="E2107" t="s">
        <v>998</v>
      </c>
      <c r="F2107" t="s">
        <v>3777</v>
      </c>
      <c r="G2107" t="s">
        <v>24</v>
      </c>
      <c r="H2107" t="s">
        <v>26</v>
      </c>
      <c r="I2107" t="s">
        <v>3167</v>
      </c>
      <c r="J2107" t="s">
        <v>1003</v>
      </c>
      <c r="K2107" t="s">
        <v>3175</v>
      </c>
      <c r="L2107" t="s">
        <v>1003</v>
      </c>
      <c r="M2107" t="s">
        <v>1000</v>
      </c>
      <c r="N2107" t="s">
        <v>1001</v>
      </c>
      <c r="O2107" t="s">
        <v>1001</v>
      </c>
      <c r="P2107" t="s">
        <v>1110</v>
      </c>
      <c r="Q2107" t="s">
        <v>3169</v>
      </c>
      <c r="R2107" t="s">
        <v>446</v>
      </c>
      <c r="S2107" t="s">
        <v>446</v>
      </c>
      <c r="T2107" t="s">
        <v>1965</v>
      </c>
      <c r="U2107" t="b">
        <v>0</v>
      </c>
      <c r="V2107" t="s">
        <v>446</v>
      </c>
    </row>
    <row r="2108" spans="1:22" x14ac:dyDescent="0.25">
      <c r="A2108" t="s">
        <v>42</v>
      </c>
      <c r="B2108">
        <v>253</v>
      </c>
      <c r="C2108" t="s">
        <v>1005</v>
      </c>
      <c r="D2108" t="s">
        <v>5408</v>
      </c>
      <c r="E2108" t="s">
        <v>982</v>
      </c>
      <c r="F2108" t="s">
        <v>3779</v>
      </c>
      <c r="G2108" t="s">
        <v>24</v>
      </c>
      <c r="H2108" t="s">
        <v>26</v>
      </c>
      <c r="I2108" t="s">
        <v>3167</v>
      </c>
      <c r="J2108" t="s">
        <v>1003</v>
      </c>
      <c r="K2108" t="s">
        <v>3175</v>
      </c>
      <c r="L2108" t="s">
        <v>1003</v>
      </c>
      <c r="M2108" t="s">
        <v>1000</v>
      </c>
      <c r="N2108" t="s">
        <v>1001</v>
      </c>
      <c r="O2108" t="s">
        <v>1001</v>
      </c>
      <c r="P2108" t="s">
        <v>1110</v>
      </c>
      <c r="Q2108" t="s">
        <v>3169</v>
      </c>
      <c r="R2108" t="s">
        <v>446</v>
      </c>
      <c r="S2108" t="s">
        <v>446</v>
      </c>
      <c r="T2108" t="s">
        <v>1965</v>
      </c>
      <c r="U2108" t="b">
        <v>0</v>
      </c>
      <c r="V2108" t="s">
        <v>446</v>
      </c>
    </row>
    <row r="2109" spans="1:22" x14ac:dyDescent="0.25">
      <c r="A2109" t="s">
        <v>42</v>
      </c>
      <c r="B2109">
        <v>253</v>
      </c>
      <c r="C2109" t="s">
        <v>1007</v>
      </c>
      <c r="D2109" t="s">
        <v>5409</v>
      </c>
      <c r="E2109" t="s">
        <v>1006</v>
      </c>
      <c r="F2109" t="s">
        <v>3781</v>
      </c>
      <c r="G2109" t="s">
        <v>24</v>
      </c>
      <c r="H2109" t="s">
        <v>26</v>
      </c>
      <c r="I2109" t="s">
        <v>3167</v>
      </c>
      <c r="J2109" t="s">
        <v>1011</v>
      </c>
      <c r="K2109" t="s">
        <v>3179</v>
      </c>
      <c r="L2109" t="s">
        <v>1011</v>
      </c>
      <c r="M2109" t="s">
        <v>1008</v>
      </c>
      <c r="N2109" t="s">
        <v>1009</v>
      </c>
      <c r="O2109" t="s">
        <v>1009</v>
      </c>
      <c r="P2109" t="s">
        <v>1110</v>
      </c>
      <c r="Q2109" t="s">
        <v>3169</v>
      </c>
      <c r="R2109" t="s">
        <v>446</v>
      </c>
      <c r="S2109" t="s">
        <v>446</v>
      </c>
      <c r="T2109" t="s">
        <v>1965</v>
      </c>
      <c r="U2109" t="b">
        <v>0</v>
      </c>
      <c r="V2109" t="s">
        <v>446</v>
      </c>
    </row>
    <row r="2110" spans="1:22" x14ac:dyDescent="0.25">
      <c r="A2110" t="s">
        <v>42</v>
      </c>
      <c r="B2110">
        <v>253</v>
      </c>
      <c r="C2110" t="s">
        <v>1014</v>
      </c>
      <c r="D2110" t="s">
        <v>5410</v>
      </c>
      <c r="E2110" t="s">
        <v>1013</v>
      </c>
      <c r="F2110" t="s">
        <v>3783</v>
      </c>
      <c r="G2110" t="s">
        <v>24</v>
      </c>
      <c r="H2110" t="s">
        <v>26</v>
      </c>
      <c r="I2110" t="s">
        <v>3167</v>
      </c>
      <c r="J2110" t="s">
        <v>1016</v>
      </c>
      <c r="K2110" t="s">
        <v>3181</v>
      </c>
      <c r="L2110" t="s">
        <v>1016</v>
      </c>
      <c r="M2110" t="s">
        <v>980</v>
      </c>
      <c r="N2110" t="s">
        <v>1015</v>
      </c>
      <c r="O2110" t="s">
        <v>1015</v>
      </c>
      <c r="P2110" t="s">
        <v>1110</v>
      </c>
      <c r="Q2110" t="s">
        <v>3169</v>
      </c>
      <c r="R2110" t="s">
        <v>446</v>
      </c>
      <c r="S2110" t="s">
        <v>446</v>
      </c>
      <c r="T2110" t="s">
        <v>1965</v>
      </c>
      <c r="U2110" t="b">
        <v>0</v>
      </c>
      <c r="V2110" t="s">
        <v>446</v>
      </c>
    </row>
    <row r="2111" spans="1:22" x14ac:dyDescent="0.25">
      <c r="A2111" t="s">
        <v>42</v>
      </c>
      <c r="B2111">
        <v>253</v>
      </c>
      <c r="C2111" t="s">
        <v>1019</v>
      </c>
      <c r="D2111" t="s">
        <v>5411</v>
      </c>
      <c r="E2111" t="s">
        <v>1018</v>
      </c>
      <c r="F2111" t="s">
        <v>3785</v>
      </c>
      <c r="G2111" t="s">
        <v>24</v>
      </c>
      <c r="H2111" t="s">
        <v>26</v>
      </c>
      <c r="I2111" t="s">
        <v>3167</v>
      </c>
      <c r="J2111" t="s">
        <v>1021</v>
      </c>
      <c r="K2111" t="s">
        <v>3183</v>
      </c>
      <c r="L2111" t="s">
        <v>1021</v>
      </c>
      <c r="M2111" t="s">
        <v>980</v>
      </c>
      <c r="N2111" t="s">
        <v>1020</v>
      </c>
      <c r="O2111" t="s">
        <v>1020</v>
      </c>
      <c r="P2111" t="s">
        <v>1110</v>
      </c>
      <c r="Q2111" t="s">
        <v>3169</v>
      </c>
      <c r="R2111" t="s">
        <v>446</v>
      </c>
      <c r="S2111" t="s">
        <v>446</v>
      </c>
      <c r="T2111" t="s">
        <v>1965</v>
      </c>
      <c r="U2111" t="b">
        <v>0</v>
      </c>
      <c r="V2111" t="s">
        <v>446</v>
      </c>
    </row>
    <row r="2112" spans="1:22" x14ac:dyDescent="0.25">
      <c r="A2112" t="s">
        <v>42</v>
      </c>
      <c r="B2112">
        <v>253</v>
      </c>
      <c r="C2112" t="s">
        <v>1024</v>
      </c>
      <c r="D2112" t="s">
        <v>5412</v>
      </c>
      <c r="E2112" t="s">
        <v>1023</v>
      </c>
      <c r="F2112" t="s">
        <v>3787</v>
      </c>
      <c r="G2112" t="s">
        <v>24</v>
      </c>
      <c r="H2112" t="s">
        <v>26</v>
      </c>
      <c r="I2112" t="s">
        <v>3167</v>
      </c>
      <c r="J2112" t="s">
        <v>1026</v>
      </c>
      <c r="K2112" t="s">
        <v>3185</v>
      </c>
      <c r="L2112" t="s">
        <v>1026</v>
      </c>
      <c r="M2112" t="s">
        <v>1000</v>
      </c>
      <c r="N2112" t="s">
        <v>1025</v>
      </c>
      <c r="O2112" t="s">
        <v>1025</v>
      </c>
      <c r="P2112" t="s">
        <v>1110</v>
      </c>
      <c r="Q2112" t="s">
        <v>3169</v>
      </c>
      <c r="R2112" t="s">
        <v>446</v>
      </c>
      <c r="S2112" t="s">
        <v>446</v>
      </c>
      <c r="T2112" t="s">
        <v>1965</v>
      </c>
      <c r="U2112" t="b">
        <v>0</v>
      </c>
      <c r="V2112" t="s">
        <v>446</v>
      </c>
    </row>
    <row r="2113" spans="1:22" x14ac:dyDescent="0.25">
      <c r="A2113" t="s">
        <v>42</v>
      </c>
      <c r="B2113">
        <v>253</v>
      </c>
      <c r="C2113" t="s">
        <v>1028</v>
      </c>
      <c r="D2113" t="s">
        <v>5413</v>
      </c>
      <c r="E2113" t="s">
        <v>1010</v>
      </c>
      <c r="F2113" t="s">
        <v>3789</v>
      </c>
      <c r="G2113" t="s">
        <v>24</v>
      </c>
      <c r="H2113" t="s">
        <v>26</v>
      </c>
      <c r="I2113" t="s">
        <v>3167</v>
      </c>
      <c r="J2113" t="s">
        <v>1026</v>
      </c>
      <c r="K2113" t="s">
        <v>3185</v>
      </c>
      <c r="L2113" t="s">
        <v>1026</v>
      </c>
      <c r="M2113" t="s">
        <v>1000</v>
      </c>
      <c r="N2113" t="s">
        <v>1025</v>
      </c>
      <c r="O2113" t="s">
        <v>1025</v>
      </c>
      <c r="P2113" t="s">
        <v>1110</v>
      </c>
      <c r="Q2113" t="s">
        <v>3169</v>
      </c>
      <c r="R2113" t="s">
        <v>446</v>
      </c>
      <c r="S2113" t="s">
        <v>446</v>
      </c>
      <c r="T2113" t="s">
        <v>1965</v>
      </c>
      <c r="U2113" t="b">
        <v>0</v>
      </c>
      <c r="V2113" t="s">
        <v>446</v>
      </c>
    </row>
    <row r="2114" spans="1:22" x14ac:dyDescent="0.25">
      <c r="A2114" t="s">
        <v>42</v>
      </c>
      <c r="B2114">
        <v>253</v>
      </c>
      <c r="C2114" t="s">
        <v>1030</v>
      </c>
      <c r="D2114" t="s">
        <v>5414</v>
      </c>
      <c r="E2114" t="s">
        <v>1029</v>
      </c>
      <c r="F2114" t="s">
        <v>3791</v>
      </c>
      <c r="G2114" t="s">
        <v>24</v>
      </c>
      <c r="H2114" t="s">
        <v>26</v>
      </c>
      <c r="I2114" t="s">
        <v>3167</v>
      </c>
      <c r="J2114" t="s">
        <v>1033</v>
      </c>
      <c r="K2114" t="s">
        <v>3189</v>
      </c>
      <c r="L2114" t="s">
        <v>1033</v>
      </c>
      <c r="M2114" t="s">
        <v>980</v>
      </c>
      <c r="N2114" t="s">
        <v>1031</v>
      </c>
      <c r="O2114" t="s">
        <v>1031</v>
      </c>
      <c r="P2114" t="s">
        <v>1110</v>
      </c>
      <c r="Q2114" t="s">
        <v>3169</v>
      </c>
      <c r="R2114" t="s">
        <v>446</v>
      </c>
      <c r="S2114" t="s">
        <v>446</v>
      </c>
      <c r="T2114" t="s">
        <v>1965</v>
      </c>
      <c r="U2114" t="b">
        <v>0</v>
      </c>
      <c r="V2114" t="s">
        <v>446</v>
      </c>
    </row>
    <row r="2115" spans="1:22" x14ac:dyDescent="0.25">
      <c r="A2115" t="s">
        <v>42</v>
      </c>
      <c r="B2115">
        <v>253</v>
      </c>
      <c r="C2115" t="s">
        <v>1036</v>
      </c>
      <c r="D2115" t="s">
        <v>5415</v>
      </c>
      <c r="E2115" t="s">
        <v>1035</v>
      </c>
      <c r="F2115" t="s">
        <v>3793</v>
      </c>
      <c r="G2115" t="s">
        <v>24</v>
      </c>
      <c r="H2115" t="s">
        <v>26</v>
      </c>
      <c r="I2115" t="s">
        <v>3167</v>
      </c>
      <c r="J2115" t="s">
        <v>1038</v>
      </c>
      <c r="K2115" t="s">
        <v>3191</v>
      </c>
      <c r="L2115" t="s">
        <v>1038</v>
      </c>
      <c r="M2115" t="s">
        <v>980</v>
      </c>
      <c r="N2115" t="s">
        <v>1037</v>
      </c>
      <c r="O2115" t="s">
        <v>1037</v>
      </c>
      <c r="P2115" t="s">
        <v>1110</v>
      </c>
      <c r="Q2115" t="s">
        <v>3169</v>
      </c>
      <c r="R2115" t="s">
        <v>446</v>
      </c>
      <c r="S2115" t="s">
        <v>446</v>
      </c>
      <c r="T2115" t="s">
        <v>1965</v>
      </c>
      <c r="U2115" t="b">
        <v>0</v>
      </c>
      <c r="V2115" t="s">
        <v>446</v>
      </c>
    </row>
    <row r="2116" spans="1:22" x14ac:dyDescent="0.25">
      <c r="A2116" t="s">
        <v>42</v>
      </c>
      <c r="B2116">
        <v>253</v>
      </c>
      <c r="C2116" t="s">
        <v>1041</v>
      </c>
      <c r="D2116" t="s">
        <v>5416</v>
      </c>
      <c r="E2116" t="s">
        <v>1040</v>
      </c>
      <c r="F2116" t="s">
        <v>3795</v>
      </c>
      <c r="G2116" t="s">
        <v>24</v>
      </c>
      <c r="H2116" t="s">
        <v>26</v>
      </c>
      <c r="I2116" t="s">
        <v>3167</v>
      </c>
      <c r="J2116" t="s">
        <v>1043</v>
      </c>
      <c r="K2116" t="s">
        <v>3193</v>
      </c>
      <c r="L2116" t="s">
        <v>1043</v>
      </c>
      <c r="M2116" t="s">
        <v>980</v>
      </c>
      <c r="N2116" t="s">
        <v>1042</v>
      </c>
      <c r="O2116" t="s">
        <v>1042</v>
      </c>
      <c r="P2116" t="s">
        <v>1110</v>
      </c>
      <c r="Q2116" t="s">
        <v>3169</v>
      </c>
      <c r="R2116" t="s">
        <v>446</v>
      </c>
      <c r="S2116" t="s">
        <v>446</v>
      </c>
      <c r="T2116" t="s">
        <v>1965</v>
      </c>
      <c r="U2116" t="b">
        <v>0</v>
      </c>
      <c r="V2116" t="s">
        <v>446</v>
      </c>
    </row>
    <row r="2117" spans="1:22" x14ac:dyDescent="0.25">
      <c r="A2117" t="s">
        <v>42</v>
      </c>
      <c r="B2117">
        <v>253</v>
      </c>
      <c r="C2117" t="s">
        <v>1046</v>
      </c>
      <c r="D2117" t="s">
        <v>5417</v>
      </c>
      <c r="E2117" t="s">
        <v>1045</v>
      </c>
      <c r="F2117" t="s">
        <v>3797</v>
      </c>
      <c r="G2117" t="s">
        <v>24</v>
      </c>
      <c r="H2117" t="s">
        <v>26</v>
      </c>
      <c r="I2117" t="s">
        <v>3167</v>
      </c>
      <c r="J2117" t="s">
        <v>1048</v>
      </c>
      <c r="K2117" t="s">
        <v>3195</v>
      </c>
      <c r="L2117" t="s">
        <v>1048</v>
      </c>
      <c r="M2117" t="s">
        <v>1000</v>
      </c>
      <c r="N2117" t="s">
        <v>1047</v>
      </c>
      <c r="O2117" t="s">
        <v>1047</v>
      </c>
      <c r="P2117" t="s">
        <v>1110</v>
      </c>
      <c r="Q2117" t="s">
        <v>3169</v>
      </c>
      <c r="R2117" t="s">
        <v>446</v>
      </c>
      <c r="S2117" t="s">
        <v>446</v>
      </c>
      <c r="T2117" t="s">
        <v>1965</v>
      </c>
      <c r="U2117" t="b">
        <v>0</v>
      </c>
      <c r="V2117" t="s">
        <v>446</v>
      </c>
    </row>
    <row r="2118" spans="1:22" x14ac:dyDescent="0.25">
      <c r="A2118" t="s">
        <v>42</v>
      </c>
      <c r="B2118">
        <v>253</v>
      </c>
      <c r="C2118" t="s">
        <v>1050</v>
      </c>
      <c r="D2118" t="s">
        <v>5418</v>
      </c>
      <c r="E2118" t="s">
        <v>1032</v>
      </c>
      <c r="F2118" t="s">
        <v>3799</v>
      </c>
      <c r="G2118" t="s">
        <v>24</v>
      </c>
      <c r="H2118" t="s">
        <v>26</v>
      </c>
      <c r="I2118" t="s">
        <v>3167</v>
      </c>
      <c r="J2118" t="s">
        <v>1048</v>
      </c>
      <c r="K2118" t="s">
        <v>3195</v>
      </c>
      <c r="L2118" t="s">
        <v>1048</v>
      </c>
      <c r="M2118" t="s">
        <v>1000</v>
      </c>
      <c r="N2118" t="s">
        <v>1047</v>
      </c>
      <c r="O2118" t="s">
        <v>1047</v>
      </c>
      <c r="P2118" t="s">
        <v>1110</v>
      </c>
      <c r="Q2118" t="s">
        <v>3169</v>
      </c>
      <c r="R2118" t="s">
        <v>446</v>
      </c>
      <c r="S2118" t="s">
        <v>446</v>
      </c>
      <c r="T2118" t="s">
        <v>1965</v>
      </c>
      <c r="U2118" t="b">
        <v>0</v>
      </c>
      <c r="V2118" t="s">
        <v>446</v>
      </c>
    </row>
    <row r="2119" spans="1:22" x14ac:dyDescent="0.25">
      <c r="A2119" t="s">
        <v>42</v>
      </c>
      <c r="B2119">
        <v>253</v>
      </c>
      <c r="C2119" t="s">
        <v>1052</v>
      </c>
      <c r="D2119" t="s">
        <v>5419</v>
      </c>
      <c r="E2119" t="s">
        <v>1051</v>
      </c>
      <c r="F2119" t="s">
        <v>3801</v>
      </c>
      <c r="G2119" t="s">
        <v>24</v>
      </c>
      <c r="H2119" t="s">
        <v>26</v>
      </c>
      <c r="I2119" t="s">
        <v>3167</v>
      </c>
      <c r="J2119" t="s">
        <v>1055</v>
      </c>
      <c r="K2119" t="s">
        <v>3199</v>
      </c>
      <c r="L2119" t="s">
        <v>1055</v>
      </c>
      <c r="M2119" t="s">
        <v>980</v>
      </c>
      <c r="N2119" t="s">
        <v>1053</v>
      </c>
      <c r="O2119" t="s">
        <v>1053</v>
      </c>
      <c r="P2119" t="s">
        <v>1110</v>
      </c>
      <c r="Q2119" t="s">
        <v>3169</v>
      </c>
      <c r="R2119" t="s">
        <v>446</v>
      </c>
      <c r="S2119" t="s">
        <v>446</v>
      </c>
      <c r="T2119" t="s">
        <v>1965</v>
      </c>
      <c r="U2119" t="b">
        <v>0</v>
      </c>
      <c r="V2119" t="s">
        <v>446</v>
      </c>
    </row>
    <row r="2120" spans="1:22" x14ac:dyDescent="0.25">
      <c r="A2120" t="s">
        <v>42</v>
      </c>
      <c r="B2120">
        <v>254</v>
      </c>
      <c r="C2120" t="s">
        <v>979</v>
      </c>
      <c r="D2120" t="s">
        <v>1846</v>
      </c>
      <c r="E2120" t="s">
        <v>978</v>
      </c>
      <c r="F2120">
        <v>-101</v>
      </c>
      <c r="G2120" t="s">
        <v>24</v>
      </c>
      <c r="H2120" t="s">
        <v>26</v>
      </c>
      <c r="I2120" t="s">
        <v>3167</v>
      </c>
      <c r="J2120" t="s">
        <v>984</v>
      </c>
      <c r="K2120" t="s">
        <v>3168</v>
      </c>
      <c r="L2120" t="s">
        <v>984</v>
      </c>
      <c r="M2120" t="s">
        <v>980</v>
      </c>
      <c r="N2120" t="s">
        <v>981</v>
      </c>
      <c r="O2120" t="s">
        <v>981</v>
      </c>
      <c r="P2120" t="s">
        <v>1746</v>
      </c>
      <c r="Q2120" t="s">
        <v>3771</v>
      </c>
      <c r="R2120" t="s">
        <v>2630</v>
      </c>
      <c r="S2120" t="s">
        <v>5420</v>
      </c>
      <c r="T2120" t="s">
        <v>3239</v>
      </c>
      <c r="U2120" t="b">
        <v>0</v>
      </c>
      <c r="V2120" t="s">
        <v>2632</v>
      </c>
    </row>
    <row r="2121" spans="1:22" x14ac:dyDescent="0.25">
      <c r="A2121" t="s">
        <v>42</v>
      </c>
      <c r="B2121">
        <v>254</v>
      </c>
      <c r="C2121" t="s">
        <v>987</v>
      </c>
      <c r="D2121" t="s">
        <v>1848</v>
      </c>
      <c r="E2121" t="s">
        <v>986</v>
      </c>
      <c r="F2121">
        <v>-1988</v>
      </c>
      <c r="G2121" t="s">
        <v>24</v>
      </c>
      <c r="H2121" t="s">
        <v>26</v>
      </c>
      <c r="I2121" t="s">
        <v>3167</v>
      </c>
      <c r="J2121" t="s">
        <v>990</v>
      </c>
      <c r="K2121" t="s">
        <v>3171</v>
      </c>
      <c r="L2121" t="s">
        <v>990</v>
      </c>
      <c r="M2121" t="s">
        <v>980</v>
      </c>
      <c r="N2121" t="s">
        <v>988</v>
      </c>
      <c r="O2121" t="s">
        <v>988</v>
      </c>
      <c r="P2121" t="s">
        <v>1746</v>
      </c>
      <c r="Q2121" t="s">
        <v>3771</v>
      </c>
      <c r="R2121" t="s">
        <v>2634</v>
      </c>
      <c r="S2121" t="s">
        <v>5420</v>
      </c>
      <c r="T2121" t="s">
        <v>3239</v>
      </c>
      <c r="U2121" t="b">
        <v>0</v>
      </c>
      <c r="V2121" t="s">
        <v>1950</v>
      </c>
    </row>
    <row r="2122" spans="1:22" x14ac:dyDescent="0.25">
      <c r="A2122" t="s">
        <v>42</v>
      </c>
      <c r="B2122">
        <v>254</v>
      </c>
      <c r="C2122" t="s">
        <v>993</v>
      </c>
      <c r="D2122" t="s">
        <v>1850</v>
      </c>
      <c r="E2122" t="s">
        <v>992</v>
      </c>
      <c r="F2122">
        <v>-1989</v>
      </c>
      <c r="G2122" t="s">
        <v>24</v>
      </c>
      <c r="H2122" t="s">
        <v>26</v>
      </c>
      <c r="I2122" t="s">
        <v>3167</v>
      </c>
      <c r="J2122" t="s">
        <v>996</v>
      </c>
      <c r="K2122" t="s">
        <v>3173</v>
      </c>
      <c r="L2122" t="s">
        <v>996</v>
      </c>
      <c r="M2122" t="s">
        <v>980</v>
      </c>
      <c r="N2122" t="s">
        <v>994</v>
      </c>
      <c r="O2122" t="s">
        <v>994</v>
      </c>
      <c r="P2122" t="s">
        <v>1746</v>
      </c>
      <c r="Q2122" t="s">
        <v>3771</v>
      </c>
      <c r="R2122" t="s">
        <v>2636</v>
      </c>
      <c r="S2122" t="s">
        <v>5420</v>
      </c>
      <c r="T2122" t="s">
        <v>3239</v>
      </c>
      <c r="U2122" t="b">
        <v>0</v>
      </c>
      <c r="V2122" t="s">
        <v>1950</v>
      </c>
    </row>
    <row r="2123" spans="1:22" x14ac:dyDescent="0.25">
      <c r="A2123" t="s">
        <v>42</v>
      </c>
      <c r="B2123">
        <v>254</v>
      </c>
      <c r="C2123" t="s">
        <v>999</v>
      </c>
      <c r="D2123" t="s">
        <v>1851</v>
      </c>
      <c r="E2123" t="s">
        <v>998</v>
      </c>
      <c r="F2123">
        <v>-3874</v>
      </c>
      <c r="G2123" t="s">
        <v>24</v>
      </c>
      <c r="H2123" t="s">
        <v>26</v>
      </c>
      <c r="I2123" t="s">
        <v>3167</v>
      </c>
      <c r="J2123" t="s">
        <v>1003</v>
      </c>
      <c r="K2123" t="s">
        <v>3175</v>
      </c>
      <c r="L2123" t="s">
        <v>1003</v>
      </c>
      <c r="M2123" t="s">
        <v>1000</v>
      </c>
      <c r="N2123" t="s">
        <v>1001</v>
      </c>
      <c r="O2123" t="s">
        <v>1001</v>
      </c>
      <c r="P2123" t="s">
        <v>1746</v>
      </c>
      <c r="Q2123" t="s">
        <v>3771</v>
      </c>
      <c r="R2123" t="s">
        <v>2638</v>
      </c>
      <c r="S2123" t="s">
        <v>5420</v>
      </c>
      <c r="T2123" t="s">
        <v>3239</v>
      </c>
      <c r="U2123" t="b">
        <v>0</v>
      </c>
      <c r="V2123" t="s">
        <v>1950</v>
      </c>
    </row>
    <row r="2124" spans="1:22" x14ac:dyDescent="0.25">
      <c r="A2124" t="s">
        <v>42</v>
      </c>
      <c r="B2124">
        <v>254</v>
      </c>
      <c r="C2124" t="s">
        <v>1005</v>
      </c>
      <c r="D2124" t="s">
        <v>5421</v>
      </c>
      <c r="E2124" t="s">
        <v>982</v>
      </c>
      <c r="F2124" t="s">
        <v>5422</v>
      </c>
      <c r="G2124" t="s">
        <v>24</v>
      </c>
      <c r="H2124" t="s">
        <v>26</v>
      </c>
      <c r="I2124" t="s">
        <v>3167</v>
      </c>
      <c r="J2124" t="s">
        <v>1003</v>
      </c>
      <c r="K2124" t="s">
        <v>3175</v>
      </c>
      <c r="L2124" t="s">
        <v>1003</v>
      </c>
      <c r="M2124" t="s">
        <v>1000</v>
      </c>
      <c r="N2124" t="s">
        <v>1001</v>
      </c>
      <c r="O2124" t="s">
        <v>1001</v>
      </c>
      <c r="P2124" t="s">
        <v>1746</v>
      </c>
      <c r="Q2124" t="s">
        <v>3771</v>
      </c>
      <c r="R2124" t="s">
        <v>446</v>
      </c>
      <c r="S2124" t="s">
        <v>446</v>
      </c>
      <c r="T2124" t="s">
        <v>1965</v>
      </c>
      <c r="U2124" t="b">
        <v>0</v>
      </c>
      <c r="V2124" t="s">
        <v>446</v>
      </c>
    </row>
    <row r="2125" spans="1:22" x14ac:dyDescent="0.25">
      <c r="A2125" t="s">
        <v>42</v>
      </c>
      <c r="B2125">
        <v>254</v>
      </c>
      <c r="C2125" t="s">
        <v>1007</v>
      </c>
      <c r="D2125" t="s">
        <v>1853</v>
      </c>
      <c r="E2125" t="s">
        <v>1006</v>
      </c>
      <c r="F2125">
        <v>-99</v>
      </c>
      <c r="G2125" t="s">
        <v>24</v>
      </c>
      <c r="H2125" t="s">
        <v>26</v>
      </c>
      <c r="I2125" t="s">
        <v>3167</v>
      </c>
      <c r="J2125" t="s">
        <v>1967</v>
      </c>
      <c r="K2125" t="s">
        <v>3227</v>
      </c>
      <c r="L2125" t="s">
        <v>1967</v>
      </c>
      <c r="M2125" t="s">
        <v>980</v>
      </c>
      <c r="N2125" t="s">
        <v>1009</v>
      </c>
      <c r="O2125" t="s">
        <v>1009</v>
      </c>
      <c r="P2125" t="s">
        <v>1746</v>
      </c>
      <c r="Q2125" t="s">
        <v>3771</v>
      </c>
      <c r="R2125" t="s">
        <v>2630</v>
      </c>
      <c r="S2125" t="s">
        <v>5420</v>
      </c>
      <c r="T2125" t="s">
        <v>3239</v>
      </c>
      <c r="U2125" t="b">
        <v>0</v>
      </c>
      <c r="V2125" t="s">
        <v>2632</v>
      </c>
    </row>
    <row r="2126" spans="1:22" x14ac:dyDescent="0.25">
      <c r="A2126" t="s">
        <v>42</v>
      </c>
      <c r="B2126">
        <v>254</v>
      </c>
      <c r="C2126" t="s">
        <v>1014</v>
      </c>
      <c r="D2126" t="s">
        <v>1855</v>
      </c>
      <c r="E2126" t="s">
        <v>1013</v>
      </c>
      <c r="F2126">
        <v>-2085</v>
      </c>
      <c r="G2126" t="s">
        <v>24</v>
      </c>
      <c r="H2126" t="s">
        <v>26</v>
      </c>
      <c r="I2126" t="s">
        <v>3167</v>
      </c>
      <c r="J2126" t="s">
        <v>1016</v>
      </c>
      <c r="K2126" t="s">
        <v>3181</v>
      </c>
      <c r="L2126" t="s">
        <v>1016</v>
      </c>
      <c r="M2126" t="s">
        <v>980</v>
      </c>
      <c r="N2126" t="s">
        <v>1015</v>
      </c>
      <c r="O2126" t="s">
        <v>1015</v>
      </c>
      <c r="P2126" t="s">
        <v>1746</v>
      </c>
      <c r="Q2126" t="s">
        <v>3771</v>
      </c>
      <c r="R2126" t="s">
        <v>2634</v>
      </c>
      <c r="S2126" t="s">
        <v>5420</v>
      </c>
      <c r="T2126" t="s">
        <v>3239</v>
      </c>
      <c r="U2126" t="b">
        <v>0</v>
      </c>
      <c r="V2126" t="s">
        <v>1950</v>
      </c>
    </row>
    <row r="2127" spans="1:22" x14ac:dyDescent="0.25">
      <c r="A2127" t="s">
        <v>42</v>
      </c>
      <c r="B2127">
        <v>254</v>
      </c>
      <c r="C2127" t="s">
        <v>1019</v>
      </c>
      <c r="D2127" t="s">
        <v>1857</v>
      </c>
      <c r="E2127" t="s">
        <v>1018</v>
      </c>
      <c r="F2127">
        <v>-2090</v>
      </c>
      <c r="G2127" t="s">
        <v>24</v>
      </c>
      <c r="H2127" t="s">
        <v>26</v>
      </c>
      <c r="I2127" t="s">
        <v>3167</v>
      </c>
      <c r="J2127" t="s">
        <v>1021</v>
      </c>
      <c r="K2127" t="s">
        <v>3183</v>
      </c>
      <c r="L2127" t="s">
        <v>1021</v>
      </c>
      <c r="M2127" t="s">
        <v>980</v>
      </c>
      <c r="N2127" t="s">
        <v>1020</v>
      </c>
      <c r="O2127" t="s">
        <v>1020</v>
      </c>
      <c r="P2127" t="s">
        <v>1746</v>
      </c>
      <c r="Q2127" t="s">
        <v>3771</v>
      </c>
      <c r="R2127" t="s">
        <v>2636</v>
      </c>
      <c r="S2127" t="s">
        <v>5420</v>
      </c>
      <c r="T2127" t="s">
        <v>3239</v>
      </c>
      <c r="U2127" t="b">
        <v>0</v>
      </c>
      <c r="V2127" t="s">
        <v>1950</v>
      </c>
    </row>
    <row r="2128" spans="1:22" x14ac:dyDescent="0.25">
      <c r="A2128" t="s">
        <v>42</v>
      </c>
      <c r="B2128">
        <v>254</v>
      </c>
      <c r="C2128" t="s">
        <v>1024</v>
      </c>
      <c r="D2128" t="s">
        <v>1859</v>
      </c>
      <c r="E2128" t="s">
        <v>1023</v>
      </c>
      <c r="F2128">
        <v>-4085</v>
      </c>
      <c r="G2128" t="s">
        <v>24</v>
      </c>
      <c r="H2128" t="s">
        <v>26</v>
      </c>
      <c r="I2128" t="s">
        <v>3167</v>
      </c>
      <c r="J2128" t="s">
        <v>1026</v>
      </c>
      <c r="K2128" t="s">
        <v>3185</v>
      </c>
      <c r="L2128" t="s">
        <v>1026</v>
      </c>
      <c r="M2128" t="s">
        <v>1000</v>
      </c>
      <c r="N2128" t="s">
        <v>1025</v>
      </c>
      <c r="O2128" t="s">
        <v>1025</v>
      </c>
      <c r="P2128" t="s">
        <v>1746</v>
      </c>
      <c r="Q2128" t="s">
        <v>3771</v>
      </c>
      <c r="R2128" t="s">
        <v>2638</v>
      </c>
      <c r="S2128" t="s">
        <v>5420</v>
      </c>
      <c r="T2128" t="s">
        <v>3239</v>
      </c>
      <c r="U2128" t="b">
        <v>0</v>
      </c>
      <c r="V2128" t="s">
        <v>1950</v>
      </c>
    </row>
    <row r="2129" spans="1:22" x14ac:dyDescent="0.25">
      <c r="A2129" t="s">
        <v>42</v>
      </c>
      <c r="B2129">
        <v>254</v>
      </c>
      <c r="C2129" t="s">
        <v>1028</v>
      </c>
      <c r="D2129" t="s">
        <v>5423</v>
      </c>
      <c r="E2129" t="s">
        <v>1010</v>
      </c>
      <c r="F2129" t="s">
        <v>5424</v>
      </c>
      <c r="G2129" t="s">
        <v>24</v>
      </c>
      <c r="H2129" t="s">
        <v>26</v>
      </c>
      <c r="I2129" t="s">
        <v>3167</v>
      </c>
      <c r="J2129" t="s">
        <v>1026</v>
      </c>
      <c r="K2129" t="s">
        <v>3185</v>
      </c>
      <c r="L2129" t="s">
        <v>1026</v>
      </c>
      <c r="M2129" t="s">
        <v>1000</v>
      </c>
      <c r="N2129" t="s">
        <v>1025</v>
      </c>
      <c r="O2129" t="s">
        <v>1025</v>
      </c>
      <c r="P2129" t="s">
        <v>1746</v>
      </c>
      <c r="Q2129" t="s">
        <v>3771</v>
      </c>
      <c r="R2129" t="s">
        <v>446</v>
      </c>
      <c r="S2129" t="s">
        <v>446</v>
      </c>
      <c r="T2129" t="s">
        <v>1965</v>
      </c>
      <c r="U2129" t="b">
        <v>0</v>
      </c>
      <c r="V2129" t="s">
        <v>446</v>
      </c>
    </row>
    <row r="2130" spans="1:22" x14ac:dyDescent="0.25">
      <c r="A2130" t="s">
        <v>42</v>
      </c>
      <c r="B2130">
        <v>254</v>
      </c>
      <c r="C2130" t="s">
        <v>1030</v>
      </c>
      <c r="D2130" t="s">
        <v>1861</v>
      </c>
      <c r="E2130" t="s">
        <v>1029</v>
      </c>
      <c r="F2130">
        <v>-89</v>
      </c>
      <c r="G2130" t="s">
        <v>24</v>
      </c>
      <c r="H2130" t="s">
        <v>26</v>
      </c>
      <c r="I2130" t="s">
        <v>3167</v>
      </c>
      <c r="J2130" t="s">
        <v>1033</v>
      </c>
      <c r="K2130" t="s">
        <v>3189</v>
      </c>
      <c r="L2130" t="s">
        <v>1033</v>
      </c>
      <c r="M2130" t="s">
        <v>980</v>
      </c>
      <c r="N2130" t="s">
        <v>1031</v>
      </c>
      <c r="O2130" t="s">
        <v>1031</v>
      </c>
      <c r="P2130" t="s">
        <v>1746</v>
      </c>
      <c r="Q2130" t="s">
        <v>3771</v>
      </c>
      <c r="R2130" t="s">
        <v>2630</v>
      </c>
      <c r="S2130" t="s">
        <v>5420</v>
      </c>
      <c r="T2130" t="s">
        <v>3239</v>
      </c>
      <c r="U2130" t="b">
        <v>0</v>
      </c>
      <c r="V2130" t="s">
        <v>2632</v>
      </c>
    </row>
    <row r="2131" spans="1:22" x14ac:dyDescent="0.25">
      <c r="A2131" t="s">
        <v>42</v>
      </c>
      <c r="B2131">
        <v>254</v>
      </c>
      <c r="C2131" t="s">
        <v>1036</v>
      </c>
      <c r="D2131" t="s">
        <v>1863</v>
      </c>
      <c r="E2131" t="s">
        <v>1035</v>
      </c>
      <c r="F2131">
        <v>-2194</v>
      </c>
      <c r="G2131" t="s">
        <v>24</v>
      </c>
      <c r="H2131" t="s">
        <v>26</v>
      </c>
      <c r="I2131" t="s">
        <v>3167</v>
      </c>
      <c r="J2131" t="s">
        <v>1038</v>
      </c>
      <c r="K2131" t="s">
        <v>3191</v>
      </c>
      <c r="L2131" t="s">
        <v>1038</v>
      </c>
      <c r="M2131" t="s">
        <v>980</v>
      </c>
      <c r="N2131" t="s">
        <v>1037</v>
      </c>
      <c r="O2131" t="s">
        <v>1037</v>
      </c>
      <c r="P2131" t="s">
        <v>1746</v>
      </c>
      <c r="Q2131" t="s">
        <v>3771</v>
      </c>
      <c r="R2131" t="s">
        <v>2634</v>
      </c>
      <c r="S2131" t="s">
        <v>5420</v>
      </c>
      <c r="T2131" t="s">
        <v>3239</v>
      </c>
      <c r="U2131" t="b">
        <v>0</v>
      </c>
      <c r="V2131" t="s">
        <v>1950</v>
      </c>
    </row>
    <row r="2132" spans="1:22" x14ac:dyDescent="0.25">
      <c r="A2132" t="s">
        <v>42</v>
      </c>
      <c r="B2132">
        <v>254</v>
      </c>
      <c r="C2132" t="s">
        <v>1041</v>
      </c>
      <c r="D2132" t="s">
        <v>1865</v>
      </c>
      <c r="E2132" t="s">
        <v>1040</v>
      </c>
      <c r="F2132">
        <v>-2108</v>
      </c>
      <c r="G2132" t="s">
        <v>24</v>
      </c>
      <c r="H2132" t="s">
        <v>26</v>
      </c>
      <c r="I2132" t="s">
        <v>3167</v>
      </c>
      <c r="J2132" t="s">
        <v>1043</v>
      </c>
      <c r="K2132" t="s">
        <v>3193</v>
      </c>
      <c r="L2132" t="s">
        <v>1043</v>
      </c>
      <c r="M2132" t="s">
        <v>980</v>
      </c>
      <c r="N2132" t="s">
        <v>1042</v>
      </c>
      <c r="O2132" t="s">
        <v>1042</v>
      </c>
      <c r="P2132" t="s">
        <v>1746</v>
      </c>
      <c r="Q2132" t="s">
        <v>3771</v>
      </c>
      <c r="R2132" t="s">
        <v>2636</v>
      </c>
      <c r="S2132" t="s">
        <v>5420</v>
      </c>
      <c r="T2132" t="s">
        <v>3239</v>
      </c>
      <c r="U2132" t="b">
        <v>0</v>
      </c>
      <c r="V2132" t="s">
        <v>1950</v>
      </c>
    </row>
    <row r="2133" spans="1:22" x14ac:dyDescent="0.25">
      <c r="A2133" t="s">
        <v>42</v>
      </c>
      <c r="B2133">
        <v>254</v>
      </c>
      <c r="C2133" t="s">
        <v>1046</v>
      </c>
      <c r="D2133" t="s">
        <v>1866</v>
      </c>
      <c r="E2133" t="s">
        <v>1045</v>
      </c>
      <c r="F2133">
        <v>-4388</v>
      </c>
      <c r="G2133" t="s">
        <v>24</v>
      </c>
      <c r="H2133" t="s">
        <v>26</v>
      </c>
      <c r="I2133" t="s">
        <v>3167</v>
      </c>
      <c r="J2133" t="s">
        <v>1048</v>
      </c>
      <c r="K2133" t="s">
        <v>3195</v>
      </c>
      <c r="L2133" t="s">
        <v>1048</v>
      </c>
      <c r="M2133" t="s">
        <v>1000</v>
      </c>
      <c r="N2133" t="s">
        <v>1047</v>
      </c>
      <c r="O2133" t="s">
        <v>1047</v>
      </c>
      <c r="P2133" t="s">
        <v>1746</v>
      </c>
      <c r="Q2133" t="s">
        <v>3771</v>
      </c>
      <c r="R2133" t="s">
        <v>2638</v>
      </c>
      <c r="S2133" t="s">
        <v>5420</v>
      </c>
      <c r="T2133" t="s">
        <v>3239</v>
      </c>
      <c r="U2133" t="b">
        <v>0</v>
      </c>
      <c r="V2133" t="s">
        <v>1950</v>
      </c>
    </row>
    <row r="2134" spans="1:22" x14ac:dyDescent="0.25">
      <c r="A2134" t="s">
        <v>42</v>
      </c>
      <c r="B2134">
        <v>254</v>
      </c>
      <c r="C2134" t="s">
        <v>1050</v>
      </c>
      <c r="D2134" t="s">
        <v>5425</v>
      </c>
      <c r="E2134" t="s">
        <v>1032</v>
      </c>
      <c r="F2134" t="s">
        <v>5426</v>
      </c>
      <c r="G2134" t="s">
        <v>24</v>
      </c>
      <c r="H2134" t="s">
        <v>26</v>
      </c>
      <c r="I2134" t="s">
        <v>3167</v>
      </c>
      <c r="J2134" t="s">
        <v>1048</v>
      </c>
      <c r="K2134" t="s">
        <v>3195</v>
      </c>
      <c r="L2134" t="s">
        <v>1048</v>
      </c>
      <c r="M2134" t="s">
        <v>1000</v>
      </c>
      <c r="N2134" t="s">
        <v>1047</v>
      </c>
      <c r="O2134" t="s">
        <v>1047</v>
      </c>
      <c r="P2134" t="s">
        <v>1746</v>
      </c>
      <c r="Q2134" t="s">
        <v>3771</v>
      </c>
      <c r="R2134" t="s">
        <v>446</v>
      </c>
      <c r="S2134" t="s">
        <v>446</v>
      </c>
      <c r="T2134" t="s">
        <v>1965</v>
      </c>
      <c r="U2134" t="b">
        <v>0</v>
      </c>
      <c r="V2134" t="s">
        <v>446</v>
      </c>
    </row>
    <row r="2135" spans="1:22" x14ac:dyDescent="0.25">
      <c r="A2135" t="s">
        <v>42</v>
      </c>
      <c r="B2135">
        <v>254</v>
      </c>
      <c r="C2135" t="s">
        <v>1052</v>
      </c>
      <c r="D2135" t="s">
        <v>1868</v>
      </c>
      <c r="E2135" t="s">
        <v>1051</v>
      </c>
      <c r="F2135">
        <v>-2281</v>
      </c>
      <c r="G2135" t="s">
        <v>24</v>
      </c>
      <c r="H2135" t="s">
        <v>26</v>
      </c>
      <c r="I2135" t="s">
        <v>3167</v>
      </c>
      <c r="J2135" t="s">
        <v>1055</v>
      </c>
      <c r="K2135" t="s">
        <v>3199</v>
      </c>
      <c r="L2135" t="s">
        <v>1055</v>
      </c>
      <c r="M2135" t="s">
        <v>980</v>
      </c>
      <c r="N2135" t="s">
        <v>1053</v>
      </c>
      <c r="O2135" t="s">
        <v>1053</v>
      </c>
      <c r="P2135" t="s">
        <v>1746</v>
      </c>
      <c r="Q2135" t="s">
        <v>3771</v>
      </c>
      <c r="R2135" t="s">
        <v>2630</v>
      </c>
      <c r="S2135" t="s">
        <v>5420</v>
      </c>
      <c r="T2135" t="s">
        <v>3239</v>
      </c>
      <c r="U2135" t="b">
        <v>0</v>
      </c>
      <c r="V2135" t="s">
        <v>2632</v>
      </c>
    </row>
    <row r="2136" spans="1:22" x14ac:dyDescent="0.25">
      <c r="A2136" t="s">
        <v>42</v>
      </c>
      <c r="B2136">
        <v>255</v>
      </c>
      <c r="C2136" t="s">
        <v>979</v>
      </c>
      <c r="D2136" t="s">
        <v>5427</v>
      </c>
      <c r="E2136" t="s">
        <v>978</v>
      </c>
      <c r="F2136" t="s">
        <v>5428</v>
      </c>
      <c r="G2136" t="s">
        <v>24</v>
      </c>
      <c r="H2136" t="s">
        <v>26</v>
      </c>
      <c r="I2136" t="s">
        <v>3167</v>
      </c>
      <c r="J2136" t="s">
        <v>984</v>
      </c>
      <c r="K2136" t="s">
        <v>3168</v>
      </c>
      <c r="L2136" t="s">
        <v>984</v>
      </c>
      <c r="M2136" t="s">
        <v>980</v>
      </c>
      <c r="N2136" t="s">
        <v>981</v>
      </c>
      <c r="O2136" t="s">
        <v>981</v>
      </c>
      <c r="P2136" t="s">
        <v>1110</v>
      </c>
      <c r="Q2136" t="s">
        <v>3169</v>
      </c>
      <c r="R2136" t="s">
        <v>446</v>
      </c>
      <c r="S2136" t="s">
        <v>446</v>
      </c>
      <c r="T2136" t="s">
        <v>1965</v>
      </c>
      <c r="U2136" t="b">
        <v>0</v>
      </c>
      <c r="V2136" t="s">
        <v>446</v>
      </c>
    </row>
    <row r="2137" spans="1:22" x14ac:dyDescent="0.25">
      <c r="A2137" t="s">
        <v>42</v>
      </c>
      <c r="B2137">
        <v>255</v>
      </c>
      <c r="C2137" t="s">
        <v>987</v>
      </c>
      <c r="D2137" t="s">
        <v>5429</v>
      </c>
      <c r="E2137" t="s">
        <v>986</v>
      </c>
      <c r="F2137" t="s">
        <v>5430</v>
      </c>
      <c r="G2137" t="s">
        <v>24</v>
      </c>
      <c r="H2137" t="s">
        <v>26</v>
      </c>
      <c r="I2137" t="s">
        <v>3167</v>
      </c>
      <c r="J2137" t="s">
        <v>990</v>
      </c>
      <c r="K2137" t="s">
        <v>3171</v>
      </c>
      <c r="L2137" t="s">
        <v>990</v>
      </c>
      <c r="M2137" t="s">
        <v>980</v>
      </c>
      <c r="N2137" t="s">
        <v>988</v>
      </c>
      <c r="O2137" t="s">
        <v>988</v>
      </c>
      <c r="P2137" t="s">
        <v>1110</v>
      </c>
      <c r="Q2137" t="s">
        <v>3169</v>
      </c>
      <c r="R2137" t="s">
        <v>446</v>
      </c>
      <c r="S2137" t="s">
        <v>446</v>
      </c>
      <c r="T2137" t="s">
        <v>1965</v>
      </c>
      <c r="U2137" t="b">
        <v>0</v>
      </c>
      <c r="V2137" t="s">
        <v>446</v>
      </c>
    </row>
    <row r="2138" spans="1:22" x14ac:dyDescent="0.25">
      <c r="A2138" t="s">
        <v>42</v>
      </c>
      <c r="B2138">
        <v>255</v>
      </c>
      <c r="C2138" t="s">
        <v>993</v>
      </c>
      <c r="D2138" t="s">
        <v>5431</v>
      </c>
      <c r="E2138" t="s">
        <v>992</v>
      </c>
      <c r="F2138" t="s">
        <v>5432</v>
      </c>
      <c r="G2138" t="s">
        <v>24</v>
      </c>
      <c r="H2138" t="s">
        <v>26</v>
      </c>
      <c r="I2138" t="s">
        <v>3167</v>
      </c>
      <c r="J2138" t="s">
        <v>996</v>
      </c>
      <c r="K2138" t="s">
        <v>3173</v>
      </c>
      <c r="L2138" t="s">
        <v>996</v>
      </c>
      <c r="M2138" t="s">
        <v>980</v>
      </c>
      <c r="N2138" t="s">
        <v>994</v>
      </c>
      <c r="O2138" t="s">
        <v>994</v>
      </c>
      <c r="P2138" t="s">
        <v>1110</v>
      </c>
      <c r="Q2138" t="s">
        <v>3169</v>
      </c>
      <c r="R2138" t="s">
        <v>446</v>
      </c>
      <c r="S2138" t="s">
        <v>446</v>
      </c>
      <c r="T2138" t="s">
        <v>1965</v>
      </c>
      <c r="U2138" t="b">
        <v>0</v>
      </c>
      <c r="V2138" t="s">
        <v>446</v>
      </c>
    </row>
    <row r="2139" spans="1:22" x14ac:dyDescent="0.25">
      <c r="A2139" t="s">
        <v>42</v>
      </c>
      <c r="B2139">
        <v>255</v>
      </c>
      <c r="C2139" t="s">
        <v>999</v>
      </c>
      <c r="D2139" t="s">
        <v>5433</v>
      </c>
      <c r="E2139" t="s">
        <v>998</v>
      </c>
      <c r="F2139" t="s">
        <v>4330</v>
      </c>
      <c r="G2139" t="s">
        <v>24</v>
      </c>
      <c r="H2139" t="s">
        <v>26</v>
      </c>
      <c r="I2139" t="s">
        <v>3167</v>
      </c>
      <c r="J2139" t="s">
        <v>1003</v>
      </c>
      <c r="K2139" t="s">
        <v>3175</v>
      </c>
      <c r="L2139" t="s">
        <v>1003</v>
      </c>
      <c r="M2139" t="s">
        <v>1000</v>
      </c>
      <c r="N2139" t="s">
        <v>1001</v>
      </c>
      <c r="O2139" t="s">
        <v>1001</v>
      </c>
      <c r="P2139" t="s">
        <v>1110</v>
      </c>
      <c r="Q2139" t="s">
        <v>3169</v>
      </c>
      <c r="R2139" t="s">
        <v>446</v>
      </c>
      <c r="S2139" t="s">
        <v>446</v>
      </c>
      <c r="T2139" t="s">
        <v>1965</v>
      </c>
      <c r="U2139" t="b">
        <v>0</v>
      </c>
      <c r="V2139" t="s">
        <v>446</v>
      </c>
    </row>
    <row r="2140" spans="1:22" x14ac:dyDescent="0.25">
      <c r="A2140" t="s">
        <v>42</v>
      </c>
      <c r="B2140">
        <v>255</v>
      </c>
      <c r="C2140" t="s">
        <v>1005</v>
      </c>
      <c r="D2140" t="s">
        <v>5434</v>
      </c>
      <c r="E2140" t="s">
        <v>982</v>
      </c>
      <c r="F2140" t="s">
        <v>5435</v>
      </c>
      <c r="G2140" t="s">
        <v>24</v>
      </c>
      <c r="H2140" t="s">
        <v>26</v>
      </c>
      <c r="I2140" t="s">
        <v>3167</v>
      </c>
      <c r="J2140" t="s">
        <v>1003</v>
      </c>
      <c r="K2140" t="s">
        <v>3175</v>
      </c>
      <c r="L2140" t="s">
        <v>1003</v>
      </c>
      <c r="M2140" t="s">
        <v>1000</v>
      </c>
      <c r="N2140" t="s">
        <v>1001</v>
      </c>
      <c r="O2140" t="s">
        <v>1001</v>
      </c>
      <c r="P2140" t="s">
        <v>1110</v>
      </c>
      <c r="Q2140" t="s">
        <v>3169</v>
      </c>
      <c r="R2140" t="s">
        <v>446</v>
      </c>
      <c r="S2140" t="s">
        <v>446</v>
      </c>
      <c r="T2140" t="s">
        <v>1965</v>
      </c>
      <c r="U2140" t="b">
        <v>0</v>
      </c>
      <c r="V2140" t="s">
        <v>446</v>
      </c>
    </row>
    <row r="2141" spans="1:22" x14ac:dyDescent="0.25">
      <c r="A2141" t="s">
        <v>42</v>
      </c>
      <c r="B2141">
        <v>255</v>
      </c>
      <c r="C2141" t="s">
        <v>1007</v>
      </c>
      <c r="D2141" t="s">
        <v>5436</v>
      </c>
      <c r="E2141" t="s">
        <v>1006</v>
      </c>
      <c r="F2141" t="s">
        <v>5437</v>
      </c>
      <c r="G2141" t="s">
        <v>24</v>
      </c>
      <c r="H2141" t="s">
        <v>26</v>
      </c>
      <c r="I2141" t="s">
        <v>3167</v>
      </c>
      <c r="J2141" t="s">
        <v>1011</v>
      </c>
      <c r="K2141" t="s">
        <v>3179</v>
      </c>
      <c r="L2141" t="s">
        <v>1011</v>
      </c>
      <c r="M2141" t="s">
        <v>1008</v>
      </c>
      <c r="N2141" t="s">
        <v>1009</v>
      </c>
      <c r="O2141" t="s">
        <v>1009</v>
      </c>
      <c r="P2141" t="s">
        <v>1110</v>
      </c>
      <c r="Q2141" t="s">
        <v>3169</v>
      </c>
      <c r="R2141" t="s">
        <v>446</v>
      </c>
      <c r="S2141" t="s">
        <v>446</v>
      </c>
      <c r="T2141" t="s">
        <v>1965</v>
      </c>
      <c r="U2141" t="b">
        <v>0</v>
      </c>
      <c r="V2141" t="s">
        <v>446</v>
      </c>
    </row>
    <row r="2142" spans="1:22" x14ac:dyDescent="0.25">
      <c r="A2142" t="s">
        <v>42</v>
      </c>
      <c r="B2142">
        <v>255</v>
      </c>
      <c r="C2142" t="s">
        <v>1014</v>
      </c>
      <c r="D2142" t="s">
        <v>5438</v>
      </c>
      <c r="E2142" t="s">
        <v>1013</v>
      </c>
      <c r="F2142" t="s">
        <v>5439</v>
      </c>
      <c r="G2142" t="s">
        <v>24</v>
      </c>
      <c r="H2142" t="s">
        <v>26</v>
      </c>
      <c r="I2142" t="s">
        <v>3167</v>
      </c>
      <c r="J2142" t="s">
        <v>1016</v>
      </c>
      <c r="K2142" t="s">
        <v>3181</v>
      </c>
      <c r="L2142" t="s">
        <v>1016</v>
      </c>
      <c r="M2142" t="s">
        <v>980</v>
      </c>
      <c r="N2142" t="s">
        <v>1015</v>
      </c>
      <c r="O2142" t="s">
        <v>1015</v>
      </c>
      <c r="P2142" t="s">
        <v>1110</v>
      </c>
      <c r="Q2142" t="s">
        <v>3169</v>
      </c>
      <c r="R2142" t="s">
        <v>446</v>
      </c>
      <c r="S2142" t="s">
        <v>446</v>
      </c>
      <c r="T2142" t="s">
        <v>1965</v>
      </c>
      <c r="U2142" t="b">
        <v>0</v>
      </c>
      <c r="V2142" t="s">
        <v>446</v>
      </c>
    </row>
    <row r="2143" spans="1:22" x14ac:dyDescent="0.25">
      <c r="A2143" t="s">
        <v>42</v>
      </c>
      <c r="B2143">
        <v>255</v>
      </c>
      <c r="C2143" t="s">
        <v>1019</v>
      </c>
      <c r="D2143" t="s">
        <v>5440</v>
      </c>
      <c r="E2143" t="s">
        <v>1018</v>
      </c>
      <c r="F2143" t="s">
        <v>5441</v>
      </c>
      <c r="G2143" t="s">
        <v>24</v>
      </c>
      <c r="H2143" t="s">
        <v>26</v>
      </c>
      <c r="I2143" t="s">
        <v>3167</v>
      </c>
      <c r="J2143" t="s">
        <v>1021</v>
      </c>
      <c r="K2143" t="s">
        <v>3183</v>
      </c>
      <c r="L2143" t="s">
        <v>1021</v>
      </c>
      <c r="M2143" t="s">
        <v>980</v>
      </c>
      <c r="N2143" t="s">
        <v>1020</v>
      </c>
      <c r="O2143" t="s">
        <v>1020</v>
      </c>
      <c r="P2143" t="s">
        <v>1110</v>
      </c>
      <c r="Q2143" t="s">
        <v>3169</v>
      </c>
      <c r="R2143" t="s">
        <v>446</v>
      </c>
      <c r="S2143" t="s">
        <v>446</v>
      </c>
      <c r="T2143" t="s">
        <v>1965</v>
      </c>
      <c r="U2143" t="b">
        <v>0</v>
      </c>
      <c r="V2143" t="s">
        <v>446</v>
      </c>
    </row>
    <row r="2144" spans="1:22" x14ac:dyDescent="0.25">
      <c r="A2144" t="s">
        <v>42</v>
      </c>
      <c r="B2144">
        <v>255</v>
      </c>
      <c r="C2144" t="s">
        <v>1024</v>
      </c>
      <c r="D2144" t="s">
        <v>5442</v>
      </c>
      <c r="E2144" t="s">
        <v>1023</v>
      </c>
      <c r="F2144" t="s">
        <v>5443</v>
      </c>
      <c r="G2144" t="s">
        <v>24</v>
      </c>
      <c r="H2144" t="s">
        <v>26</v>
      </c>
      <c r="I2144" t="s">
        <v>3167</v>
      </c>
      <c r="J2144" t="s">
        <v>1026</v>
      </c>
      <c r="K2144" t="s">
        <v>3185</v>
      </c>
      <c r="L2144" t="s">
        <v>1026</v>
      </c>
      <c r="M2144" t="s">
        <v>1000</v>
      </c>
      <c r="N2144" t="s">
        <v>1025</v>
      </c>
      <c r="O2144" t="s">
        <v>1025</v>
      </c>
      <c r="P2144" t="s">
        <v>1110</v>
      </c>
      <c r="Q2144" t="s">
        <v>3169</v>
      </c>
      <c r="R2144" t="s">
        <v>446</v>
      </c>
      <c r="S2144" t="s">
        <v>446</v>
      </c>
      <c r="T2144" t="s">
        <v>1965</v>
      </c>
      <c r="U2144" t="b">
        <v>0</v>
      </c>
      <c r="V2144" t="s">
        <v>446</v>
      </c>
    </row>
    <row r="2145" spans="1:22" x14ac:dyDescent="0.25">
      <c r="A2145" t="s">
        <v>42</v>
      </c>
      <c r="B2145">
        <v>255</v>
      </c>
      <c r="C2145" t="s">
        <v>1028</v>
      </c>
      <c r="D2145" t="s">
        <v>5444</v>
      </c>
      <c r="E2145" t="s">
        <v>1010</v>
      </c>
      <c r="F2145" t="s">
        <v>5445</v>
      </c>
      <c r="G2145" t="s">
        <v>24</v>
      </c>
      <c r="H2145" t="s">
        <v>26</v>
      </c>
      <c r="I2145" t="s">
        <v>3167</v>
      </c>
      <c r="J2145" t="s">
        <v>1026</v>
      </c>
      <c r="K2145" t="s">
        <v>3185</v>
      </c>
      <c r="L2145" t="s">
        <v>1026</v>
      </c>
      <c r="M2145" t="s">
        <v>1000</v>
      </c>
      <c r="N2145" t="s">
        <v>1025</v>
      </c>
      <c r="O2145" t="s">
        <v>1025</v>
      </c>
      <c r="P2145" t="s">
        <v>1110</v>
      </c>
      <c r="Q2145" t="s">
        <v>3169</v>
      </c>
      <c r="R2145" t="s">
        <v>446</v>
      </c>
      <c r="S2145" t="s">
        <v>446</v>
      </c>
      <c r="T2145" t="s">
        <v>1965</v>
      </c>
      <c r="U2145" t="b">
        <v>0</v>
      </c>
      <c r="V2145" t="s">
        <v>446</v>
      </c>
    </row>
    <row r="2146" spans="1:22" x14ac:dyDescent="0.25">
      <c r="A2146" t="s">
        <v>42</v>
      </c>
      <c r="B2146">
        <v>255</v>
      </c>
      <c r="C2146" t="s">
        <v>1030</v>
      </c>
      <c r="D2146" t="s">
        <v>5446</v>
      </c>
      <c r="E2146" t="s">
        <v>1029</v>
      </c>
      <c r="F2146" t="s">
        <v>5447</v>
      </c>
      <c r="G2146" t="s">
        <v>24</v>
      </c>
      <c r="H2146" t="s">
        <v>26</v>
      </c>
      <c r="I2146" t="s">
        <v>3167</v>
      </c>
      <c r="J2146" t="s">
        <v>1033</v>
      </c>
      <c r="K2146" t="s">
        <v>3189</v>
      </c>
      <c r="L2146" t="s">
        <v>1033</v>
      </c>
      <c r="M2146" t="s">
        <v>980</v>
      </c>
      <c r="N2146" t="s">
        <v>1031</v>
      </c>
      <c r="O2146" t="s">
        <v>1031</v>
      </c>
      <c r="P2146" t="s">
        <v>1110</v>
      </c>
      <c r="Q2146" t="s">
        <v>3169</v>
      </c>
      <c r="R2146" t="s">
        <v>446</v>
      </c>
      <c r="S2146" t="s">
        <v>446</v>
      </c>
      <c r="T2146" t="s">
        <v>1965</v>
      </c>
      <c r="U2146" t="b">
        <v>0</v>
      </c>
      <c r="V2146" t="s">
        <v>446</v>
      </c>
    </row>
    <row r="2147" spans="1:22" x14ac:dyDescent="0.25">
      <c r="A2147" t="s">
        <v>42</v>
      </c>
      <c r="B2147">
        <v>255</v>
      </c>
      <c r="C2147" t="s">
        <v>1036</v>
      </c>
      <c r="D2147" t="s">
        <v>5448</v>
      </c>
      <c r="E2147" t="s">
        <v>1035</v>
      </c>
      <c r="F2147" t="s">
        <v>5449</v>
      </c>
      <c r="G2147" t="s">
        <v>24</v>
      </c>
      <c r="H2147" t="s">
        <v>26</v>
      </c>
      <c r="I2147" t="s">
        <v>3167</v>
      </c>
      <c r="J2147" t="s">
        <v>1038</v>
      </c>
      <c r="K2147" t="s">
        <v>3191</v>
      </c>
      <c r="L2147" t="s">
        <v>1038</v>
      </c>
      <c r="M2147" t="s">
        <v>980</v>
      </c>
      <c r="N2147" t="s">
        <v>1037</v>
      </c>
      <c r="O2147" t="s">
        <v>1037</v>
      </c>
      <c r="P2147" t="s">
        <v>1110</v>
      </c>
      <c r="Q2147" t="s">
        <v>3169</v>
      </c>
      <c r="R2147" t="s">
        <v>446</v>
      </c>
      <c r="S2147" t="s">
        <v>446</v>
      </c>
      <c r="T2147" t="s">
        <v>1965</v>
      </c>
      <c r="U2147" t="b">
        <v>0</v>
      </c>
      <c r="V2147" t="s">
        <v>446</v>
      </c>
    </row>
    <row r="2148" spans="1:22" x14ac:dyDescent="0.25">
      <c r="A2148" t="s">
        <v>42</v>
      </c>
      <c r="B2148">
        <v>255</v>
      </c>
      <c r="C2148" t="s">
        <v>1041</v>
      </c>
      <c r="D2148" t="s">
        <v>5450</v>
      </c>
      <c r="E2148" t="s">
        <v>1040</v>
      </c>
      <c r="F2148" t="s">
        <v>5451</v>
      </c>
      <c r="G2148" t="s">
        <v>24</v>
      </c>
      <c r="H2148" t="s">
        <v>26</v>
      </c>
      <c r="I2148" t="s">
        <v>3167</v>
      </c>
      <c r="J2148" t="s">
        <v>1043</v>
      </c>
      <c r="K2148" t="s">
        <v>3193</v>
      </c>
      <c r="L2148" t="s">
        <v>1043</v>
      </c>
      <c r="M2148" t="s">
        <v>980</v>
      </c>
      <c r="N2148" t="s">
        <v>1042</v>
      </c>
      <c r="O2148" t="s">
        <v>1042</v>
      </c>
      <c r="P2148" t="s">
        <v>1110</v>
      </c>
      <c r="Q2148" t="s">
        <v>3169</v>
      </c>
      <c r="R2148" t="s">
        <v>446</v>
      </c>
      <c r="S2148" t="s">
        <v>446</v>
      </c>
      <c r="T2148" t="s">
        <v>1965</v>
      </c>
      <c r="U2148" t="b">
        <v>0</v>
      </c>
      <c r="V2148" t="s">
        <v>446</v>
      </c>
    </row>
    <row r="2149" spans="1:22" x14ac:dyDescent="0.25">
      <c r="A2149" t="s">
        <v>42</v>
      </c>
      <c r="B2149">
        <v>255</v>
      </c>
      <c r="C2149" t="s">
        <v>1046</v>
      </c>
      <c r="D2149" t="s">
        <v>5452</v>
      </c>
      <c r="E2149" t="s">
        <v>1045</v>
      </c>
      <c r="F2149" t="s">
        <v>5453</v>
      </c>
      <c r="G2149" t="s">
        <v>24</v>
      </c>
      <c r="H2149" t="s">
        <v>26</v>
      </c>
      <c r="I2149" t="s">
        <v>3167</v>
      </c>
      <c r="J2149" t="s">
        <v>1048</v>
      </c>
      <c r="K2149" t="s">
        <v>3195</v>
      </c>
      <c r="L2149" t="s">
        <v>1048</v>
      </c>
      <c r="M2149" t="s">
        <v>1000</v>
      </c>
      <c r="N2149" t="s">
        <v>1047</v>
      </c>
      <c r="O2149" t="s">
        <v>1047</v>
      </c>
      <c r="P2149" t="s">
        <v>1110</v>
      </c>
      <c r="Q2149" t="s">
        <v>3169</v>
      </c>
      <c r="R2149" t="s">
        <v>446</v>
      </c>
      <c r="S2149" t="s">
        <v>446</v>
      </c>
      <c r="T2149" t="s">
        <v>1965</v>
      </c>
      <c r="U2149" t="b">
        <v>0</v>
      </c>
      <c r="V2149" t="s">
        <v>446</v>
      </c>
    </row>
    <row r="2150" spans="1:22" x14ac:dyDescent="0.25">
      <c r="A2150" t="s">
        <v>42</v>
      </c>
      <c r="B2150">
        <v>255</v>
      </c>
      <c r="C2150" t="s">
        <v>1050</v>
      </c>
      <c r="D2150" t="s">
        <v>5454</v>
      </c>
      <c r="E2150" t="s">
        <v>1032</v>
      </c>
      <c r="F2150" t="s">
        <v>5455</v>
      </c>
      <c r="G2150" t="s">
        <v>24</v>
      </c>
      <c r="H2150" t="s">
        <v>26</v>
      </c>
      <c r="I2150" t="s">
        <v>3167</v>
      </c>
      <c r="J2150" t="s">
        <v>1048</v>
      </c>
      <c r="K2150" t="s">
        <v>3195</v>
      </c>
      <c r="L2150" t="s">
        <v>1048</v>
      </c>
      <c r="M2150" t="s">
        <v>1000</v>
      </c>
      <c r="N2150" t="s">
        <v>1047</v>
      </c>
      <c r="O2150" t="s">
        <v>1047</v>
      </c>
      <c r="P2150" t="s">
        <v>1110</v>
      </c>
      <c r="Q2150" t="s">
        <v>3169</v>
      </c>
      <c r="R2150" t="s">
        <v>446</v>
      </c>
      <c r="S2150" t="s">
        <v>446</v>
      </c>
      <c r="T2150" t="s">
        <v>1965</v>
      </c>
      <c r="U2150" t="b">
        <v>0</v>
      </c>
      <c r="V2150" t="s">
        <v>446</v>
      </c>
    </row>
    <row r="2151" spans="1:22" x14ac:dyDescent="0.25">
      <c r="A2151" t="s">
        <v>42</v>
      </c>
      <c r="B2151">
        <v>255</v>
      </c>
      <c r="C2151" t="s">
        <v>1052</v>
      </c>
      <c r="D2151" t="s">
        <v>5456</v>
      </c>
      <c r="E2151" t="s">
        <v>1051</v>
      </c>
      <c r="F2151" t="s">
        <v>5457</v>
      </c>
      <c r="G2151" t="s">
        <v>24</v>
      </c>
      <c r="H2151" t="s">
        <v>26</v>
      </c>
      <c r="I2151" t="s">
        <v>3167</v>
      </c>
      <c r="J2151" t="s">
        <v>1055</v>
      </c>
      <c r="K2151" t="s">
        <v>3199</v>
      </c>
      <c r="L2151" t="s">
        <v>1055</v>
      </c>
      <c r="M2151" t="s">
        <v>980</v>
      </c>
      <c r="N2151" t="s">
        <v>1053</v>
      </c>
      <c r="O2151" t="s">
        <v>1053</v>
      </c>
      <c r="P2151" t="s">
        <v>1110</v>
      </c>
      <c r="Q2151" t="s">
        <v>3169</v>
      </c>
      <c r="R2151" t="s">
        <v>446</v>
      </c>
      <c r="S2151" t="s">
        <v>446</v>
      </c>
      <c r="T2151" t="s">
        <v>1965</v>
      </c>
      <c r="U2151" t="b">
        <v>0</v>
      </c>
      <c r="V2151" t="s">
        <v>446</v>
      </c>
    </row>
    <row r="2152" spans="1:22" x14ac:dyDescent="0.25">
      <c r="A2152" t="s">
        <v>42</v>
      </c>
      <c r="B2152">
        <v>256</v>
      </c>
      <c r="C2152" t="s">
        <v>979</v>
      </c>
      <c r="D2152" t="s">
        <v>5458</v>
      </c>
      <c r="E2152" t="s">
        <v>978</v>
      </c>
      <c r="F2152" t="s">
        <v>5392</v>
      </c>
      <c r="G2152" t="s">
        <v>24</v>
      </c>
      <c r="H2152" t="s">
        <v>26</v>
      </c>
      <c r="I2152" t="s">
        <v>3167</v>
      </c>
      <c r="J2152" t="s">
        <v>984</v>
      </c>
      <c r="K2152" t="s">
        <v>3168</v>
      </c>
      <c r="L2152" t="s">
        <v>984</v>
      </c>
      <c r="M2152" t="s">
        <v>980</v>
      </c>
      <c r="N2152" t="s">
        <v>981</v>
      </c>
      <c r="O2152" t="s">
        <v>981</v>
      </c>
      <c r="P2152" t="s">
        <v>1110</v>
      </c>
      <c r="Q2152" t="s">
        <v>3169</v>
      </c>
      <c r="R2152" t="s">
        <v>446</v>
      </c>
      <c r="S2152" t="s">
        <v>446</v>
      </c>
      <c r="T2152" t="s">
        <v>1965</v>
      </c>
      <c r="U2152" t="b">
        <v>0</v>
      </c>
      <c r="V2152" t="s">
        <v>446</v>
      </c>
    </row>
    <row r="2153" spans="1:22" x14ac:dyDescent="0.25">
      <c r="A2153" t="s">
        <v>42</v>
      </c>
      <c r="B2153">
        <v>256</v>
      </c>
      <c r="C2153" t="s">
        <v>987</v>
      </c>
      <c r="D2153" t="s">
        <v>5459</v>
      </c>
      <c r="E2153" t="s">
        <v>986</v>
      </c>
      <c r="F2153" t="s">
        <v>5393</v>
      </c>
      <c r="G2153" t="s">
        <v>24</v>
      </c>
      <c r="H2153" t="s">
        <v>26</v>
      </c>
      <c r="I2153" t="s">
        <v>3167</v>
      </c>
      <c r="J2153" t="s">
        <v>990</v>
      </c>
      <c r="K2153" t="s">
        <v>3171</v>
      </c>
      <c r="L2153" t="s">
        <v>990</v>
      </c>
      <c r="M2153" t="s">
        <v>980</v>
      </c>
      <c r="N2153" t="s">
        <v>988</v>
      </c>
      <c r="O2153" t="s">
        <v>988</v>
      </c>
      <c r="P2153" t="s">
        <v>1110</v>
      </c>
      <c r="Q2153" t="s">
        <v>3169</v>
      </c>
      <c r="R2153" t="s">
        <v>446</v>
      </c>
      <c r="S2153" t="s">
        <v>446</v>
      </c>
      <c r="T2153" t="s">
        <v>1965</v>
      </c>
      <c r="U2153" t="b">
        <v>0</v>
      </c>
      <c r="V2153" t="s">
        <v>446</v>
      </c>
    </row>
    <row r="2154" spans="1:22" x14ac:dyDescent="0.25">
      <c r="A2154" t="s">
        <v>42</v>
      </c>
      <c r="B2154">
        <v>256</v>
      </c>
      <c r="C2154" t="s">
        <v>993</v>
      </c>
      <c r="D2154" t="s">
        <v>5460</v>
      </c>
      <c r="E2154" t="s">
        <v>992</v>
      </c>
      <c r="F2154" t="s">
        <v>5394</v>
      </c>
      <c r="G2154" t="s">
        <v>24</v>
      </c>
      <c r="H2154" t="s">
        <v>26</v>
      </c>
      <c r="I2154" t="s">
        <v>3167</v>
      </c>
      <c r="J2154" t="s">
        <v>996</v>
      </c>
      <c r="K2154" t="s">
        <v>3173</v>
      </c>
      <c r="L2154" t="s">
        <v>996</v>
      </c>
      <c r="M2154" t="s">
        <v>980</v>
      </c>
      <c r="N2154" t="s">
        <v>994</v>
      </c>
      <c r="O2154" t="s">
        <v>994</v>
      </c>
      <c r="P2154" t="s">
        <v>1110</v>
      </c>
      <c r="Q2154" t="s">
        <v>3169</v>
      </c>
      <c r="R2154" t="s">
        <v>446</v>
      </c>
      <c r="S2154" t="s">
        <v>446</v>
      </c>
      <c r="T2154" t="s">
        <v>1965</v>
      </c>
      <c r="U2154" t="b">
        <v>0</v>
      </c>
      <c r="V2154" t="s">
        <v>446</v>
      </c>
    </row>
    <row r="2155" spans="1:22" x14ac:dyDescent="0.25">
      <c r="A2155" t="s">
        <v>42</v>
      </c>
      <c r="B2155">
        <v>256</v>
      </c>
      <c r="C2155" t="s">
        <v>999</v>
      </c>
      <c r="D2155" t="s">
        <v>5461</v>
      </c>
      <c r="E2155" t="s">
        <v>998</v>
      </c>
      <c r="F2155" t="s">
        <v>4180</v>
      </c>
      <c r="G2155" t="s">
        <v>24</v>
      </c>
      <c r="H2155" t="s">
        <v>26</v>
      </c>
      <c r="I2155" t="s">
        <v>3167</v>
      </c>
      <c r="J2155" t="s">
        <v>1003</v>
      </c>
      <c r="K2155" t="s">
        <v>3175</v>
      </c>
      <c r="L2155" t="s">
        <v>1003</v>
      </c>
      <c r="M2155" t="s">
        <v>1000</v>
      </c>
      <c r="N2155" t="s">
        <v>1001</v>
      </c>
      <c r="O2155" t="s">
        <v>1001</v>
      </c>
      <c r="P2155" t="s">
        <v>1110</v>
      </c>
      <c r="Q2155" t="s">
        <v>3169</v>
      </c>
      <c r="R2155" t="s">
        <v>446</v>
      </c>
      <c r="S2155" t="s">
        <v>446</v>
      </c>
      <c r="T2155" t="s">
        <v>1965</v>
      </c>
      <c r="U2155" t="b">
        <v>0</v>
      </c>
      <c r="V2155" t="s">
        <v>446</v>
      </c>
    </row>
    <row r="2156" spans="1:22" x14ac:dyDescent="0.25">
      <c r="A2156" t="s">
        <v>42</v>
      </c>
      <c r="B2156">
        <v>256</v>
      </c>
      <c r="C2156" t="s">
        <v>1005</v>
      </c>
      <c r="D2156" t="s">
        <v>5462</v>
      </c>
      <c r="E2156" t="s">
        <v>982</v>
      </c>
      <c r="F2156" t="s">
        <v>4180</v>
      </c>
      <c r="G2156" t="s">
        <v>24</v>
      </c>
      <c r="H2156" t="s">
        <v>26</v>
      </c>
      <c r="I2156" t="s">
        <v>3167</v>
      </c>
      <c r="J2156" t="s">
        <v>1003</v>
      </c>
      <c r="K2156" t="s">
        <v>3175</v>
      </c>
      <c r="L2156" t="s">
        <v>1003</v>
      </c>
      <c r="M2156" t="s">
        <v>1000</v>
      </c>
      <c r="N2156" t="s">
        <v>1001</v>
      </c>
      <c r="O2156" t="s">
        <v>1001</v>
      </c>
      <c r="P2156" t="s">
        <v>1110</v>
      </c>
      <c r="Q2156" t="s">
        <v>3169</v>
      </c>
      <c r="R2156" t="s">
        <v>446</v>
      </c>
      <c r="S2156" t="s">
        <v>446</v>
      </c>
      <c r="T2156" t="s">
        <v>1965</v>
      </c>
      <c r="U2156" t="b">
        <v>0</v>
      </c>
      <c r="V2156" t="s">
        <v>446</v>
      </c>
    </row>
    <row r="2157" spans="1:22" x14ac:dyDescent="0.25">
      <c r="A2157" t="s">
        <v>42</v>
      </c>
      <c r="B2157">
        <v>256</v>
      </c>
      <c r="C2157" t="s">
        <v>1007</v>
      </c>
      <c r="D2157" t="s">
        <v>5463</v>
      </c>
      <c r="E2157" t="s">
        <v>1006</v>
      </c>
      <c r="F2157" t="s">
        <v>5396</v>
      </c>
      <c r="G2157" t="s">
        <v>24</v>
      </c>
      <c r="H2157" t="s">
        <v>26</v>
      </c>
      <c r="I2157" t="s">
        <v>3167</v>
      </c>
      <c r="J2157" t="s">
        <v>1011</v>
      </c>
      <c r="K2157" t="s">
        <v>3179</v>
      </c>
      <c r="L2157" t="s">
        <v>1011</v>
      </c>
      <c r="M2157" t="s">
        <v>1008</v>
      </c>
      <c r="N2157" t="s">
        <v>1009</v>
      </c>
      <c r="O2157" t="s">
        <v>1009</v>
      </c>
      <c r="P2157" t="s">
        <v>1110</v>
      </c>
      <c r="Q2157" t="s">
        <v>3169</v>
      </c>
      <c r="R2157" t="s">
        <v>446</v>
      </c>
      <c r="S2157" t="s">
        <v>446</v>
      </c>
      <c r="T2157" t="s">
        <v>1965</v>
      </c>
      <c r="U2157" t="b">
        <v>0</v>
      </c>
      <c r="V2157" t="s">
        <v>446</v>
      </c>
    </row>
    <row r="2158" spans="1:22" x14ac:dyDescent="0.25">
      <c r="A2158" t="s">
        <v>42</v>
      </c>
      <c r="B2158">
        <v>256</v>
      </c>
      <c r="C2158" t="s">
        <v>1014</v>
      </c>
      <c r="D2158" t="s">
        <v>5464</v>
      </c>
      <c r="E2158" t="s">
        <v>1013</v>
      </c>
      <c r="F2158" t="s">
        <v>5397</v>
      </c>
      <c r="G2158" t="s">
        <v>24</v>
      </c>
      <c r="H2158" t="s">
        <v>26</v>
      </c>
      <c r="I2158" t="s">
        <v>3167</v>
      </c>
      <c r="J2158" t="s">
        <v>1016</v>
      </c>
      <c r="K2158" t="s">
        <v>3181</v>
      </c>
      <c r="L2158" t="s">
        <v>1016</v>
      </c>
      <c r="M2158" t="s">
        <v>980</v>
      </c>
      <c r="N2158" t="s">
        <v>1015</v>
      </c>
      <c r="O2158" t="s">
        <v>1015</v>
      </c>
      <c r="P2158" t="s">
        <v>1110</v>
      </c>
      <c r="Q2158" t="s">
        <v>3169</v>
      </c>
      <c r="R2158" t="s">
        <v>446</v>
      </c>
      <c r="S2158" t="s">
        <v>446</v>
      </c>
      <c r="T2158" t="s">
        <v>1965</v>
      </c>
      <c r="U2158" t="b">
        <v>0</v>
      </c>
      <c r="V2158" t="s">
        <v>446</v>
      </c>
    </row>
    <row r="2159" spans="1:22" x14ac:dyDescent="0.25">
      <c r="A2159" t="s">
        <v>42</v>
      </c>
      <c r="B2159">
        <v>256</v>
      </c>
      <c r="C2159" t="s">
        <v>1019</v>
      </c>
      <c r="D2159" t="s">
        <v>5465</v>
      </c>
      <c r="E2159" t="s">
        <v>1018</v>
      </c>
      <c r="F2159" t="s">
        <v>5398</v>
      </c>
      <c r="G2159" t="s">
        <v>24</v>
      </c>
      <c r="H2159" t="s">
        <v>26</v>
      </c>
      <c r="I2159" t="s">
        <v>3167</v>
      </c>
      <c r="J2159" t="s">
        <v>1021</v>
      </c>
      <c r="K2159" t="s">
        <v>3183</v>
      </c>
      <c r="L2159" t="s">
        <v>1021</v>
      </c>
      <c r="M2159" t="s">
        <v>980</v>
      </c>
      <c r="N2159" t="s">
        <v>1020</v>
      </c>
      <c r="O2159" t="s">
        <v>1020</v>
      </c>
      <c r="P2159" t="s">
        <v>1110</v>
      </c>
      <c r="Q2159" t="s">
        <v>3169</v>
      </c>
      <c r="R2159" t="s">
        <v>446</v>
      </c>
      <c r="S2159" t="s">
        <v>446</v>
      </c>
      <c r="T2159" t="s">
        <v>1965</v>
      </c>
      <c r="U2159" t="b">
        <v>0</v>
      </c>
      <c r="V2159" t="s">
        <v>446</v>
      </c>
    </row>
    <row r="2160" spans="1:22" x14ac:dyDescent="0.25">
      <c r="A2160" t="s">
        <v>42</v>
      </c>
      <c r="B2160">
        <v>256</v>
      </c>
      <c r="C2160" t="s">
        <v>1024</v>
      </c>
      <c r="D2160" t="s">
        <v>5466</v>
      </c>
      <c r="E2160" t="s">
        <v>1023</v>
      </c>
      <c r="F2160" t="s">
        <v>4181</v>
      </c>
      <c r="G2160" t="s">
        <v>24</v>
      </c>
      <c r="H2160" t="s">
        <v>26</v>
      </c>
      <c r="I2160" t="s">
        <v>3167</v>
      </c>
      <c r="J2160" t="s">
        <v>1026</v>
      </c>
      <c r="K2160" t="s">
        <v>3185</v>
      </c>
      <c r="L2160" t="s">
        <v>1026</v>
      </c>
      <c r="M2160" t="s">
        <v>1000</v>
      </c>
      <c r="N2160" t="s">
        <v>1025</v>
      </c>
      <c r="O2160" t="s">
        <v>1025</v>
      </c>
      <c r="P2160" t="s">
        <v>1110</v>
      </c>
      <c r="Q2160" t="s">
        <v>3169</v>
      </c>
      <c r="R2160" t="s">
        <v>446</v>
      </c>
      <c r="S2160" t="s">
        <v>446</v>
      </c>
      <c r="T2160" t="s">
        <v>1965</v>
      </c>
      <c r="U2160" t="b">
        <v>0</v>
      </c>
      <c r="V2160" t="s">
        <v>446</v>
      </c>
    </row>
    <row r="2161" spans="1:22" x14ac:dyDescent="0.25">
      <c r="A2161" t="s">
        <v>42</v>
      </c>
      <c r="B2161">
        <v>256</v>
      </c>
      <c r="C2161" t="s">
        <v>1028</v>
      </c>
      <c r="D2161" t="s">
        <v>5467</v>
      </c>
      <c r="E2161" t="s">
        <v>1010</v>
      </c>
      <c r="F2161" t="s">
        <v>4181</v>
      </c>
      <c r="G2161" t="s">
        <v>24</v>
      </c>
      <c r="H2161" t="s">
        <v>26</v>
      </c>
      <c r="I2161" t="s">
        <v>3167</v>
      </c>
      <c r="J2161" t="s">
        <v>1026</v>
      </c>
      <c r="K2161" t="s">
        <v>3185</v>
      </c>
      <c r="L2161" t="s">
        <v>1026</v>
      </c>
      <c r="M2161" t="s">
        <v>1000</v>
      </c>
      <c r="N2161" t="s">
        <v>1025</v>
      </c>
      <c r="O2161" t="s">
        <v>1025</v>
      </c>
      <c r="P2161" t="s">
        <v>1110</v>
      </c>
      <c r="Q2161" t="s">
        <v>3169</v>
      </c>
      <c r="R2161" t="s">
        <v>446</v>
      </c>
      <c r="S2161" t="s">
        <v>446</v>
      </c>
      <c r="T2161" t="s">
        <v>1965</v>
      </c>
      <c r="U2161" t="b">
        <v>0</v>
      </c>
      <c r="V2161" t="s">
        <v>446</v>
      </c>
    </row>
    <row r="2162" spans="1:22" x14ac:dyDescent="0.25">
      <c r="A2162" t="s">
        <v>42</v>
      </c>
      <c r="B2162">
        <v>256</v>
      </c>
      <c r="C2162" t="s">
        <v>1030</v>
      </c>
      <c r="D2162" t="s">
        <v>5468</v>
      </c>
      <c r="E2162" t="s">
        <v>1029</v>
      </c>
      <c r="F2162" t="s">
        <v>5400</v>
      </c>
      <c r="G2162" t="s">
        <v>24</v>
      </c>
      <c r="H2162" t="s">
        <v>26</v>
      </c>
      <c r="I2162" t="s">
        <v>3167</v>
      </c>
      <c r="J2162" t="s">
        <v>1033</v>
      </c>
      <c r="K2162" t="s">
        <v>3189</v>
      </c>
      <c r="L2162" t="s">
        <v>1033</v>
      </c>
      <c r="M2162" t="s">
        <v>980</v>
      </c>
      <c r="N2162" t="s">
        <v>1031</v>
      </c>
      <c r="O2162" t="s">
        <v>1031</v>
      </c>
      <c r="P2162" t="s">
        <v>1110</v>
      </c>
      <c r="Q2162" t="s">
        <v>3169</v>
      </c>
      <c r="R2162" t="s">
        <v>446</v>
      </c>
      <c r="S2162" t="s">
        <v>446</v>
      </c>
      <c r="T2162" t="s">
        <v>1965</v>
      </c>
      <c r="U2162" t="b">
        <v>0</v>
      </c>
      <c r="V2162" t="s">
        <v>446</v>
      </c>
    </row>
    <row r="2163" spans="1:22" x14ac:dyDescent="0.25">
      <c r="A2163" t="s">
        <v>42</v>
      </c>
      <c r="B2163">
        <v>256</v>
      </c>
      <c r="C2163" t="s">
        <v>1036</v>
      </c>
      <c r="D2163" t="s">
        <v>5469</v>
      </c>
      <c r="E2163" t="s">
        <v>1035</v>
      </c>
      <c r="F2163" t="s">
        <v>5401</v>
      </c>
      <c r="G2163" t="s">
        <v>24</v>
      </c>
      <c r="H2163" t="s">
        <v>26</v>
      </c>
      <c r="I2163" t="s">
        <v>3167</v>
      </c>
      <c r="J2163" t="s">
        <v>1038</v>
      </c>
      <c r="K2163" t="s">
        <v>3191</v>
      </c>
      <c r="L2163" t="s">
        <v>1038</v>
      </c>
      <c r="M2163" t="s">
        <v>980</v>
      </c>
      <c r="N2163" t="s">
        <v>1037</v>
      </c>
      <c r="O2163" t="s">
        <v>1037</v>
      </c>
      <c r="P2163" t="s">
        <v>1110</v>
      </c>
      <c r="Q2163" t="s">
        <v>3169</v>
      </c>
      <c r="R2163" t="s">
        <v>446</v>
      </c>
      <c r="S2163" t="s">
        <v>446</v>
      </c>
      <c r="T2163" t="s">
        <v>1965</v>
      </c>
      <c r="U2163" t="b">
        <v>0</v>
      </c>
      <c r="V2163" t="s">
        <v>446</v>
      </c>
    </row>
    <row r="2164" spans="1:22" x14ac:dyDescent="0.25">
      <c r="A2164" t="s">
        <v>42</v>
      </c>
      <c r="B2164">
        <v>256</v>
      </c>
      <c r="C2164" t="s">
        <v>1041</v>
      </c>
      <c r="D2164" t="s">
        <v>5470</v>
      </c>
      <c r="E2164" t="s">
        <v>1040</v>
      </c>
      <c r="F2164" t="s">
        <v>5402</v>
      </c>
      <c r="G2164" t="s">
        <v>24</v>
      </c>
      <c r="H2164" t="s">
        <v>26</v>
      </c>
      <c r="I2164" t="s">
        <v>3167</v>
      </c>
      <c r="J2164" t="s">
        <v>1043</v>
      </c>
      <c r="K2164" t="s">
        <v>3193</v>
      </c>
      <c r="L2164" t="s">
        <v>1043</v>
      </c>
      <c r="M2164" t="s">
        <v>980</v>
      </c>
      <c r="N2164" t="s">
        <v>1042</v>
      </c>
      <c r="O2164" t="s">
        <v>1042</v>
      </c>
      <c r="P2164" t="s">
        <v>1110</v>
      </c>
      <c r="Q2164" t="s">
        <v>3169</v>
      </c>
      <c r="R2164" t="s">
        <v>446</v>
      </c>
      <c r="S2164" t="s">
        <v>446</v>
      </c>
      <c r="T2164" t="s">
        <v>1965</v>
      </c>
      <c r="U2164" t="b">
        <v>0</v>
      </c>
      <c r="V2164" t="s">
        <v>446</v>
      </c>
    </row>
    <row r="2165" spans="1:22" x14ac:dyDescent="0.25">
      <c r="A2165" t="s">
        <v>42</v>
      </c>
      <c r="B2165">
        <v>256</v>
      </c>
      <c r="C2165" t="s">
        <v>1046</v>
      </c>
      <c r="D2165" t="s">
        <v>5471</v>
      </c>
      <c r="E2165" t="s">
        <v>1045</v>
      </c>
      <c r="F2165" t="s">
        <v>4182</v>
      </c>
      <c r="G2165" t="s">
        <v>24</v>
      </c>
      <c r="H2165" t="s">
        <v>26</v>
      </c>
      <c r="I2165" t="s">
        <v>3167</v>
      </c>
      <c r="J2165" t="s">
        <v>1048</v>
      </c>
      <c r="K2165" t="s">
        <v>3195</v>
      </c>
      <c r="L2165" t="s">
        <v>1048</v>
      </c>
      <c r="M2165" t="s">
        <v>1000</v>
      </c>
      <c r="N2165" t="s">
        <v>1047</v>
      </c>
      <c r="O2165" t="s">
        <v>1047</v>
      </c>
      <c r="P2165" t="s">
        <v>1110</v>
      </c>
      <c r="Q2165" t="s">
        <v>3169</v>
      </c>
      <c r="R2165" t="s">
        <v>446</v>
      </c>
      <c r="S2165" t="s">
        <v>446</v>
      </c>
      <c r="T2165" t="s">
        <v>1965</v>
      </c>
      <c r="U2165" t="b">
        <v>0</v>
      </c>
      <c r="V2165" t="s">
        <v>446</v>
      </c>
    </row>
    <row r="2166" spans="1:22" x14ac:dyDescent="0.25">
      <c r="A2166" t="s">
        <v>42</v>
      </c>
      <c r="B2166">
        <v>256</v>
      </c>
      <c r="C2166" t="s">
        <v>1050</v>
      </c>
      <c r="D2166" t="s">
        <v>5472</v>
      </c>
      <c r="E2166" t="s">
        <v>1032</v>
      </c>
      <c r="F2166" t="s">
        <v>4182</v>
      </c>
      <c r="G2166" t="s">
        <v>24</v>
      </c>
      <c r="H2166" t="s">
        <v>26</v>
      </c>
      <c r="I2166" t="s">
        <v>3167</v>
      </c>
      <c r="J2166" t="s">
        <v>1048</v>
      </c>
      <c r="K2166" t="s">
        <v>3195</v>
      </c>
      <c r="L2166" t="s">
        <v>1048</v>
      </c>
      <c r="M2166" t="s">
        <v>1000</v>
      </c>
      <c r="N2166" t="s">
        <v>1047</v>
      </c>
      <c r="O2166" t="s">
        <v>1047</v>
      </c>
      <c r="P2166" t="s">
        <v>1110</v>
      </c>
      <c r="Q2166" t="s">
        <v>3169</v>
      </c>
      <c r="R2166" t="s">
        <v>446</v>
      </c>
      <c r="S2166" t="s">
        <v>446</v>
      </c>
      <c r="T2166" t="s">
        <v>1965</v>
      </c>
      <c r="U2166" t="b">
        <v>0</v>
      </c>
      <c r="V2166" t="s">
        <v>446</v>
      </c>
    </row>
    <row r="2167" spans="1:22" x14ac:dyDescent="0.25">
      <c r="A2167" t="s">
        <v>42</v>
      </c>
      <c r="B2167">
        <v>256</v>
      </c>
      <c r="C2167" t="s">
        <v>1052</v>
      </c>
      <c r="D2167" t="s">
        <v>5473</v>
      </c>
      <c r="E2167" t="s">
        <v>1051</v>
      </c>
      <c r="F2167" t="s">
        <v>5474</v>
      </c>
      <c r="G2167" t="s">
        <v>24</v>
      </c>
      <c r="H2167" t="s">
        <v>26</v>
      </c>
      <c r="I2167" t="s">
        <v>3167</v>
      </c>
      <c r="J2167" t="s">
        <v>1055</v>
      </c>
      <c r="K2167" t="s">
        <v>3199</v>
      </c>
      <c r="L2167" t="s">
        <v>1055</v>
      </c>
      <c r="M2167" t="s">
        <v>980</v>
      </c>
      <c r="N2167" t="s">
        <v>1053</v>
      </c>
      <c r="O2167" t="s">
        <v>1053</v>
      </c>
      <c r="P2167" t="s">
        <v>1110</v>
      </c>
      <c r="Q2167" t="s">
        <v>3169</v>
      </c>
      <c r="R2167" t="s">
        <v>446</v>
      </c>
      <c r="S2167" t="s">
        <v>446</v>
      </c>
      <c r="T2167" t="s">
        <v>1965</v>
      </c>
      <c r="U2167" t="b">
        <v>0</v>
      </c>
      <c r="V2167" t="s">
        <v>446</v>
      </c>
    </row>
    <row r="2168" spans="1:22" x14ac:dyDescent="0.25">
      <c r="A2168" t="s">
        <v>42</v>
      </c>
      <c r="B2168">
        <v>259</v>
      </c>
      <c r="C2168" t="s">
        <v>979</v>
      </c>
      <c r="D2168" t="s">
        <v>2648</v>
      </c>
      <c r="E2168" t="s">
        <v>978</v>
      </c>
      <c r="F2168" t="s">
        <v>3218</v>
      </c>
      <c r="G2168" t="s">
        <v>24</v>
      </c>
      <c r="H2168" t="s">
        <v>26</v>
      </c>
      <c r="I2168" t="s">
        <v>3167</v>
      </c>
      <c r="J2168" t="s">
        <v>984</v>
      </c>
      <c r="K2168" t="s">
        <v>3168</v>
      </c>
      <c r="L2168" t="s">
        <v>984</v>
      </c>
      <c r="M2168" t="s">
        <v>980</v>
      </c>
      <c r="N2168" t="s">
        <v>981</v>
      </c>
      <c r="O2168" t="s">
        <v>981</v>
      </c>
      <c r="P2168" t="s">
        <v>1746</v>
      </c>
      <c r="Q2168" t="s">
        <v>3771</v>
      </c>
      <c r="R2168" t="s">
        <v>446</v>
      </c>
      <c r="S2168" t="s">
        <v>446</v>
      </c>
      <c r="T2168" t="s">
        <v>1965</v>
      </c>
      <c r="U2168" t="b">
        <v>0</v>
      </c>
      <c r="V2168" t="s">
        <v>1962</v>
      </c>
    </row>
    <row r="2169" spans="1:22" x14ac:dyDescent="0.25">
      <c r="A2169" t="s">
        <v>42</v>
      </c>
      <c r="B2169">
        <v>259</v>
      </c>
      <c r="C2169" t="s">
        <v>987</v>
      </c>
      <c r="D2169" t="s">
        <v>2649</v>
      </c>
      <c r="E2169" t="s">
        <v>986</v>
      </c>
      <c r="F2169" t="s">
        <v>5475</v>
      </c>
      <c r="G2169" t="s">
        <v>24</v>
      </c>
      <c r="H2169" t="s">
        <v>26</v>
      </c>
      <c r="I2169" t="s">
        <v>3167</v>
      </c>
      <c r="J2169" t="s">
        <v>990</v>
      </c>
      <c r="K2169" t="s">
        <v>3171</v>
      </c>
      <c r="L2169" t="s">
        <v>990</v>
      </c>
      <c r="M2169" t="s">
        <v>980</v>
      </c>
      <c r="N2169" t="s">
        <v>988</v>
      </c>
      <c r="O2169" t="s">
        <v>988</v>
      </c>
      <c r="P2169" t="s">
        <v>1746</v>
      </c>
      <c r="Q2169" t="s">
        <v>3771</v>
      </c>
      <c r="R2169" t="s">
        <v>446</v>
      </c>
      <c r="S2169" t="s">
        <v>446</v>
      </c>
      <c r="T2169" t="s">
        <v>1965</v>
      </c>
      <c r="U2169" t="b">
        <v>0</v>
      </c>
      <c r="V2169" t="s">
        <v>1962</v>
      </c>
    </row>
    <row r="2170" spans="1:22" x14ac:dyDescent="0.25">
      <c r="A2170" t="s">
        <v>42</v>
      </c>
      <c r="B2170">
        <v>259</v>
      </c>
      <c r="C2170" t="s">
        <v>993</v>
      </c>
      <c r="D2170" t="s">
        <v>2650</v>
      </c>
      <c r="E2170" t="s">
        <v>992</v>
      </c>
      <c r="F2170" t="s">
        <v>5476</v>
      </c>
      <c r="G2170" t="s">
        <v>24</v>
      </c>
      <c r="H2170" t="s">
        <v>26</v>
      </c>
      <c r="I2170" t="s">
        <v>3167</v>
      </c>
      <c r="J2170" t="s">
        <v>996</v>
      </c>
      <c r="K2170" t="s">
        <v>3173</v>
      </c>
      <c r="L2170" t="s">
        <v>996</v>
      </c>
      <c r="M2170" t="s">
        <v>980</v>
      </c>
      <c r="N2170" t="s">
        <v>994</v>
      </c>
      <c r="O2170" t="s">
        <v>994</v>
      </c>
      <c r="P2170" t="s">
        <v>1746</v>
      </c>
      <c r="Q2170" t="s">
        <v>3771</v>
      </c>
      <c r="R2170" t="s">
        <v>446</v>
      </c>
      <c r="S2170" t="s">
        <v>446</v>
      </c>
      <c r="T2170" t="s">
        <v>1965</v>
      </c>
      <c r="U2170" t="b">
        <v>0</v>
      </c>
      <c r="V2170" t="s">
        <v>1962</v>
      </c>
    </row>
    <row r="2171" spans="1:22" x14ac:dyDescent="0.25">
      <c r="A2171" t="s">
        <v>42</v>
      </c>
      <c r="B2171">
        <v>259</v>
      </c>
      <c r="C2171" t="s">
        <v>999</v>
      </c>
      <c r="D2171" t="s">
        <v>2651</v>
      </c>
      <c r="E2171" t="s">
        <v>998</v>
      </c>
      <c r="F2171" t="s">
        <v>5477</v>
      </c>
      <c r="G2171" t="s">
        <v>24</v>
      </c>
      <c r="H2171" t="s">
        <v>26</v>
      </c>
      <c r="I2171" t="s">
        <v>3167</v>
      </c>
      <c r="J2171" t="s">
        <v>1003</v>
      </c>
      <c r="K2171" t="s">
        <v>3175</v>
      </c>
      <c r="L2171" t="s">
        <v>1003</v>
      </c>
      <c r="M2171" t="s">
        <v>1000</v>
      </c>
      <c r="N2171" t="s">
        <v>1001</v>
      </c>
      <c r="O2171" t="s">
        <v>1001</v>
      </c>
      <c r="P2171" t="s">
        <v>1746</v>
      </c>
      <c r="Q2171" t="s">
        <v>3771</v>
      </c>
      <c r="R2171" t="s">
        <v>446</v>
      </c>
      <c r="S2171" t="s">
        <v>446</v>
      </c>
      <c r="T2171" t="s">
        <v>1965</v>
      </c>
      <c r="U2171" t="b">
        <v>0</v>
      </c>
      <c r="V2171" t="s">
        <v>1962</v>
      </c>
    </row>
    <row r="2172" spans="1:22" x14ac:dyDescent="0.25">
      <c r="A2172" t="s">
        <v>42</v>
      </c>
      <c r="B2172">
        <v>259</v>
      </c>
      <c r="C2172" t="s">
        <v>1005</v>
      </c>
      <c r="D2172" t="s">
        <v>5478</v>
      </c>
      <c r="E2172" t="s">
        <v>982</v>
      </c>
      <c r="F2172" t="s">
        <v>3218</v>
      </c>
      <c r="G2172" t="s">
        <v>24</v>
      </c>
      <c r="H2172" t="s">
        <v>26</v>
      </c>
      <c r="I2172" t="s">
        <v>3167</v>
      </c>
      <c r="J2172" t="s">
        <v>1003</v>
      </c>
      <c r="K2172" t="s">
        <v>3175</v>
      </c>
      <c r="L2172" t="s">
        <v>1003</v>
      </c>
      <c r="M2172" t="s">
        <v>1000</v>
      </c>
      <c r="N2172" t="s">
        <v>1001</v>
      </c>
      <c r="O2172" t="s">
        <v>1001</v>
      </c>
      <c r="P2172" t="s">
        <v>1746</v>
      </c>
      <c r="Q2172" t="s">
        <v>3771</v>
      </c>
      <c r="R2172" t="s">
        <v>446</v>
      </c>
      <c r="S2172" t="s">
        <v>446</v>
      </c>
      <c r="T2172" t="s">
        <v>1965</v>
      </c>
      <c r="U2172" t="b">
        <v>0</v>
      </c>
      <c r="V2172" t="s">
        <v>446</v>
      </c>
    </row>
    <row r="2173" spans="1:22" x14ac:dyDescent="0.25">
      <c r="A2173" t="s">
        <v>42</v>
      </c>
      <c r="B2173">
        <v>259</v>
      </c>
      <c r="C2173" t="s">
        <v>1007</v>
      </c>
      <c r="D2173" t="s">
        <v>2652</v>
      </c>
      <c r="E2173" t="s">
        <v>1006</v>
      </c>
      <c r="F2173" t="s">
        <v>4188</v>
      </c>
      <c r="G2173" t="s">
        <v>24</v>
      </c>
      <c r="H2173" t="s">
        <v>26</v>
      </c>
      <c r="I2173" t="s">
        <v>3167</v>
      </c>
      <c r="J2173" t="s">
        <v>1011</v>
      </c>
      <c r="K2173" t="s">
        <v>3179</v>
      </c>
      <c r="L2173" t="s">
        <v>1011</v>
      </c>
      <c r="M2173" t="s">
        <v>1008</v>
      </c>
      <c r="N2173" t="s">
        <v>1009</v>
      </c>
      <c r="O2173" t="s">
        <v>1009</v>
      </c>
      <c r="P2173" t="s">
        <v>1746</v>
      </c>
      <c r="Q2173" t="s">
        <v>3771</v>
      </c>
      <c r="R2173" t="s">
        <v>446</v>
      </c>
      <c r="S2173" t="s">
        <v>446</v>
      </c>
      <c r="T2173" t="s">
        <v>1965</v>
      </c>
      <c r="U2173" t="b">
        <v>0</v>
      </c>
      <c r="V2173" t="s">
        <v>1962</v>
      </c>
    </row>
    <row r="2174" spans="1:22" x14ac:dyDescent="0.25">
      <c r="A2174" t="s">
        <v>42</v>
      </c>
      <c r="B2174">
        <v>259</v>
      </c>
      <c r="C2174" t="s">
        <v>1014</v>
      </c>
      <c r="D2174" t="s">
        <v>2653</v>
      </c>
      <c r="E2174" t="s">
        <v>1013</v>
      </c>
      <c r="F2174" t="s">
        <v>5479</v>
      </c>
      <c r="G2174" t="s">
        <v>24</v>
      </c>
      <c r="H2174" t="s">
        <v>26</v>
      </c>
      <c r="I2174" t="s">
        <v>3167</v>
      </c>
      <c r="J2174" t="s">
        <v>1016</v>
      </c>
      <c r="K2174" t="s">
        <v>3181</v>
      </c>
      <c r="L2174" t="s">
        <v>1016</v>
      </c>
      <c r="M2174" t="s">
        <v>980</v>
      </c>
      <c r="N2174" t="s">
        <v>1015</v>
      </c>
      <c r="O2174" t="s">
        <v>1015</v>
      </c>
      <c r="P2174" t="s">
        <v>1746</v>
      </c>
      <c r="Q2174" t="s">
        <v>3771</v>
      </c>
      <c r="R2174" t="s">
        <v>446</v>
      </c>
      <c r="S2174" t="s">
        <v>446</v>
      </c>
      <c r="T2174" t="s">
        <v>1965</v>
      </c>
      <c r="U2174" t="b">
        <v>0</v>
      </c>
      <c r="V2174" t="s">
        <v>1962</v>
      </c>
    </row>
    <row r="2175" spans="1:22" x14ac:dyDescent="0.25">
      <c r="A2175" t="s">
        <v>42</v>
      </c>
      <c r="B2175">
        <v>259</v>
      </c>
      <c r="C2175" t="s">
        <v>1019</v>
      </c>
      <c r="D2175" t="s">
        <v>2654</v>
      </c>
      <c r="E2175" t="s">
        <v>1018</v>
      </c>
      <c r="F2175" t="s">
        <v>5480</v>
      </c>
      <c r="G2175" t="s">
        <v>24</v>
      </c>
      <c r="H2175" t="s">
        <v>26</v>
      </c>
      <c r="I2175" t="s">
        <v>3167</v>
      </c>
      <c r="J2175" t="s">
        <v>1021</v>
      </c>
      <c r="K2175" t="s">
        <v>3183</v>
      </c>
      <c r="L2175" t="s">
        <v>1021</v>
      </c>
      <c r="M2175" t="s">
        <v>980</v>
      </c>
      <c r="N2175" t="s">
        <v>1020</v>
      </c>
      <c r="O2175" t="s">
        <v>1020</v>
      </c>
      <c r="P2175" t="s">
        <v>1746</v>
      </c>
      <c r="Q2175" t="s">
        <v>3771</v>
      </c>
      <c r="R2175" t="s">
        <v>446</v>
      </c>
      <c r="S2175" t="s">
        <v>446</v>
      </c>
      <c r="T2175" t="s">
        <v>1965</v>
      </c>
      <c r="U2175" t="b">
        <v>0</v>
      </c>
      <c r="V2175" t="s">
        <v>1962</v>
      </c>
    </row>
    <row r="2176" spans="1:22" x14ac:dyDescent="0.25">
      <c r="A2176" t="s">
        <v>42</v>
      </c>
      <c r="B2176">
        <v>259</v>
      </c>
      <c r="C2176" t="s">
        <v>1024</v>
      </c>
      <c r="D2176" t="s">
        <v>2655</v>
      </c>
      <c r="E2176" t="s">
        <v>1023</v>
      </c>
      <c r="F2176" t="s">
        <v>5481</v>
      </c>
      <c r="G2176" t="s">
        <v>24</v>
      </c>
      <c r="H2176" t="s">
        <v>26</v>
      </c>
      <c r="I2176" t="s">
        <v>3167</v>
      </c>
      <c r="J2176" t="s">
        <v>1026</v>
      </c>
      <c r="K2176" t="s">
        <v>3185</v>
      </c>
      <c r="L2176" t="s">
        <v>1026</v>
      </c>
      <c r="M2176" t="s">
        <v>1000</v>
      </c>
      <c r="N2176" t="s">
        <v>1025</v>
      </c>
      <c r="O2176" t="s">
        <v>1025</v>
      </c>
      <c r="P2176" t="s">
        <v>1746</v>
      </c>
      <c r="Q2176" t="s">
        <v>3771</v>
      </c>
      <c r="R2176" t="s">
        <v>446</v>
      </c>
      <c r="S2176" t="s">
        <v>446</v>
      </c>
      <c r="T2176" t="s">
        <v>1965</v>
      </c>
      <c r="U2176" t="b">
        <v>0</v>
      </c>
      <c r="V2176" t="s">
        <v>1962</v>
      </c>
    </row>
    <row r="2177" spans="1:22" x14ac:dyDescent="0.25">
      <c r="A2177" t="s">
        <v>42</v>
      </c>
      <c r="B2177">
        <v>259</v>
      </c>
      <c r="C2177" t="s">
        <v>1028</v>
      </c>
      <c r="D2177" t="s">
        <v>5482</v>
      </c>
      <c r="E2177" t="s">
        <v>1010</v>
      </c>
      <c r="F2177" t="s">
        <v>4188</v>
      </c>
      <c r="G2177" t="s">
        <v>24</v>
      </c>
      <c r="H2177" t="s">
        <v>26</v>
      </c>
      <c r="I2177" t="s">
        <v>3167</v>
      </c>
      <c r="J2177" t="s">
        <v>1026</v>
      </c>
      <c r="K2177" t="s">
        <v>3185</v>
      </c>
      <c r="L2177" t="s">
        <v>1026</v>
      </c>
      <c r="M2177" t="s">
        <v>1000</v>
      </c>
      <c r="N2177" t="s">
        <v>1025</v>
      </c>
      <c r="O2177" t="s">
        <v>1025</v>
      </c>
      <c r="P2177" t="s">
        <v>1746</v>
      </c>
      <c r="Q2177" t="s">
        <v>3771</v>
      </c>
      <c r="R2177" t="s">
        <v>446</v>
      </c>
      <c r="S2177" t="s">
        <v>446</v>
      </c>
      <c r="T2177" t="s">
        <v>1965</v>
      </c>
      <c r="U2177" t="b">
        <v>0</v>
      </c>
      <c r="V2177" t="s">
        <v>446</v>
      </c>
    </row>
    <row r="2178" spans="1:22" x14ac:dyDescent="0.25">
      <c r="A2178" t="s">
        <v>42</v>
      </c>
      <c r="B2178">
        <v>259</v>
      </c>
      <c r="C2178" t="s">
        <v>1030</v>
      </c>
      <c r="D2178" t="s">
        <v>2656</v>
      </c>
      <c r="E2178" t="s">
        <v>1029</v>
      </c>
      <c r="F2178" t="s">
        <v>4189</v>
      </c>
      <c r="G2178" t="s">
        <v>24</v>
      </c>
      <c r="H2178" t="s">
        <v>26</v>
      </c>
      <c r="I2178" t="s">
        <v>3167</v>
      </c>
      <c r="J2178" t="s">
        <v>1033</v>
      </c>
      <c r="K2178" t="s">
        <v>3189</v>
      </c>
      <c r="L2178" t="s">
        <v>1033</v>
      </c>
      <c r="M2178" t="s">
        <v>980</v>
      </c>
      <c r="N2178" t="s">
        <v>1031</v>
      </c>
      <c r="O2178" t="s">
        <v>1031</v>
      </c>
      <c r="P2178" t="s">
        <v>1746</v>
      </c>
      <c r="Q2178" t="s">
        <v>3771</v>
      </c>
      <c r="R2178" t="s">
        <v>446</v>
      </c>
      <c r="S2178" t="s">
        <v>446</v>
      </c>
      <c r="T2178" t="s">
        <v>1965</v>
      </c>
      <c r="U2178" t="b">
        <v>0</v>
      </c>
      <c r="V2178" t="s">
        <v>1962</v>
      </c>
    </row>
    <row r="2179" spans="1:22" x14ac:dyDescent="0.25">
      <c r="A2179" t="s">
        <v>42</v>
      </c>
      <c r="B2179">
        <v>259</v>
      </c>
      <c r="C2179" t="s">
        <v>1036</v>
      </c>
      <c r="D2179" t="s">
        <v>2657</v>
      </c>
      <c r="E2179" t="s">
        <v>1035</v>
      </c>
      <c r="F2179" t="s">
        <v>5483</v>
      </c>
      <c r="G2179" t="s">
        <v>24</v>
      </c>
      <c r="H2179" t="s">
        <v>26</v>
      </c>
      <c r="I2179" t="s">
        <v>3167</v>
      </c>
      <c r="J2179" t="s">
        <v>1038</v>
      </c>
      <c r="K2179" t="s">
        <v>3191</v>
      </c>
      <c r="L2179" t="s">
        <v>1038</v>
      </c>
      <c r="M2179" t="s">
        <v>980</v>
      </c>
      <c r="N2179" t="s">
        <v>1037</v>
      </c>
      <c r="O2179" t="s">
        <v>1037</v>
      </c>
      <c r="P2179" t="s">
        <v>1746</v>
      </c>
      <c r="Q2179" t="s">
        <v>3771</v>
      </c>
      <c r="R2179" t="s">
        <v>446</v>
      </c>
      <c r="S2179" t="s">
        <v>446</v>
      </c>
      <c r="T2179" t="s">
        <v>1965</v>
      </c>
      <c r="U2179" t="b">
        <v>0</v>
      </c>
      <c r="V2179" t="s">
        <v>1962</v>
      </c>
    </row>
    <row r="2180" spans="1:22" x14ac:dyDescent="0.25">
      <c r="A2180" t="s">
        <v>42</v>
      </c>
      <c r="B2180">
        <v>259</v>
      </c>
      <c r="C2180" t="s">
        <v>1041</v>
      </c>
      <c r="D2180" t="s">
        <v>2658</v>
      </c>
      <c r="E2180" t="s">
        <v>1040</v>
      </c>
      <c r="F2180" t="s">
        <v>5484</v>
      </c>
      <c r="G2180" t="s">
        <v>24</v>
      </c>
      <c r="H2180" t="s">
        <v>26</v>
      </c>
      <c r="I2180" t="s">
        <v>3167</v>
      </c>
      <c r="J2180" t="s">
        <v>1043</v>
      </c>
      <c r="K2180" t="s">
        <v>3193</v>
      </c>
      <c r="L2180" t="s">
        <v>1043</v>
      </c>
      <c r="M2180" t="s">
        <v>980</v>
      </c>
      <c r="N2180" t="s">
        <v>1042</v>
      </c>
      <c r="O2180" t="s">
        <v>1042</v>
      </c>
      <c r="P2180" t="s">
        <v>1746</v>
      </c>
      <c r="Q2180" t="s">
        <v>3771</v>
      </c>
      <c r="R2180" t="s">
        <v>446</v>
      </c>
      <c r="S2180" t="s">
        <v>446</v>
      </c>
      <c r="T2180" t="s">
        <v>1965</v>
      </c>
      <c r="U2180" t="b">
        <v>0</v>
      </c>
      <c r="V2180" t="s">
        <v>1962</v>
      </c>
    </row>
    <row r="2181" spans="1:22" x14ac:dyDescent="0.25">
      <c r="A2181" t="s">
        <v>42</v>
      </c>
      <c r="B2181">
        <v>259</v>
      </c>
      <c r="C2181" t="s">
        <v>1046</v>
      </c>
      <c r="D2181" t="s">
        <v>2659</v>
      </c>
      <c r="E2181" t="s">
        <v>1045</v>
      </c>
      <c r="F2181" t="s">
        <v>5485</v>
      </c>
      <c r="G2181" t="s">
        <v>24</v>
      </c>
      <c r="H2181" t="s">
        <v>26</v>
      </c>
      <c r="I2181" t="s">
        <v>3167</v>
      </c>
      <c r="J2181" t="s">
        <v>1048</v>
      </c>
      <c r="K2181" t="s">
        <v>3195</v>
      </c>
      <c r="L2181" t="s">
        <v>1048</v>
      </c>
      <c r="M2181" t="s">
        <v>1000</v>
      </c>
      <c r="N2181" t="s">
        <v>1047</v>
      </c>
      <c r="O2181" t="s">
        <v>1047</v>
      </c>
      <c r="P2181" t="s">
        <v>1746</v>
      </c>
      <c r="Q2181" t="s">
        <v>3771</v>
      </c>
      <c r="R2181" t="s">
        <v>446</v>
      </c>
      <c r="S2181" t="s">
        <v>446</v>
      </c>
      <c r="T2181" t="s">
        <v>1965</v>
      </c>
      <c r="U2181" t="b">
        <v>0</v>
      </c>
      <c r="V2181" t="s">
        <v>1962</v>
      </c>
    </row>
    <row r="2182" spans="1:22" x14ac:dyDescent="0.25">
      <c r="A2182" t="s">
        <v>42</v>
      </c>
      <c r="B2182">
        <v>259</v>
      </c>
      <c r="C2182" t="s">
        <v>1050</v>
      </c>
      <c r="D2182" t="s">
        <v>5486</v>
      </c>
      <c r="E2182" t="s">
        <v>1032</v>
      </c>
      <c r="F2182" t="s">
        <v>4189</v>
      </c>
      <c r="G2182" t="s">
        <v>24</v>
      </c>
      <c r="H2182" t="s">
        <v>26</v>
      </c>
      <c r="I2182" t="s">
        <v>3167</v>
      </c>
      <c r="J2182" t="s">
        <v>1048</v>
      </c>
      <c r="K2182" t="s">
        <v>3195</v>
      </c>
      <c r="L2182" t="s">
        <v>1048</v>
      </c>
      <c r="M2182" t="s">
        <v>1000</v>
      </c>
      <c r="N2182" t="s">
        <v>1047</v>
      </c>
      <c r="O2182" t="s">
        <v>1047</v>
      </c>
      <c r="P2182" t="s">
        <v>1746</v>
      </c>
      <c r="Q2182" t="s">
        <v>3771</v>
      </c>
      <c r="R2182" t="s">
        <v>446</v>
      </c>
      <c r="S2182" t="s">
        <v>446</v>
      </c>
      <c r="T2182" t="s">
        <v>1965</v>
      </c>
      <c r="U2182" t="b">
        <v>0</v>
      </c>
      <c r="V2182" t="s">
        <v>446</v>
      </c>
    </row>
    <row r="2183" spans="1:22" x14ac:dyDescent="0.25">
      <c r="A2183" t="s">
        <v>42</v>
      </c>
      <c r="B2183">
        <v>259</v>
      </c>
      <c r="C2183" t="s">
        <v>1052</v>
      </c>
      <c r="D2183" t="s">
        <v>2660</v>
      </c>
      <c r="E2183" t="s">
        <v>1051</v>
      </c>
      <c r="F2183" t="s">
        <v>4190</v>
      </c>
      <c r="G2183" t="s">
        <v>24</v>
      </c>
      <c r="H2183" t="s">
        <v>26</v>
      </c>
      <c r="I2183" t="s">
        <v>3167</v>
      </c>
      <c r="J2183" t="s">
        <v>1055</v>
      </c>
      <c r="K2183" t="s">
        <v>3199</v>
      </c>
      <c r="L2183" t="s">
        <v>1055</v>
      </c>
      <c r="M2183" t="s">
        <v>980</v>
      </c>
      <c r="N2183" t="s">
        <v>1053</v>
      </c>
      <c r="O2183" t="s">
        <v>1053</v>
      </c>
      <c r="P2183" t="s">
        <v>1746</v>
      </c>
      <c r="Q2183" t="s">
        <v>3771</v>
      </c>
      <c r="R2183" t="s">
        <v>446</v>
      </c>
      <c r="S2183" t="s">
        <v>446</v>
      </c>
      <c r="T2183" t="s">
        <v>1965</v>
      </c>
      <c r="U2183" t="b">
        <v>0</v>
      </c>
      <c r="V2183" t="s">
        <v>1962</v>
      </c>
    </row>
    <row r="2184" spans="1:22" x14ac:dyDescent="0.25">
      <c r="A2184" t="s">
        <v>42</v>
      </c>
      <c r="B2184">
        <v>260</v>
      </c>
      <c r="C2184" t="s">
        <v>979</v>
      </c>
      <c r="D2184" t="s">
        <v>5487</v>
      </c>
      <c r="E2184" t="s">
        <v>978</v>
      </c>
      <c r="F2184" t="s">
        <v>5475</v>
      </c>
      <c r="G2184" t="s">
        <v>24</v>
      </c>
      <c r="H2184" t="s">
        <v>26</v>
      </c>
      <c r="I2184" t="s">
        <v>3167</v>
      </c>
      <c r="J2184" t="s">
        <v>984</v>
      </c>
      <c r="K2184" t="s">
        <v>3168</v>
      </c>
      <c r="L2184" t="s">
        <v>984</v>
      </c>
      <c r="M2184" t="s">
        <v>980</v>
      </c>
      <c r="N2184" t="s">
        <v>981</v>
      </c>
      <c r="O2184" t="s">
        <v>981</v>
      </c>
      <c r="P2184" t="s">
        <v>1110</v>
      </c>
      <c r="Q2184" t="s">
        <v>3169</v>
      </c>
      <c r="R2184" t="s">
        <v>446</v>
      </c>
      <c r="S2184" t="s">
        <v>446</v>
      </c>
      <c r="T2184" t="s">
        <v>1965</v>
      </c>
      <c r="U2184" t="b">
        <v>0</v>
      </c>
      <c r="V2184" t="s">
        <v>446</v>
      </c>
    </row>
    <row r="2185" spans="1:22" x14ac:dyDescent="0.25">
      <c r="A2185" t="s">
        <v>42</v>
      </c>
      <c r="B2185">
        <v>260</v>
      </c>
      <c r="C2185" t="s">
        <v>987</v>
      </c>
      <c r="D2185" t="s">
        <v>5488</v>
      </c>
      <c r="E2185" t="s">
        <v>986</v>
      </c>
      <c r="F2185" t="s">
        <v>5489</v>
      </c>
      <c r="G2185" t="s">
        <v>24</v>
      </c>
      <c r="H2185" t="s">
        <v>26</v>
      </c>
      <c r="I2185" t="s">
        <v>3167</v>
      </c>
      <c r="J2185" t="s">
        <v>990</v>
      </c>
      <c r="K2185" t="s">
        <v>3171</v>
      </c>
      <c r="L2185" t="s">
        <v>990</v>
      </c>
      <c r="M2185" t="s">
        <v>980</v>
      </c>
      <c r="N2185" t="s">
        <v>988</v>
      </c>
      <c r="O2185" t="s">
        <v>988</v>
      </c>
      <c r="P2185" t="s">
        <v>1110</v>
      </c>
      <c r="Q2185" t="s">
        <v>3169</v>
      </c>
      <c r="R2185" t="s">
        <v>446</v>
      </c>
      <c r="S2185" t="s">
        <v>446</v>
      </c>
      <c r="T2185" t="s">
        <v>1965</v>
      </c>
      <c r="U2185" t="b">
        <v>0</v>
      </c>
      <c r="V2185" t="s">
        <v>446</v>
      </c>
    </row>
    <row r="2186" spans="1:22" x14ac:dyDescent="0.25">
      <c r="A2186" t="s">
        <v>42</v>
      </c>
      <c r="B2186">
        <v>260</v>
      </c>
      <c r="C2186" t="s">
        <v>993</v>
      </c>
      <c r="D2186" t="s">
        <v>5490</v>
      </c>
      <c r="E2186" t="s">
        <v>992</v>
      </c>
      <c r="F2186" t="s">
        <v>5491</v>
      </c>
      <c r="G2186" t="s">
        <v>24</v>
      </c>
      <c r="H2186" t="s">
        <v>26</v>
      </c>
      <c r="I2186" t="s">
        <v>3167</v>
      </c>
      <c r="J2186" t="s">
        <v>996</v>
      </c>
      <c r="K2186" t="s">
        <v>3173</v>
      </c>
      <c r="L2186" t="s">
        <v>996</v>
      </c>
      <c r="M2186" t="s">
        <v>980</v>
      </c>
      <c r="N2186" t="s">
        <v>994</v>
      </c>
      <c r="O2186" t="s">
        <v>994</v>
      </c>
      <c r="P2186" t="s">
        <v>1110</v>
      </c>
      <c r="Q2186" t="s">
        <v>3169</v>
      </c>
      <c r="R2186" t="s">
        <v>446</v>
      </c>
      <c r="S2186" t="s">
        <v>446</v>
      </c>
      <c r="T2186" t="s">
        <v>1965</v>
      </c>
      <c r="U2186" t="b">
        <v>0</v>
      </c>
      <c r="V2186" t="s">
        <v>446</v>
      </c>
    </row>
    <row r="2187" spans="1:22" x14ac:dyDescent="0.25">
      <c r="A2187" t="s">
        <v>42</v>
      </c>
      <c r="B2187">
        <v>260</v>
      </c>
      <c r="C2187" t="s">
        <v>999</v>
      </c>
      <c r="D2187" t="s">
        <v>5492</v>
      </c>
      <c r="E2187" t="s">
        <v>998</v>
      </c>
      <c r="F2187" t="s">
        <v>5493</v>
      </c>
      <c r="G2187" t="s">
        <v>24</v>
      </c>
      <c r="H2187" t="s">
        <v>26</v>
      </c>
      <c r="I2187" t="s">
        <v>3167</v>
      </c>
      <c r="J2187" t="s">
        <v>1003</v>
      </c>
      <c r="K2187" t="s">
        <v>3175</v>
      </c>
      <c r="L2187" t="s">
        <v>1003</v>
      </c>
      <c r="M2187" t="s">
        <v>1000</v>
      </c>
      <c r="N2187" t="s">
        <v>1001</v>
      </c>
      <c r="O2187" t="s">
        <v>1001</v>
      </c>
      <c r="P2187" t="s">
        <v>1110</v>
      </c>
      <c r="Q2187" t="s">
        <v>3169</v>
      </c>
      <c r="R2187" t="s">
        <v>446</v>
      </c>
      <c r="S2187" t="s">
        <v>446</v>
      </c>
      <c r="T2187" t="s">
        <v>1965</v>
      </c>
      <c r="U2187" t="b">
        <v>0</v>
      </c>
      <c r="V2187" t="s">
        <v>446</v>
      </c>
    </row>
    <row r="2188" spans="1:22" x14ac:dyDescent="0.25">
      <c r="A2188" t="s">
        <v>42</v>
      </c>
      <c r="B2188">
        <v>260</v>
      </c>
      <c r="C2188" t="s">
        <v>1005</v>
      </c>
      <c r="D2188" t="s">
        <v>5494</v>
      </c>
      <c r="E2188" t="s">
        <v>982</v>
      </c>
      <c r="F2188" t="s">
        <v>4188</v>
      </c>
      <c r="G2188" t="s">
        <v>24</v>
      </c>
      <c r="H2188" t="s">
        <v>26</v>
      </c>
      <c r="I2188" t="s">
        <v>3167</v>
      </c>
      <c r="J2188" t="s">
        <v>1003</v>
      </c>
      <c r="K2188" t="s">
        <v>3175</v>
      </c>
      <c r="L2188" t="s">
        <v>1003</v>
      </c>
      <c r="M2188" t="s">
        <v>1000</v>
      </c>
      <c r="N2188" t="s">
        <v>1001</v>
      </c>
      <c r="O2188" t="s">
        <v>1001</v>
      </c>
      <c r="P2188" t="s">
        <v>1110</v>
      </c>
      <c r="Q2188" t="s">
        <v>3169</v>
      </c>
      <c r="R2188" t="s">
        <v>446</v>
      </c>
      <c r="S2188" t="s">
        <v>446</v>
      </c>
      <c r="T2188" t="s">
        <v>1965</v>
      </c>
      <c r="U2188" t="b">
        <v>0</v>
      </c>
      <c r="V2188" t="s">
        <v>446</v>
      </c>
    </row>
    <row r="2189" spans="1:22" x14ac:dyDescent="0.25">
      <c r="A2189" t="s">
        <v>42</v>
      </c>
      <c r="B2189">
        <v>260</v>
      </c>
      <c r="C2189" t="s">
        <v>1007</v>
      </c>
      <c r="D2189" t="s">
        <v>5495</v>
      </c>
      <c r="E2189" t="s">
        <v>1006</v>
      </c>
      <c r="F2189" t="s">
        <v>5496</v>
      </c>
      <c r="G2189" t="s">
        <v>24</v>
      </c>
      <c r="H2189" t="s">
        <v>26</v>
      </c>
      <c r="I2189" t="s">
        <v>3167</v>
      </c>
      <c r="J2189" t="s">
        <v>1011</v>
      </c>
      <c r="K2189" t="s">
        <v>3179</v>
      </c>
      <c r="L2189" t="s">
        <v>1011</v>
      </c>
      <c r="M2189" t="s">
        <v>1008</v>
      </c>
      <c r="N2189" t="s">
        <v>1009</v>
      </c>
      <c r="O2189" t="s">
        <v>1009</v>
      </c>
      <c r="P2189" t="s">
        <v>1110</v>
      </c>
      <c r="Q2189" t="s">
        <v>3169</v>
      </c>
      <c r="R2189" t="s">
        <v>446</v>
      </c>
      <c r="S2189" t="s">
        <v>446</v>
      </c>
      <c r="T2189" t="s">
        <v>1965</v>
      </c>
      <c r="U2189" t="b">
        <v>0</v>
      </c>
      <c r="V2189" t="s">
        <v>446</v>
      </c>
    </row>
    <row r="2190" spans="1:22" x14ac:dyDescent="0.25">
      <c r="A2190" t="s">
        <v>42</v>
      </c>
      <c r="B2190">
        <v>260</v>
      </c>
      <c r="C2190" t="s">
        <v>1014</v>
      </c>
      <c r="D2190" t="s">
        <v>5497</v>
      </c>
      <c r="E2190" t="s">
        <v>1013</v>
      </c>
      <c r="F2190" t="s">
        <v>5498</v>
      </c>
      <c r="G2190" t="s">
        <v>24</v>
      </c>
      <c r="H2190" t="s">
        <v>26</v>
      </c>
      <c r="I2190" t="s">
        <v>3167</v>
      </c>
      <c r="J2190" t="s">
        <v>1016</v>
      </c>
      <c r="K2190" t="s">
        <v>3181</v>
      </c>
      <c r="L2190" t="s">
        <v>1016</v>
      </c>
      <c r="M2190" t="s">
        <v>980</v>
      </c>
      <c r="N2190" t="s">
        <v>1015</v>
      </c>
      <c r="O2190" t="s">
        <v>1015</v>
      </c>
      <c r="P2190" t="s">
        <v>1110</v>
      </c>
      <c r="Q2190" t="s">
        <v>3169</v>
      </c>
      <c r="R2190" t="s">
        <v>446</v>
      </c>
      <c r="S2190" t="s">
        <v>446</v>
      </c>
      <c r="T2190" t="s">
        <v>1965</v>
      </c>
      <c r="U2190" t="b">
        <v>0</v>
      </c>
      <c r="V2190" t="s">
        <v>446</v>
      </c>
    </row>
    <row r="2191" spans="1:22" x14ac:dyDescent="0.25">
      <c r="A2191" t="s">
        <v>42</v>
      </c>
      <c r="B2191">
        <v>260</v>
      </c>
      <c r="C2191" t="s">
        <v>1019</v>
      </c>
      <c r="D2191" t="s">
        <v>5499</v>
      </c>
      <c r="E2191" t="s">
        <v>1018</v>
      </c>
      <c r="F2191" t="s">
        <v>5500</v>
      </c>
      <c r="G2191" t="s">
        <v>24</v>
      </c>
      <c r="H2191" t="s">
        <v>26</v>
      </c>
      <c r="I2191" t="s">
        <v>3167</v>
      </c>
      <c r="J2191" t="s">
        <v>1021</v>
      </c>
      <c r="K2191" t="s">
        <v>3183</v>
      </c>
      <c r="L2191" t="s">
        <v>1021</v>
      </c>
      <c r="M2191" t="s">
        <v>980</v>
      </c>
      <c r="N2191" t="s">
        <v>1020</v>
      </c>
      <c r="O2191" t="s">
        <v>1020</v>
      </c>
      <c r="P2191" t="s">
        <v>1110</v>
      </c>
      <c r="Q2191" t="s">
        <v>3169</v>
      </c>
      <c r="R2191" t="s">
        <v>446</v>
      </c>
      <c r="S2191" t="s">
        <v>446</v>
      </c>
      <c r="T2191" t="s">
        <v>1965</v>
      </c>
      <c r="U2191" t="b">
        <v>0</v>
      </c>
      <c r="V2191" t="s">
        <v>446</v>
      </c>
    </row>
    <row r="2192" spans="1:22" x14ac:dyDescent="0.25">
      <c r="A2192" t="s">
        <v>42</v>
      </c>
      <c r="B2192">
        <v>260</v>
      </c>
      <c r="C2192" t="s">
        <v>1024</v>
      </c>
      <c r="D2192" t="s">
        <v>5501</v>
      </c>
      <c r="E2192" t="s">
        <v>1023</v>
      </c>
      <c r="F2192" t="s">
        <v>5502</v>
      </c>
      <c r="G2192" t="s">
        <v>24</v>
      </c>
      <c r="H2192" t="s">
        <v>26</v>
      </c>
      <c r="I2192" t="s">
        <v>3167</v>
      </c>
      <c r="J2192" t="s">
        <v>1026</v>
      </c>
      <c r="K2192" t="s">
        <v>3185</v>
      </c>
      <c r="L2192" t="s">
        <v>1026</v>
      </c>
      <c r="M2192" t="s">
        <v>1000</v>
      </c>
      <c r="N2192" t="s">
        <v>1025</v>
      </c>
      <c r="O2192" t="s">
        <v>1025</v>
      </c>
      <c r="P2192" t="s">
        <v>1110</v>
      </c>
      <c r="Q2192" t="s">
        <v>3169</v>
      </c>
      <c r="R2192" t="s">
        <v>446</v>
      </c>
      <c r="S2192" t="s">
        <v>446</v>
      </c>
      <c r="T2192" t="s">
        <v>1965</v>
      </c>
      <c r="U2192" t="b">
        <v>0</v>
      </c>
      <c r="V2192" t="s">
        <v>446</v>
      </c>
    </row>
    <row r="2193" spans="1:22" x14ac:dyDescent="0.25">
      <c r="A2193" t="s">
        <v>42</v>
      </c>
      <c r="B2193">
        <v>260</v>
      </c>
      <c r="C2193" t="s">
        <v>1028</v>
      </c>
      <c r="D2193" t="s">
        <v>5503</v>
      </c>
      <c r="E2193" t="s">
        <v>1010</v>
      </c>
      <c r="F2193" t="s">
        <v>5504</v>
      </c>
      <c r="G2193" t="s">
        <v>24</v>
      </c>
      <c r="H2193" t="s">
        <v>26</v>
      </c>
      <c r="I2193" t="s">
        <v>3167</v>
      </c>
      <c r="J2193" t="s">
        <v>1026</v>
      </c>
      <c r="K2193" t="s">
        <v>3185</v>
      </c>
      <c r="L2193" t="s">
        <v>1026</v>
      </c>
      <c r="M2193" t="s">
        <v>1000</v>
      </c>
      <c r="N2193" t="s">
        <v>1025</v>
      </c>
      <c r="O2193" t="s">
        <v>1025</v>
      </c>
      <c r="P2193" t="s">
        <v>1110</v>
      </c>
      <c r="Q2193" t="s">
        <v>3169</v>
      </c>
      <c r="R2193" t="s">
        <v>446</v>
      </c>
      <c r="S2193" t="s">
        <v>446</v>
      </c>
      <c r="T2193" t="s">
        <v>1965</v>
      </c>
      <c r="U2193" t="b">
        <v>0</v>
      </c>
      <c r="V2193" t="s">
        <v>446</v>
      </c>
    </row>
    <row r="2194" spans="1:22" x14ac:dyDescent="0.25">
      <c r="A2194" t="s">
        <v>42</v>
      </c>
      <c r="B2194">
        <v>260</v>
      </c>
      <c r="C2194" t="s">
        <v>1030</v>
      </c>
      <c r="D2194" t="s">
        <v>5505</v>
      </c>
      <c r="E2194" t="s">
        <v>1029</v>
      </c>
      <c r="F2194" t="s">
        <v>5506</v>
      </c>
      <c r="G2194" t="s">
        <v>24</v>
      </c>
      <c r="H2194" t="s">
        <v>26</v>
      </c>
      <c r="I2194" t="s">
        <v>3167</v>
      </c>
      <c r="J2194" t="s">
        <v>1033</v>
      </c>
      <c r="K2194" t="s">
        <v>3189</v>
      </c>
      <c r="L2194" t="s">
        <v>1033</v>
      </c>
      <c r="M2194" t="s">
        <v>980</v>
      </c>
      <c r="N2194" t="s">
        <v>1031</v>
      </c>
      <c r="O2194" t="s">
        <v>1031</v>
      </c>
      <c r="P2194" t="s">
        <v>1110</v>
      </c>
      <c r="Q2194" t="s">
        <v>3169</v>
      </c>
      <c r="R2194" t="s">
        <v>446</v>
      </c>
      <c r="S2194" t="s">
        <v>446</v>
      </c>
      <c r="T2194" t="s">
        <v>1965</v>
      </c>
      <c r="U2194" t="b">
        <v>0</v>
      </c>
      <c r="V2194" t="s">
        <v>446</v>
      </c>
    </row>
    <row r="2195" spans="1:22" x14ac:dyDescent="0.25">
      <c r="A2195" t="s">
        <v>42</v>
      </c>
      <c r="B2195">
        <v>260</v>
      </c>
      <c r="C2195" t="s">
        <v>1036</v>
      </c>
      <c r="D2195" t="s">
        <v>5507</v>
      </c>
      <c r="E2195" t="s">
        <v>1035</v>
      </c>
      <c r="F2195" t="s">
        <v>5508</v>
      </c>
      <c r="G2195" t="s">
        <v>24</v>
      </c>
      <c r="H2195" t="s">
        <v>26</v>
      </c>
      <c r="I2195" t="s">
        <v>3167</v>
      </c>
      <c r="J2195" t="s">
        <v>1038</v>
      </c>
      <c r="K2195" t="s">
        <v>3191</v>
      </c>
      <c r="L2195" t="s">
        <v>1038</v>
      </c>
      <c r="M2195" t="s">
        <v>980</v>
      </c>
      <c r="N2195" t="s">
        <v>1037</v>
      </c>
      <c r="O2195" t="s">
        <v>1037</v>
      </c>
      <c r="P2195" t="s">
        <v>1110</v>
      </c>
      <c r="Q2195" t="s">
        <v>3169</v>
      </c>
      <c r="R2195" t="s">
        <v>446</v>
      </c>
      <c r="S2195" t="s">
        <v>446</v>
      </c>
      <c r="T2195" t="s">
        <v>1965</v>
      </c>
      <c r="U2195" t="b">
        <v>0</v>
      </c>
      <c r="V2195" t="s">
        <v>446</v>
      </c>
    </row>
    <row r="2196" spans="1:22" x14ac:dyDescent="0.25">
      <c r="A2196" t="s">
        <v>42</v>
      </c>
      <c r="B2196">
        <v>260</v>
      </c>
      <c r="C2196" t="s">
        <v>1041</v>
      </c>
      <c r="D2196" t="s">
        <v>5509</v>
      </c>
      <c r="E2196" t="s">
        <v>1040</v>
      </c>
      <c r="F2196" t="s">
        <v>5510</v>
      </c>
      <c r="G2196" t="s">
        <v>24</v>
      </c>
      <c r="H2196" t="s">
        <v>26</v>
      </c>
      <c r="I2196" t="s">
        <v>3167</v>
      </c>
      <c r="J2196" t="s">
        <v>1043</v>
      </c>
      <c r="K2196" t="s">
        <v>3193</v>
      </c>
      <c r="L2196" t="s">
        <v>1043</v>
      </c>
      <c r="M2196" t="s">
        <v>980</v>
      </c>
      <c r="N2196" t="s">
        <v>1042</v>
      </c>
      <c r="O2196" t="s">
        <v>1042</v>
      </c>
      <c r="P2196" t="s">
        <v>1110</v>
      </c>
      <c r="Q2196" t="s">
        <v>3169</v>
      </c>
      <c r="R2196" t="s">
        <v>446</v>
      </c>
      <c r="S2196" t="s">
        <v>446</v>
      </c>
      <c r="T2196" t="s">
        <v>1965</v>
      </c>
      <c r="U2196" t="b">
        <v>0</v>
      </c>
      <c r="V2196" t="s">
        <v>446</v>
      </c>
    </row>
    <row r="2197" spans="1:22" x14ac:dyDescent="0.25">
      <c r="A2197" t="s">
        <v>42</v>
      </c>
      <c r="B2197">
        <v>260</v>
      </c>
      <c r="C2197" t="s">
        <v>1046</v>
      </c>
      <c r="D2197" t="s">
        <v>5511</v>
      </c>
      <c r="E2197" t="s">
        <v>1045</v>
      </c>
      <c r="F2197" t="s">
        <v>5512</v>
      </c>
      <c r="G2197" t="s">
        <v>24</v>
      </c>
      <c r="H2197" t="s">
        <v>26</v>
      </c>
      <c r="I2197" t="s">
        <v>3167</v>
      </c>
      <c r="J2197" t="s">
        <v>1048</v>
      </c>
      <c r="K2197" t="s">
        <v>3195</v>
      </c>
      <c r="L2197" t="s">
        <v>1048</v>
      </c>
      <c r="M2197" t="s">
        <v>1000</v>
      </c>
      <c r="N2197" t="s">
        <v>1047</v>
      </c>
      <c r="O2197" t="s">
        <v>1047</v>
      </c>
      <c r="P2197" t="s">
        <v>1110</v>
      </c>
      <c r="Q2197" t="s">
        <v>3169</v>
      </c>
      <c r="R2197" t="s">
        <v>446</v>
      </c>
      <c r="S2197" t="s">
        <v>446</v>
      </c>
      <c r="T2197" t="s">
        <v>1965</v>
      </c>
      <c r="U2197" t="b">
        <v>0</v>
      </c>
      <c r="V2197" t="s">
        <v>446</v>
      </c>
    </row>
    <row r="2198" spans="1:22" x14ac:dyDescent="0.25">
      <c r="A2198" t="s">
        <v>42</v>
      </c>
      <c r="B2198">
        <v>260</v>
      </c>
      <c r="C2198" t="s">
        <v>1050</v>
      </c>
      <c r="D2198" t="s">
        <v>5513</v>
      </c>
      <c r="E2198" t="s">
        <v>1032</v>
      </c>
      <c r="F2198" t="s">
        <v>5514</v>
      </c>
      <c r="G2198" t="s">
        <v>24</v>
      </c>
      <c r="H2198" t="s">
        <v>26</v>
      </c>
      <c r="I2198" t="s">
        <v>3167</v>
      </c>
      <c r="J2198" t="s">
        <v>1048</v>
      </c>
      <c r="K2198" t="s">
        <v>3195</v>
      </c>
      <c r="L2198" t="s">
        <v>1048</v>
      </c>
      <c r="M2198" t="s">
        <v>1000</v>
      </c>
      <c r="N2198" t="s">
        <v>1047</v>
      </c>
      <c r="O2198" t="s">
        <v>1047</v>
      </c>
      <c r="P2198" t="s">
        <v>1110</v>
      </c>
      <c r="Q2198" t="s">
        <v>3169</v>
      </c>
      <c r="R2198" t="s">
        <v>446</v>
      </c>
      <c r="S2198" t="s">
        <v>446</v>
      </c>
      <c r="T2198" t="s">
        <v>1965</v>
      </c>
      <c r="U2198" t="b">
        <v>0</v>
      </c>
      <c r="V2198" t="s">
        <v>446</v>
      </c>
    </row>
    <row r="2199" spans="1:22" x14ac:dyDescent="0.25">
      <c r="A2199" t="s">
        <v>42</v>
      </c>
      <c r="B2199">
        <v>260</v>
      </c>
      <c r="C2199" t="s">
        <v>1052</v>
      </c>
      <c r="D2199" t="s">
        <v>5515</v>
      </c>
      <c r="E2199" t="s">
        <v>1051</v>
      </c>
      <c r="F2199" t="s">
        <v>5516</v>
      </c>
      <c r="G2199" t="s">
        <v>24</v>
      </c>
      <c r="H2199" t="s">
        <v>26</v>
      </c>
      <c r="I2199" t="s">
        <v>3167</v>
      </c>
      <c r="J2199" t="s">
        <v>1055</v>
      </c>
      <c r="K2199" t="s">
        <v>3199</v>
      </c>
      <c r="L2199" t="s">
        <v>1055</v>
      </c>
      <c r="M2199" t="s">
        <v>980</v>
      </c>
      <c r="N2199" t="s">
        <v>1053</v>
      </c>
      <c r="O2199" t="s">
        <v>1053</v>
      </c>
      <c r="P2199" t="s">
        <v>1110</v>
      </c>
      <c r="Q2199" t="s">
        <v>3169</v>
      </c>
      <c r="R2199" t="s">
        <v>446</v>
      </c>
      <c r="S2199" t="s">
        <v>446</v>
      </c>
      <c r="T2199" t="s">
        <v>1965</v>
      </c>
      <c r="U2199" t="b">
        <v>0</v>
      </c>
      <c r="V2199" t="s">
        <v>446</v>
      </c>
    </row>
    <row r="2200" spans="1:22" x14ac:dyDescent="0.25">
      <c r="A2200" t="s">
        <v>42</v>
      </c>
      <c r="B2200">
        <v>261</v>
      </c>
      <c r="C2200" t="s">
        <v>979</v>
      </c>
      <c r="D2200" t="s">
        <v>5517</v>
      </c>
      <c r="E2200" t="s">
        <v>978</v>
      </c>
      <c r="F2200" t="s">
        <v>5475</v>
      </c>
      <c r="G2200" t="s">
        <v>24</v>
      </c>
      <c r="H2200" t="s">
        <v>26</v>
      </c>
      <c r="I2200" t="s">
        <v>3167</v>
      </c>
      <c r="J2200" t="s">
        <v>984</v>
      </c>
      <c r="K2200" t="s">
        <v>3168</v>
      </c>
      <c r="L2200" t="s">
        <v>984</v>
      </c>
      <c r="M2200" t="s">
        <v>980</v>
      </c>
      <c r="N2200" t="s">
        <v>981</v>
      </c>
      <c r="O2200" t="s">
        <v>981</v>
      </c>
      <c r="P2200" t="s">
        <v>1110</v>
      </c>
      <c r="Q2200" t="s">
        <v>3169</v>
      </c>
      <c r="R2200" t="s">
        <v>446</v>
      </c>
      <c r="S2200" t="s">
        <v>446</v>
      </c>
      <c r="T2200" t="s">
        <v>1965</v>
      </c>
      <c r="U2200" t="b">
        <v>0</v>
      </c>
      <c r="V2200" t="s">
        <v>446</v>
      </c>
    </row>
    <row r="2201" spans="1:22" x14ac:dyDescent="0.25">
      <c r="A2201" t="s">
        <v>42</v>
      </c>
      <c r="B2201">
        <v>261</v>
      </c>
      <c r="C2201" t="s">
        <v>987</v>
      </c>
      <c r="D2201" t="s">
        <v>5518</v>
      </c>
      <c r="E2201" t="s">
        <v>986</v>
      </c>
      <c r="F2201" t="s">
        <v>5476</v>
      </c>
      <c r="G2201" t="s">
        <v>24</v>
      </c>
      <c r="H2201" t="s">
        <v>26</v>
      </c>
      <c r="I2201" t="s">
        <v>3167</v>
      </c>
      <c r="J2201" t="s">
        <v>990</v>
      </c>
      <c r="K2201" t="s">
        <v>3171</v>
      </c>
      <c r="L2201" t="s">
        <v>990</v>
      </c>
      <c r="M2201" t="s">
        <v>980</v>
      </c>
      <c r="N2201" t="s">
        <v>988</v>
      </c>
      <c r="O2201" t="s">
        <v>988</v>
      </c>
      <c r="P2201" t="s">
        <v>1110</v>
      </c>
      <c r="Q2201" t="s">
        <v>3169</v>
      </c>
      <c r="R2201" t="s">
        <v>446</v>
      </c>
      <c r="S2201" t="s">
        <v>446</v>
      </c>
      <c r="T2201" t="s">
        <v>1965</v>
      </c>
      <c r="U2201" t="b">
        <v>0</v>
      </c>
      <c r="V2201" t="s">
        <v>446</v>
      </c>
    </row>
    <row r="2202" spans="1:22" x14ac:dyDescent="0.25">
      <c r="A2202" t="s">
        <v>42</v>
      </c>
      <c r="B2202">
        <v>261</v>
      </c>
      <c r="C2202" t="s">
        <v>993</v>
      </c>
      <c r="D2202" t="s">
        <v>5519</v>
      </c>
      <c r="E2202" t="s">
        <v>992</v>
      </c>
      <c r="F2202" t="s">
        <v>5477</v>
      </c>
      <c r="G2202" t="s">
        <v>24</v>
      </c>
      <c r="H2202" t="s">
        <v>26</v>
      </c>
      <c r="I2202" t="s">
        <v>3167</v>
      </c>
      <c r="J2202" t="s">
        <v>996</v>
      </c>
      <c r="K2202" t="s">
        <v>3173</v>
      </c>
      <c r="L2202" t="s">
        <v>996</v>
      </c>
      <c r="M2202" t="s">
        <v>980</v>
      </c>
      <c r="N2202" t="s">
        <v>994</v>
      </c>
      <c r="O2202" t="s">
        <v>994</v>
      </c>
      <c r="P2202" t="s">
        <v>1110</v>
      </c>
      <c r="Q2202" t="s">
        <v>3169</v>
      </c>
      <c r="R2202" t="s">
        <v>446</v>
      </c>
      <c r="S2202" t="s">
        <v>446</v>
      </c>
      <c r="T2202" t="s">
        <v>1965</v>
      </c>
      <c r="U2202" t="b">
        <v>0</v>
      </c>
      <c r="V2202" t="s">
        <v>446</v>
      </c>
    </row>
    <row r="2203" spans="1:22" x14ac:dyDescent="0.25">
      <c r="A2203" t="s">
        <v>42</v>
      </c>
      <c r="B2203">
        <v>261</v>
      </c>
      <c r="C2203" t="s">
        <v>999</v>
      </c>
      <c r="D2203" t="s">
        <v>5520</v>
      </c>
      <c r="E2203" t="s">
        <v>998</v>
      </c>
      <c r="F2203" t="s">
        <v>4188</v>
      </c>
      <c r="G2203" t="s">
        <v>24</v>
      </c>
      <c r="H2203" t="s">
        <v>26</v>
      </c>
      <c r="I2203" t="s">
        <v>3167</v>
      </c>
      <c r="J2203" t="s">
        <v>1003</v>
      </c>
      <c r="K2203" t="s">
        <v>3175</v>
      </c>
      <c r="L2203" t="s">
        <v>1003</v>
      </c>
      <c r="M2203" t="s">
        <v>1000</v>
      </c>
      <c r="N2203" t="s">
        <v>1001</v>
      </c>
      <c r="O2203" t="s">
        <v>1001</v>
      </c>
      <c r="P2203" t="s">
        <v>1110</v>
      </c>
      <c r="Q2203" t="s">
        <v>3169</v>
      </c>
      <c r="R2203" t="s">
        <v>446</v>
      </c>
      <c r="S2203" t="s">
        <v>446</v>
      </c>
      <c r="T2203" t="s">
        <v>1965</v>
      </c>
      <c r="U2203" t="b">
        <v>0</v>
      </c>
      <c r="V2203" t="s">
        <v>446</v>
      </c>
    </row>
    <row r="2204" spans="1:22" x14ac:dyDescent="0.25">
      <c r="A2204" t="s">
        <v>42</v>
      </c>
      <c r="B2204">
        <v>261</v>
      </c>
      <c r="C2204" t="s">
        <v>1005</v>
      </c>
      <c r="D2204" t="s">
        <v>5521</v>
      </c>
      <c r="E2204" t="s">
        <v>982</v>
      </c>
      <c r="F2204" t="s">
        <v>4188</v>
      </c>
      <c r="G2204" t="s">
        <v>24</v>
      </c>
      <c r="H2204" t="s">
        <v>26</v>
      </c>
      <c r="I2204" t="s">
        <v>3167</v>
      </c>
      <c r="J2204" t="s">
        <v>1003</v>
      </c>
      <c r="K2204" t="s">
        <v>3175</v>
      </c>
      <c r="L2204" t="s">
        <v>1003</v>
      </c>
      <c r="M2204" t="s">
        <v>1000</v>
      </c>
      <c r="N2204" t="s">
        <v>1001</v>
      </c>
      <c r="O2204" t="s">
        <v>1001</v>
      </c>
      <c r="P2204" t="s">
        <v>1110</v>
      </c>
      <c r="Q2204" t="s">
        <v>3169</v>
      </c>
      <c r="R2204" t="s">
        <v>446</v>
      </c>
      <c r="S2204" t="s">
        <v>446</v>
      </c>
      <c r="T2204" t="s">
        <v>1965</v>
      </c>
      <c r="U2204" t="b">
        <v>0</v>
      </c>
      <c r="V2204" t="s">
        <v>446</v>
      </c>
    </row>
    <row r="2205" spans="1:22" x14ac:dyDescent="0.25">
      <c r="A2205" t="s">
        <v>42</v>
      </c>
      <c r="B2205">
        <v>261</v>
      </c>
      <c r="C2205" t="s">
        <v>1007</v>
      </c>
      <c r="D2205" t="s">
        <v>5522</v>
      </c>
      <c r="E2205" t="s">
        <v>1006</v>
      </c>
      <c r="F2205" t="s">
        <v>5479</v>
      </c>
      <c r="G2205" t="s">
        <v>24</v>
      </c>
      <c r="H2205" t="s">
        <v>26</v>
      </c>
      <c r="I2205" t="s">
        <v>3167</v>
      </c>
      <c r="J2205" t="s">
        <v>1011</v>
      </c>
      <c r="K2205" t="s">
        <v>3179</v>
      </c>
      <c r="L2205" t="s">
        <v>1011</v>
      </c>
      <c r="M2205" t="s">
        <v>1008</v>
      </c>
      <c r="N2205" t="s">
        <v>1009</v>
      </c>
      <c r="O2205" t="s">
        <v>1009</v>
      </c>
      <c r="P2205" t="s">
        <v>1110</v>
      </c>
      <c r="Q2205" t="s">
        <v>3169</v>
      </c>
      <c r="R2205" t="s">
        <v>446</v>
      </c>
      <c r="S2205" t="s">
        <v>446</v>
      </c>
      <c r="T2205" t="s">
        <v>1965</v>
      </c>
      <c r="U2205" t="b">
        <v>0</v>
      </c>
      <c r="V2205" t="s">
        <v>446</v>
      </c>
    </row>
    <row r="2206" spans="1:22" x14ac:dyDescent="0.25">
      <c r="A2206" t="s">
        <v>42</v>
      </c>
      <c r="B2206">
        <v>261</v>
      </c>
      <c r="C2206" t="s">
        <v>1014</v>
      </c>
      <c r="D2206" t="s">
        <v>5523</v>
      </c>
      <c r="E2206" t="s">
        <v>1013</v>
      </c>
      <c r="F2206" t="s">
        <v>5480</v>
      </c>
      <c r="G2206" t="s">
        <v>24</v>
      </c>
      <c r="H2206" t="s">
        <v>26</v>
      </c>
      <c r="I2206" t="s">
        <v>3167</v>
      </c>
      <c r="J2206" t="s">
        <v>1016</v>
      </c>
      <c r="K2206" t="s">
        <v>3181</v>
      </c>
      <c r="L2206" t="s">
        <v>1016</v>
      </c>
      <c r="M2206" t="s">
        <v>980</v>
      </c>
      <c r="N2206" t="s">
        <v>1015</v>
      </c>
      <c r="O2206" t="s">
        <v>1015</v>
      </c>
      <c r="P2206" t="s">
        <v>1110</v>
      </c>
      <c r="Q2206" t="s">
        <v>3169</v>
      </c>
      <c r="R2206" t="s">
        <v>446</v>
      </c>
      <c r="S2206" t="s">
        <v>446</v>
      </c>
      <c r="T2206" t="s">
        <v>1965</v>
      </c>
      <c r="U2206" t="b">
        <v>0</v>
      </c>
      <c r="V2206" t="s">
        <v>446</v>
      </c>
    </row>
    <row r="2207" spans="1:22" x14ac:dyDescent="0.25">
      <c r="A2207" t="s">
        <v>42</v>
      </c>
      <c r="B2207">
        <v>261</v>
      </c>
      <c r="C2207" t="s">
        <v>1019</v>
      </c>
      <c r="D2207" t="s">
        <v>5524</v>
      </c>
      <c r="E2207" t="s">
        <v>1018</v>
      </c>
      <c r="F2207" t="s">
        <v>5481</v>
      </c>
      <c r="G2207" t="s">
        <v>24</v>
      </c>
      <c r="H2207" t="s">
        <v>26</v>
      </c>
      <c r="I2207" t="s">
        <v>3167</v>
      </c>
      <c r="J2207" t="s">
        <v>1021</v>
      </c>
      <c r="K2207" t="s">
        <v>3183</v>
      </c>
      <c r="L2207" t="s">
        <v>1021</v>
      </c>
      <c r="M2207" t="s">
        <v>980</v>
      </c>
      <c r="N2207" t="s">
        <v>1020</v>
      </c>
      <c r="O2207" t="s">
        <v>1020</v>
      </c>
      <c r="P2207" t="s">
        <v>1110</v>
      </c>
      <c r="Q2207" t="s">
        <v>3169</v>
      </c>
      <c r="R2207" t="s">
        <v>446</v>
      </c>
      <c r="S2207" t="s">
        <v>446</v>
      </c>
      <c r="T2207" t="s">
        <v>1965</v>
      </c>
      <c r="U2207" t="b">
        <v>0</v>
      </c>
      <c r="V2207" t="s">
        <v>446</v>
      </c>
    </row>
    <row r="2208" spans="1:22" x14ac:dyDescent="0.25">
      <c r="A2208" t="s">
        <v>42</v>
      </c>
      <c r="B2208">
        <v>261</v>
      </c>
      <c r="C2208" t="s">
        <v>1024</v>
      </c>
      <c r="D2208" t="s">
        <v>5525</v>
      </c>
      <c r="E2208" t="s">
        <v>1023</v>
      </c>
      <c r="F2208" t="s">
        <v>4189</v>
      </c>
      <c r="G2208" t="s">
        <v>24</v>
      </c>
      <c r="H2208" t="s">
        <v>26</v>
      </c>
      <c r="I2208" t="s">
        <v>3167</v>
      </c>
      <c r="J2208" t="s">
        <v>1026</v>
      </c>
      <c r="K2208" t="s">
        <v>3185</v>
      </c>
      <c r="L2208" t="s">
        <v>1026</v>
      </c>
      <c r="M2208" t="s">
        <v>1000</v>
      </c>
      <c r="N2208" t="s">
        <v>1025</v>
      </c>
      <c r="O2208" t="s">
        <v>1025</v>
      </c>
      <c r="P2208" t="s">
        <v>1110</v>
      </c>
      <c r="Q2208" t="s">
        <v>3169</v>
      </c>
      <c r="R2208" t="s">
        <v>446</v>
      </c>
      <c r="S2208" t="s">
        <v>446</v>
      </c>
      <c r="T2208" t="s">
        <v>1965</v>
      </c>
      <c r="U2208" t="b">
        <v>0</v>
      </c>
      <c r="V2208" t="s">
        <v>446</v>
      </c>
    </row>
    <row r="2209" spans="1:22" x14ac:dyDescent="0.25">
      <c r="A2209" t="s">
        <v>42</v>
      </c>
      <c r="B2209">
        <v>261</v>
      </c>
      <c r="C2209" t="s">
        <v>1028</v>
      </c>
      <c r="D2209" t="s">
        <v>5526</v>
      </c>
      <c r="E2209" t="s">
        <v>1010</v>
      </c>
      <c r="F2209" t="s">
        <v>4189</v>
      </c>
      <c r="G2209" t="s">
        <v>24</v>
      </c>
      <c r="H2209" t="s">
        <v>26</v>
      </c>
      <c r="I2209" t="s">
        <v>3167</v>
      </c>
      <c r="J2209" t="s">
        <v>1026</v>
      </c>
      <c r="K2209" t="s">
        <v>3185</v>
      </c>
      <c r="L2209" t="s">
        <v>1026</v>
      </c>
      <c r="M2209" t="s">
        <v>1000</v>
      </c>
      <c r="N2209" t="s">
        <v>1025</v>
      </c>
      <c r="O2209" t="s">
        <v>1025</v>
      </c>
      <c r="P2209" t="s">
        <v>1110</v>
      </c>
      <c r="Q2209" t="s">
        <v>3169</v>
      </c>
      <c r="R2209" t="s">
        <v>446</v>
      </c>
      <c r="S2209" t="s">
        <v>446</v>
      </c>
      <c r="T2209" t="s">
        <v>1965</v>
      </c>
      <c r="U2209" t="b">
        <v>0</v>
      </c>
      <c r="V2209" t="s">
        <v>446</v>
      </c>
    </row>
    <row r="2210" spans="1:22" x14ac:dyDescent="0.25">
      <c r="A2210" t="s">
        <v>42</v>
      </c>
      <c r="B2210">
        <v>261</v>
      </c>
      <c r="C2210" t="s">
        <v>1030</v>
      </c>
      <c r="D2210" t="s">
        <v>5527</v>
      </c>
      <c r="E2210" t="s">
        <v>1029</v>
      </c>
      <c r="F2210" t="s">
        <v>5483</v>
      </c>
      <c r="G2210" t="s">
        <v>24</v>
      </c>
      <c r="H2210" t="s">
        <v>26</v>
      </c>
      <c r="I2210" t="s">
        <v>3167</v>
      </c>
      <c r="J2210" t="s">
        <v>1033</v>
      </c>
      <c r="K2210" t="s">
        <v>3189</v>
      </c>
      <c r="L2210" t="s">
        <v>1033</v>
      </c>
      <c r="M2210" t="s">
        <v>980</v>
      </c>
      <c r="N2210" t="s">
        <v>1031</v>
      </c>
      <c r="O2210" t="s">
        <v>1031</v>
      </c>
      <c r="P2210" t="s">
        <v>1110</v>
      </c>
      <c r="Q2210" t="s">
        <v>3169</v>
      </c>
      <c r="R2210" t="s">
        <v>446</v>
      </c>
      <c r="S2210" t="s">
        <v>446</v>
      </c>
      <c r="T2210" t="s">
        <v>1965</v>
      </c>
      <c r="U2210" t="b">
        <v>0</v>
      </c>
      <c r="V2210" t="s">
        <v>446</v>
      </c>
    </row>
    <row r="2211" spans="1:22" x14ac:dyDescent="0.25">
      <c r="A2211" t="s">
        <v>42</v>
      </c>
      <c r="B2211">
        <v>261</v>
      </c>
      <c r="C2211" t="s">
        <v>1036</v>
      </c>
      <c r="D2211" t="s">
        <v>5528</v>
      </c>
      <c r="E2211" t="s">
        <v>1035</v>
      </c>
      <c r="F2211" t="s">
        <v>5484</v>
      </c>
      <c r="G2211" t="s">
        <v>24</v>
      </c>
      <c r="H2211" t="s">
        <v>26</v>
      </c>
      <c r="I2211" t="s">
        <v>3167</v>
      </c>
      <c r="J2211" t="s">
        <v>1038</v>
      </c>
      <c r="K2211" t="s">
        <v>3191</v>
      </c>
      <c r="L2211" t="s">
        <v>1038</v>
      </c>
      <c r="M2211" t="s">
        <v>980</v>
      </c>
      <c r="N2211" t="s">
        <v>1037</v>
      </c>
      <c r="O2211" t="s">
        <v>1037</v>
      </c>
      <c r="P2211" t="s">
        <v>1110</v>
      </c>
      <c r="Q2211" t="s">
        <v>3169</v>
      </c>
      <c r="R2211" t="s">
        <v>446</v>
      </c>
      <c r="S2211" t="s">
        <v>446</v>
      </c>
      <c r="T2211" t="s">
        <v>1965</v>
      </c>
      <c r="U2211" t="b">
        <v>0</v>
      </c>
      <c r="V2211" t="s">
        <v>446</v>
      </c>
    </row>
    <row r="2212" spans="1:22" x14ac:dyDescent="0.25">
      <c r="A2212" t="s">
        <v>42</v>
      </c>
      <c r="B2212">
        <v>261</v>
      </c>
      <c r="C2212" t="s">
        <v>1041</v>
      </c>
      <c r="D2212" t="s">
        <v>5529</v>
      </c>
      <c r="E2212" t="s">
        <v>1040</v>
      </c>
      <c r="F2212" t="s">
        <v>5485</v>
      </c>
      <c r="G2212" t="s">
        <v>24</v>
      </c>
      <c r="H2212" t="s">
        <v>26</v>
      </c>
      <c r="I2212" t="s">
        <v>3167</v>
      </c>
      <c r="J2212" t="s">
        <v>1043</v>
      </c>
      <c r="K2212" t="s">
        <v>3193</v>
      </c>
      <c r="L2212" t="s">
        <v>1043</v>
      </c>
      <c r="M2212" t="s">
        <v>980</v>
      </c>
      <c r="N2212" t="s">
        <v>1042</v>
      </c>
      <c r="O2212" t="s">
        <v>1042</v>
      </c>
      <c r="P2212" t="s">
        <v>1110</v>
      </c>
      <c r="Q2212" t="s">
        <v>3169</v>
      </c>
      <c r="R2212" t="s">
        <v>446</v>
      </c>
      <c r="S2212" t="s">
        <v>446</v>
      </c>
      <c r="T2212" t="s">
        <v>1965</v>
      </c>
      <c r="U2212" t="b">
        <v>0</v>
      </c>
      <c r="V2212" t="s">
        <v>446</v>
      </c>
    </row>
    <row r="2213" spans="1:22" x14ac:dyDescent="0.25">
      <c r="A2213" t="s">
        <v>42</v>
      </c>
      <c r="B2213">
        <v>261</v>
      </c>
      <c r="C2213" t="s">
        <v>1046</v>
      </c>
      <c r="D2213" t="s">
        <v>5530</v>
      </c>
      <c r="E2213" t="s">
        <v>1045</v>
      </c>
      <c r="F2213" t="s">
        <v>4190</v>
      </c>
      <c r="G2213" t="s">
        <v>24</v>
      </c>
      <c r="H2213" t="s">
        <v>26</v>
      </c>
      <c r="I2213" t="s">
        <v>3167</v>
      </c>
      <c r="J2213" t="s">
        <v>1048</v>
      </c>
      <c r="K2213" t="s">
        <v>3195</v>
      </c>
      <c r="L2213" t="s">
        <v>1048</v>
      </c>
      <c r="M2213" t="s">
        <v>1000</v>
      </c>
      <c r="N2213" t="s">
        <v>1047</v>
      </c>
      <c r="O2213" t="s">
        <v>1047</v>
      </c>
      <c r="P2213" t="s">
        <v>1110</v>
      </c>
      <c r="Q2213" t="s">
        <v>3169</v>
      </c>
      <c r="R2213" t="s">
        <v>446</v>
      </c>
      <c r="S2213" t="s">
        <v>446</v>
      </c>
      <c r="T2213" t="s">
        <v>1965</v>
      </c>
      <c r="U2213" t="b">
        <v>0</v>
      </c>
      <c r="V2213" t="s">
        <v>446</v>
      </c>
    </row>
    <row r="2214" spans="1:22" x14ac:dyDescent="0.25">
      <c r="A2214" t="s">
        <v>42</v>
      </c>
      <c r="B2214">
        <v>261</v>
      </c>
      <c r="C2214" t="s">
        <v>1050</v>
      </c>
      <c r="D2214" t="s">
        <v>5531</v>
      </c>
      <c r="E2214" t="s">
        <v>1032</v>
      </c>
      <c r="F2214" t="s">
        <v>4190</v>
      </c>
      <c r="G2214" t="s">
        <v>24</v>
      </c>
      <c r="H2214" t="s">
        <v>26</v>
      </c>
      <c r="I2214" t="s">
        <v>3167</v>
      </c>
      <c r="J2214" t="s">
        <v>1048</v>
      </c>
      <c r="K2214" t="s">
        <v>3195</v>
      </c>
      <c r="L2214" t="s">
        <v>1048</v>
      </c>
      <c r="M2214" t="s">
        <v>1000</v>
      </c>
      <c r="N2214" t="s">
        <v>1047</v>
      </c>
      <c r="O2214" t="s">
        <v>1047</v>
      </c>
      <c r="P2214" t="s">
        <v>1110</v>
      </c>
      <c r="Q2214" t="s">
        <v>3169</v>
      </c>
      <c r="R2214" t="s">
        <v>446</v>
      </c>
      <c r="S2214" t="s">
        <v>446</v>
      </c>
      <c r="T2214" t="s">
        <v>1965</v>
      </c>
      <c r="U2214" t="b">
        <v>0</v>
      </c>
      <c r="V2214" t="s">
        <v>446</v>
      </c>
    </row>
    <row r="2215" spans="1:22" x14ac:dyDescent="0.25">
      <c r="A2215" t="s">
        <v>42</v>
      </c>
      <c r="B2215">
        <v>261</v>
      </c>
      <c r="C2215" t="s">
        <v>1052</v>
      </c>
      <c r="D2215" t="s">
        <v>5532</v>
      </c>
      <c r="E2215" t="s">
        <v>1051</v>
      </c>
      <c r="F2215" t="s">
        <v>5533</v>
      </c>
      <c r="G2215" t="s">
        <v>24</v>
      </c>
      <c r="H2215" t="s">
        <v>26</v>
      </c>
      <c r="I2215" t="s">
        <v>3167</v>
      </c>
      <c r="J2215" t="s">
        <v>1055</v>
      </c>
      <c r="K2215" t="s">
        <v>3199</v>
      </c>
      <c r="L2215" t="s">
        <v>1055</v>
      </c>
      <c r="M2215" t="s">
        <v>980</v>
      </c>
      <c r="N2215" t="s">
        <v>1053</v>
      </c>
      <c r="O2215" t="s">
        <v>1053</v>
      </c>
      <c r="P2215" t="s">
        <v>1110</v>
      </c>
      <c r="Q2215" t="s">
        <v>3169</v>
      </c>
      <c r="R2215" t="s">
        <v>446</v>
      </c>
      <c r="S2215" t="s">
        <v>446</v>
      </c>
      <c r="T2215" t="s">
        <v>1965</v>
      </c>
      <c r="U2215" t="b">
        <v>0</v>
      </c>
      <c r="V2215" t="s">
        <v>446</v>
      </c>
    </row>
    <row r="2216" spans="1:22" x14ac:dyDescent="0.25">
      <c r="A2216" t="s">
        <v>42</v>
      </c>
      <c r="B2216">
        <v>264</v>
      </c>
      <c r="C2216" t="s">
        <v>979</v>
      </c>
      <c r="D2216" t="s">
        <v>5534</v>
      </c>
      <c r="E2216" t="s">
        <v>978</v>
      </c>
      <c r="F2216" t="s">
        <v>5535</v>
      </c>
      <c r="G2216" t="s">
        <v>24</v>
      </c>
      <c r="H2216" t="s">
        <v>26</v>
      </c>
      <c r="I2216" t="s">
        <v>3167</v>
      </c>
      <c r="J2216" t="s">
        <v>984</v>
      </c>
      <c r="K2216" t="s">
        <v>3168</v>
      </c>
      <c r="L2216" t="s">
        <v>984</v>
      </c>
      <c r="M2216" t="s">
        <v>980</v>
      </c>
      <c r="N2216" t="s">
        <v>981</v>
      </c>
      <c r="O2216" t="s">
        <v>981</v>
      </c>
      <c r="P2216" t="s">
        <v>1746</v>
      </c>
      <c r="Q2216" t="s">
        <v>3771</v>
      </c>
      <c r="R2216" t="s">
        <v>446</v>
      </c>
      <c r="S2216" t="s">
        <v>446</v>
      </c>
      <c r="T2216" t="s">
        <v>1965</v>
      </c>
      <c r="U2216" t="b">
        <v>0</v>
      </c>
      <c r="V2216" t="s">
        <v>446</v>
      </c>
    </row>
    <row r="2217" spans="1:22" x14ac:dyDescent="0.25">
      <c r="A2217" t="s">
        <v>42</v>
      </c>
      <c r="B2217">
        <v>264</v>
      </c>
      <c r="C2217" t="s">
        <v>987</v>
      </c>
      <c r="D2217" t="s">
        <v>5536</v>
      </c>
      <c r="E2217" t="s">
        <v>986</v>
      </c>
      <c r="F2217" t="s">
        <v>5537</v>
      </c>
      <c r="G2217" t="s">
        <v>24</v>
      </c>
      <c r="H2217" t="s">
        <v>26</v>
      </c>
      <c r="I2217" t="s">
        <v>3167</v>
      </c>
      <c r="J2217" t="s">
        <v>990</v>
      </c>
      <c r="K2217" t="s">
        <v>3171</v>
      </c>
      <c r="L2217" t="s">
        <v>990</v>
      </c>
      <c r="M2217" t="s">
        <v>980</v>
      </c>
      <c r="N2217" t="s">
        <v>988</v>
      </c>
      <c r="O2217" t="s">
        <v>988</v>
      </c>
      <c r="P2217" t="s">
        <v>1746</v>
      </c>
      <c r="Q2217" t="s">
        <v>3771</v>
      </c>
      <c r="R2217" t="s">
        <v>446</v>
      </c>
      <c r="S2217" t="s">
        <v>446</v>
      </c>
      <c r="T2217" t="s">
        <v>1965</v>
      </c>
      <c r="U2217" t="b">
        <v>0</v>
      </c>
      <c r="V2217" t="s">
        <v>446</v>
      </c>
    </row>
    <row r="2218" spans="1:22" x14ac:dyDescent="0.25">
      <c r="A2218" t="s">
        <v>42</v>
      </c>
      <c r="B2218">
        <v>264</v>
      </c>
      <c r="C2218" t="s">
        <v>993</v>
      </c>
      <c r="D2218" t="s">
        <v>5538</v>
      </c>
      <c r="E2218" t="s">
        <v>992</v>
      </c>
      <c r="F2218" t="s">
        <v>5539</v>
      </c>
      <c r="G2218" t="s">
        <v>24</v>
      </c>
      <c r="H2218" t="s">
        <v>26</v>
      </c>
      <c r="I2218" t="s">
        <v>3167</v>
      </c>
      <c r="J2218" t="s">
        <v>996</v>
      </c>
      <c r="K2218" t="s">
        <v>3173</v>
      </c>
      <c r="L2218" t="s">
        <v>996</v>
      </c>
      <c r="M2218" t="s">
        <v>980</v>
      </c>
      <c r="N2218" t="s">
        <v>994</v>
      </c>
      <c r="O2218" t="s">
        <v>994</v>
      </c>
      <c r="P2218" t="s">
        <v>1746</v>
      </c>
      <c r="Q2218" t="s">
        <v>3771</v>
      </c>
      <c r="R2218" t="s">
        <v>446</v>
      </c>
      <c r="S2218" t="s">
        <v>446</v>
      </c>
      <c r="T2218" t="s">
        <v>1965</v>
      </c>
      <c r="U2218" t="b">
        <v>0</v>
      </c>
      <c r="V2218" t="s">
        <v>446</v>
      </c>
    </row>
    <row r="2219" spans="1:22" x14ac:dyDescent="0.25">
      <c r="A2219" t="s">
        <v>42</v>
      </c>
      <c r="B2219">
        <v>264</v>
      </c>
      <c r="C2219" t="s">
        <v>999</v>
      </c>
      <c r="D2219" t="s">
        <v>5540</v>
      </c>
      <c r="E2219" t="s">
        <v>998</v>
      </c>
      <c r="F2219" t="s">
        <v>3935</v>
      </c>
      <c r="G2219" t="s">
        <v>24</v>
      </c>
      <c r="H2219" t="s">
        <v>26</v>
      </c>
      <c r="I2219" t="s">
        <v>3167</v>
      </c>
      <c r="J2219" t="s">
        <v>1003</v>
      </c>
      <c r="K2219" t="s">
        <v>3175</v>
      </c>
      <c r="L2219" t="s">
        <v>1003</v>
      </c>
      <c r="M2219" t="s">
        <v>1000</v>
      </c>
      <c r="N2219" t="s">
        <v>1001</v>
      </c>
      <c r="O2219" t="s">
        <v>1001</v>
      </c>
      <c r="P2219" t="s">
        <v>1746</v>
      </c>
      <c r="Q2219" t="s">
        <v>3771</v>
      </c>
      <c r="R2219" t="s">
        <v>446</v>
      </c>
      <c r="S2219" t="s">
        <v>446</v>
      </c>
      <c r="T2219" t="s">
        <v>1965</v>
      </c>
      <c r="U2219" t="b">
        <v>0</v>
      </c>
      <c r="V2219" t="s">
        <v>446</v>
      </c>
    </row>
    <row r="2220" spans="1:22" x14ac:dyDescent="0.25">
      <c r="A2220" t="s">
        <v>42</v>
      </c>
      <c r="B2220">
        <v>264</v>
      </c>
      <c r="C2220" t="s">
        <v>1005</v>
      </c>
      <c r="D2220" t="s">
        <v>5541</v>
      </c>
      <c r="E2220" t="s">
        <v>982</v>
      </c>
      <c r="F2220" t="s">
        <v>5542</v>
      </c>
      <c r="G2220" t="s">
        <v>24</v>
      </c>
      <c r="H2220" t="s">
        <v>26</v>
      </c>
      <c r="I2220" t="s">
        <v>3167</v>
      </c>
      <c r="J2220" t="s">
        <v>1003</v>
      </c>
      <c r="K2220" t="s">
        <v>3175</v>
      </c>
      <c r="L2220" t="s">
        <v>1003</v>
      </c>
      <c r="M2220" t="s">
        <v>1000</v>
      </c>
      <c r="N2220" t="s">
        <v>1001</v>
      </c>
      <c r="O2220" t="s">
        <v>1001</v>
      </c>
      <c r="P2220" t="s">
        <v>1746</v>
      </c>
      <c r="Q2220" t="s">
        <v>3771</v>
      </c>
      <c r="R2220" t="s">
        <v>446</v>
      </c>
      <c r="S2220" t="s">
        <v>446</v>
      </c>
      <c r="T2220" t="s">
        <v>1965</v>
      </c>
      <c r="U2220" t="b">
        <v>0</v>
      </c>
      <c r="V2220" t="s">
        <v>446</v>
      </c>
    </row>
    <row r="2221" spans="1:22" x14ac:dyDescent="0.25">
      <c r="A2221" t="s">
        <v>42</v>
      </c>
      <c r="B2221">
        <v>264</v>
      </c>
      <c r="C2221" t="s">
        <v>1007</v>
      </c>
      <c r="D2221" t="s">
        <v>5543</v>
      </c>
      <c r="E2221" t="s">
        <v>1006</v>
      </c>
      <c r="F2221" t="s">
        <v>5544</v>
      </c>
      <c r="G2221" t="s">
        <v>24</v>
      </c>
      <c r="H2221" t="s">
        <v>26</v>
      </c>
      <c r="I2221" t="s">
        <v>3167</v>
      </c>
      <c r="J2221" t="s">
        <v>1011</v>
      </c>
      <c r="K2221" t="s">
        <v>3179</v>
      </c>
      <c r="L2221" t="s">
        <v>1011</v>
      </c>
      <c r="M2221" t="s">
        <v>1008</v>
      </c>
      <c r="N2221" t="s">
        <v>1009</v>
      </c>
      <c r="O2221" t="s">
        <v>1009</v>
      </c>
      <c r="P2221" t="s">
        <v>1746</v>
      </c>
      <c r="Q2221" t="s">
        <v>3771</v>
      </c>
      <c r="R2221" t="s">
        <v>446</v>
      </c>
      <c r="S2221" t="s">
        <v>446</v>
      </c>
      <c r="T2221" t="s">
        <v>1965</v>
      </c>
      <c r="U2221" t="b">
        <v>0</v>
      </c>
      <c r="V2221" t="s">
        <v>446</v>
      </c>
    </row>
    <row r="2222" spans="1:22" x14ac:dyDescent="0.25">
      <c r="A2222" t="s">
        <v>42</v>
      </c>
      <c r="B2222">
        <v>264</v>
      </c>
      <c r="C2222" t="s">
        <v>1014</v>
      </c>
      <c r="D2222" t="s">
        <v>5545</v>
      </c>
      <c r="E2222" t="s">
        <v>1013</v>
      </c>
      <c r="F2222" t="s">
        <v>5546</v>
      </c>
      <c r="G2222" t="s">
        <v>24</v>
      </c>
      <c r="H2222" t="s">
        <v>26</v>
      </c>
      <c r="I2222" t="s">
        <v>3167</v>
      </c>
      <c r="J2222" t="s">
        <v>1016</v>
      </c>
      <c r="K2222" t="s">
        <v>3181</v>
      </c>
      <c r="L2222" t="s">
        <v>1016</v>
      </c>
      <c r="M2222" t="s">
        <v>980</v>
      </c>
      <c r="N2222" t="s">
        <v>1015</v>
      </c>
      <c r="O2222" t="s">
        <v>1015</v>
      </c>
      <c r="P2222" t="s">
        <v>1746</v>
      </c>
      <c r="Q2222" t="s">
        <v>3771</v>
      </c>
      <c r="R2222" t="s">
        <v>446</v>
      </c>
      <c r="S2222" t="s">
        <v>446</v>
      </c>
      <c r="T2222" t="s">
        <v>1965</v>
      </c>
      <c r="U2222" t="b">
        <v>0</v>
      </c>
      <c r="V2222" t="s">
        <v>446</v>
      </c>
    </row>
    <row r="2223" spans="1:22" x14ac:dyDescent="0.25">
      <c r="A2223" t="s">
        <v>42</v>
      </c>
      <c r="B2223">
        <v>264</v>
      </c>
      <c r="C2223" t="s">
        <v>1019</v>
      </c>
      <c r="D2223" t="s">
        <v>5547</v>
      </c>
      <c r="E2223" t="s">
        <v>1018</v>
      </c>
      <c r="F2223" t="s">
        <v>5548</v>
      </c>
      <c r="G2223" t="s">
        <v>24</v>
      </c>
      <c r="H2223" t="s">
        <v>26</v>
      </c>
      <c r="I2223" t="s">
        <v>3167</v>
      </c>
      <c r="J2223" t="s">
        <v>1021</v>
      </c>
      <c r="K2223" t="s">
        <v>3183</v>
      </c>
      <c r="L2223" t="s">
        <v>1021</v>
      </c>
      <c r="M2223" t="s">
        <v>980</v>
      </c>
      <c r="N2223" t="s">
        <v>1020</v>
      </c>
      <c r="O2223" t="s">
        <v>1020</v>
      </c>
      <c r="P2223" t="s">
        <v>1746</v>
      </c>
      <c r="Q2223" t="s">
        <v>3771</v>
      </c>
      <c r="R2223" t="s">
        <v>446</v>
      </c>
      <c r="S2223" t="s">
        <v>446</v>
      </c>
      <c r="T2223" t="s">
        <v>1965</v>
      </c>
      <c r="U2223" t="b">
        <v>0</v>
      </c>
      <c r="V2223" t="s">
        <v>446</v>
      </c>
    </row>
    <row r="2224" spans="1:22" x14ac:dyDescent="0.25">
      <c r="A2224" t="s">
        <v>42</v>
      </c>
      <c r="B2224">
        <v>264</v>
      </c>
      <c r="C2224" t="s">
        <v>1024</v>
      </c>
      <c r="D2224" t="s">
        <v>5549</v>
      </c>
      <c r="E2224" t="s">
        <v>1023</v>
      </c>
      <c r="F2224" t="s">
        <v>5550</v>
      </c>
      <c r="G2224" t="s">
        <v>24</v>
      </c>
      <c r="H2224" t="s">
        <v>26</v>
      </c>
      <c r="I2224" t="s">
        <v>3167</v>
      </c>
      <c r="J2224" t="s">
        <v>1026</v>
      </c>
      <c r="K2224" t="s">
        <v>3185</v>
      </c>
      <c r="L2224" t="s">
        <v>1026</v>
      </c>
      <c r="M2224" t="s">
        <v>1000</v>
      </c>
      <c r="N2224" t="s">
        <v>1025</v>
      </c>
      <c r="O2224" t="s">
        <v>1025</v>
      </c>
      <c r="P2224" t="s">
        <v>1746</v>
      </c>
      <c r="Q2224" t="s">
        <v>3771</v>
      </c>
      <c r="R2224" t="s">
        <v>446</v>
      </c>
      <c r="S2224" t="s">
        <v>446</v>
      </c>
      <c r="T2224" t="s">
        <v>1965</v>
      </c>
      <c r="U2224" t="b">
        <v>0</v>
      </c>
      <c r="V2224" t="s">
        <v>446</v>
      </c>
    </row>
    <row r="2225" spans="1:22" x14ac:dyDescent="0.25">
      <c r="A2225" t="s">
        <v>42</v>
      </c>
      <c r="B2225">
        <v>264</v>
      </c>
      <c r="C2225" t="s">
        <v>1028</v>
      </c>
      <c r="D2225" t="s">
        <v>5551</v>
      </c>
      <c r="E2225" t="s">
        <v>1010</v>
      </c>
      <c r="F2225" t="s">
        <v>5552</v>
      </c>
      <c r="G2225" t="s">
        <v>24</v>
      </c>
      <c r="H2225" t="s">
        <v>26</v>
      </c>
      <c r="I2225" t="s">
        <v>3167</v>
      </c>
      <c r="J2225" t="s">
        <v>1026</v>
      </c>
      <c r="K2225" t="s">
        <v>3185</v>
      </c>
      <c r="L2225" t="s">
        <v>1026</v>
      </c>
      <c r="M2225" t="s">
        <v>1000</v>
      </c>
      <c r="N2225" t="s">
        <v>1025</v>
      </c>
      <c r="O2225" t="s">
        <v>1025</v>
      </c>
      <c r="P2225" t="s">
        <v>1746</v>
      </c>
      <c r="Q2225" t="s">
        <v>3771</v>
      </c>
      <c r="R2225" t="s">
        <v>446</v>
      </c>
      <c r="S2225" t="s">
        <v>446</v>
      </c>
      <c r="T2225" t="s">
        <v>1965</v>
      </c>
      <c r="U2225" t="b">
        <v>0</v>
      </c>
      <c r="V2225" t="s">
        <v>446</v>
      </c>
    </row>
    <row r="2226" spans="1:22" x14ac:dyDescent="0.25">
      <c r="A2226" t="s">
        <v>42</v>
      </c>
      <c r="B2226">
        <v>264</v>
      </c>
      <c r="C2226" t="s">
        <v>1030</v>
      </c>
      <c r="D2226" t="s">
        <v>5553</v>
      </c>
      <c r="E2226" t="s">
        <v>1029</v>
      </c>
      <c r="F2226" t="s">
        <v>5554</v>
      </c>
      <c r="G2226" t="s">
        <v>24</v>
      </c>
      <c r="H2226" t="s">
        <v>26</v>
      </c>
      <c r="I2226" t="s">
        <v>3167</v>
      </c>
      <c r="J2226" t="s">
        <v>1033</v>
      </c>
      <c r="K2226" t="s">
        <v>3189</v>
      </c>
      <c r="L2226" t="s">
        <v>1033</v>
      </c>
      <c r="M2226" t="s">
        <v>980</v>
      </c>
      <c r="N2226" t="s">
        <v>1031</v>
      </c>
      <c r="O2226" t="s">
        <v>1031</v>
      </c>
      <c r="P2226" t="s">
        <v>1746</v>
      </c>
      <c r="Q2226" t="s">
        <v>3771</v>
      </c>
      <c r="R2226" t="s">
        <v>446</v>
      </c>
      <c r="S2226" t="s">
        <v>446</v>
      </c>
      <c r="T2226" t="s">
        <v>1965</v>
      </c>
      <c r="U2226" t="b">
        <v>0</v>
      </c>
      <c r="V2226" t="s">
        <v>446</v>
      </c>
    </row>
    <row r="2227" spans="1:22" x14ac:dyDescent="0.25">
      <c r="A2227" t="s">
        <v>42</v>
      </c>
      <c r="B2227">
        <v>264</v>
      </c>
      <c r="C2227" t="s">
        <v>1036</v>
      </c>
      <c r="D2227" t="s">
        <v>5555</v>
      </c>
      <c r="E2227" t="s">
        <v>1035</v>
      </c>
      <c r="F2227" t="s">
        <v>5556</v>
      </c>
      <c r="G2227" t="s">
        <v>24</v>
      </c>
      <c r="H2227" t="s">
        <v>26</v>
      </c>
      <c r="I2227" t="s">
        <v>3167</v>
      </c>
      <c r="J2227" t="s">
        <v>1038</v>
      </c>
      <c r="K2227" t="s">
        <v>3191</v>
      </c>
      <c r="L2227" t="s">
        <v>1038</v>
      </c>
      <c r="M2227" t="s">
        <v>980</v>
      </c>
      <c r="N2227" t="s">
        <v>1037</v>
      </c>
      <c r="O2227" t="s">
        <v>1037</v>
      </c>
      <c r="P2227" t="s">
        <v>1746</v>
      </c>
      <c r="Q2227" t="s">
        <v>3771</v>
      </c>
      <c r="R2227" t="s">
        <v>446</v>
      </c>
      <c r="S2227" t="s">
        <v>446</v>
      </c>
      <c r="T2227" t="s">
        <v>1965</v>
      </c>
      <c r="U2227" t="b">
        <v>0</v>
      </c>
      <c r="V2227" t="s">
        <v>446</v>
      </c>
    </row>
    <row r="2228" spans="1:22" x14ac:dyDescent="0.25">
      <c r="A2228" t="s">
        <v>42</v>
      </c>
      <c r="B2228">
        <v>264</v>
      </c>
      <c r="C2228" t="s">
        <v>1041</v>
      </c>
      <c r="D2228" t="s">
        <v>5557</v>
      </c>
      <c r="E2228" t="s">
        <v>1040</v>
      </c>
      <c r="F2228" t="s">
        <v>5556</v>
      </c>
      <c r="G2228" t="s">
        <v>24</v>
      </c>
      <c r="H2228" t="s">
        <v>26</v>
      </c>
      <c r="I2228" t="s">
        <v>3167</v>
      </c>
      <c r="J2228" t="s">
        <v>1043</v>
      </c>
      <c r="K2228" t="s">
        <v>3193</v>
      </c>
      <c r="L2228" t="s">
        <v>1043</v>
      </c>
      <c r="M2228" t="s">
        <v>980</v>
      </c>
      <c r="N2228" t="s">
        <v>1042</v>
      </c>
      <c r="O2228" t="s">
        <v>1042</v>
      </c>
      <c r="P2228" t="s">
        <v>1746</v>
      </c>
      <c r="Q2228" t="s">
        <v>3771</v>
      </c>
      <c r="R2228" t="s">
        <v>446</v>
      </c>
      <c r="S2228" t="s">
        <v>446</v>
      </c>
      <c r="T2228" t="s">
        <v>1965</v>
      </c>
      <c r="U2228" t="b">
        <v>0</v>
      </c>
      <c r="V2228" t="s">
        <v>446</v>
      </c>
    </row>
    <row r="2229" spans="1:22" x14ac:dyDescent="0.25">
      <c r="A2229" t="s">
        <v>42</v>
      </c>
      <c r="B2229">
        <v>264</v>
      </c>
      <c r="C2229" t="s">
        <v>1046</v>
      </c>
      <c r="D2229" t="s">
        <v>5558</v>
      </c>
      <c r="E2229" t="s">
        <v>1045</v>
      </c>
      <c r="F2229" t="s">
        <v>5559</v>
      </c>
      <c r="G2229" t="s">
        <v>24</v>
      </c>
      <c r="H2229" t="s">
        <v>26</v>
      </c>
      <c r="I2229" t="s">
        <v>3167</v>
      </c>
      <c r="J2229" t="s">
        <v>1048</v>
      </c>
      <c r="K2229" t="s">
        <v>3195</v>
      </c>
      <c r="L2229" t="s">
        <v>1048</v>
      </c>
      <c r="M2229" t="s">
        <v>1000</v>
      </c>
      <c r="N2229" t="s">
        <v>1047</v>
      </c>
      <c r="O2229" t="s">
        <v>1047</v>
      </c>
      <c r="P2229" t="s">
        <v>1746</v>
      </c>
      <c r="Q2229" t="s">
        <v>3771</v>
      </c>
      <c r="R2229" t="s">
        <v>446</v>
      </c>
      <c r="S2229" t="s">
        <v>446</v>
      </c>
      <c r="T2229" t="s">
        <v>1965</v>
      </c>
      <c r="U2229" t="b">
        <v>0</v>
      </c>
      <c r="V2229" t="s">
        <v>446</v>
      </c>
    </row>
    <row r="2230" spans="1:22" x14ac:dyDescent="0.25">
      <c r="A2230" t="s">
        <v>42</v>
      </c>
      <c r="B2230">
        <v>264</v>
      </c>
      <c r="C2230" t="s">
        <v>1050</v>
      </c>
      <c r="D2230" t="s">
        <v>5560</v>
      </c>
      <c r="E2230" t="s">
        <v>1032</v>
      </c>
      <c r="F2230" t="s">
        <v>5561</v>
      </c>
      <c r="G2230" t="s">
        <v>24</v>
      </c>
      <c r="H2230" t="s">
        <v>26</v>
      </c>
      <c r="I2230" t="s">
        <v>3167</v>
      </c>
      <c r="J2230" t="s">
        <v>1048</v>
      </c>
      <c r="K2230" t="s">
        <v>3195</v>
      </c>
      <c r="L2230" t="s">
        <v>1048</v>
      </c>
      <c r="M2230" t="s">
        <v>1000</v>
      </c>
      <c r="N2230" t="s">
        <v>1047</v>
      </c>
      <c r="O2230" t="s">
        <v>1047</v>
      </c>
      <c r="P2230" t="s">
        <v>1746</v>
      </c>
      <c r="Q2230" t="s">
        <v>3771</v>
      </c>
      <c r="R2230" t="s">
        <v>446</v>
      </c>
      <c r="S2230" t="s">
        <v>446</v>
      </c>
      <c r="T2230" t="s">
        <v>1965</v>
      </c>
      <c r="U2230" t="b">
        <v>0</v>
      </c>
      <c r="V2230" t="s">
        <v>446</v>
      </c>
    </row>
    <row r="2231" spans="1:22" x14ac:dyDescent="0.25">
      <c r="A2231" t="s">
        <v>42</v>
      </c>
      <c r="B2231">
        <v>264</v>
      </c>
      <c r="C2231" t="s">
        <v>1052</v>
      </c>
      <c r="D2231" t="s">
        <v>5562</v>
      </c>
      <c r="E2231" t="s">
        <v>1051</v>
      </c>
      <c r="F2231" t="s">
        <v>5563</v>
      </c>
      <c r="G2231" t="s">
        <v>24</v>
      </c>
      <c r="H2231" t="s">
        <v>26</v>
      </c>
      <c r="I2231" t="s">
        <v>3167</v>
      </c>
      <c r="J2231" t="s">
        <v>1055</v>
      </c>
      <c r="K2231" t="s">
        <v>3199</v>
      </c>
      <c r="L2231" t="s">
        <v>1055</v>
      </c>
      <c r="M2231" t="s">
        <v>980</v>
      </c>
      <c r="N2231" t="s">
        <v>1053</v>
      </c>
      <c r="O2231" t="s">
        <v>1053</v>
      </c>
      <c r="P2231" t="s">
        <v>1746</v>
      </c>
      <c r="Q2231" t="s">
        <v>3771</v>
      </c>
      <c r="R2231" t="s">
        <v>446</v>
      </c>
      <c r="S2231" t="s">
        <v>446</v>
      </c>
      <c r="T2231" t="s">
        <v>1965</v>
      </c>
      <c r="U2231" t="b">
        <v>0</v>
      </c>
      <c r="V2231" t="s">
        <v>446</v>
      </c>
    </row>
    <row r="2232" spans="1:22" x14ac:dyDescent="0.25">
      <c r="A2232" t="s">
        <v>42</v>
      </c>
      <c r="B2232">
        <v>265</v>
      </c>
      <c r="C2232" t="s">
        <v>979</v>
      </c>
      <c r="D2232" t="s">
        <v>5564</v>
      </c>
      <c r="E2232" t="s">
        <v>978</v>
      </c>
      <c r="F2232" t="s">
        <v>5565</v>
      </c>
      <c r="G2232" t="s">
        <v>24</v>
      </c>
      <c r="H2232" t="s">
        <v>26</v>
      </c>
      <c r="I2232" t="s">
        <v>3167</v>
      </c>
      <c r="J2232" t="s">
        <v>984</v>
      </c>
      <c r="K2232" t="s">
        <v>3168</v>
      </c>
      <c r="L2232" t="s">
        <v>984</v>
      </c>
      <c r="M2232" t="s">
        <v>980</v>
      </c>
      <c r="N2232" t="s">
        <v>981</v>
      </c>
      <c r="O2232" t="s">
        <v>981</v>
      </c>
      <c r="P2232" t="s">
        <v>1746</v>
      </c>
      <c r="Q2232" t="s">
        <v>3771</v>
      </c>
      <c r="R2232" t="s">
        <v>446</v>
      </c>
      <c r="S2232" t="s">
        <v>446</v>
      </c>
      <c r="T2232" t="s">
        <v>1965</v>
      </c>
      <c r="U2232" t="b">
        <v>0</v>
      </c>
      <c r="V2232" t="s">
        <v>446</v>
      </c>
    </row>
    <row r="2233" spans="1:22" x14ac:dyDescent="0.25">
      <c r="A2233" t="s">
        <v>42</v>
      </c>
      <c r="B2233">
        <v>265</v>
      </c>
      <c r="C2233" t="s">
        <v>987</v>
      </c>
      <c r="D2233" t="s">
        <v>5566</v>
      </c>
      <c r="E2233" t="s">
        <v>986</v>
      </c>
      <c r="F2233" t="s">
        <v>5567</v>
      </c>
      <c r="G2233" t="s">
        <v>24</v>
      </c>
      <c r="H2233" t="s">
        <v>26</v>
      </c>
      <c r="I2233" t="s">
        <v>3167</v>
      </c>
      <c r="J2233" t="s">
        <v>990</v>
      </c>
      <c r="K2233" t="s">
        <v>3171</v>
      </c>
      <c r="L2233" t="s">
        <v>990</v>
      </c>
      <c r="M2233" t="s">
        <v>980</v>
      </c>
      <c r="N2233" t="s">
        <v>988</v>
      </c>
      <c r="O2233" t="s">
        <v>988</v>
      </c>
      <c r="P2233" t="s">
        <v>1746</v>
      </c>
      <c r="Q2233" t="s">
        <v>3771</v>
      </c>
      <c r="R2233" t="s">
        <v>446</v>
      </c>
      <c r="S2233" t="s">
        <v>446</v>
      </c>
      <c r="T2233" t="s">
        <v>1965</v>
      </c>
      <c r="U2233" t="b">
        <v>0</v>
      </c>
      <c r="V2233" t="s">
        <v>446</v>
      </c>
    </row>
    <row r="2234" spans="1:22" x14ac:dyDescent="0.25">
      <c r="A2234" t="s">
        <v>42</v>
      </c>
      <c r="B2234">
        <v>265</v>
      </c>
      <c r="C2234" t="s">
        <v>993</v>
      </c>
      <c r="D2234" t="s">
        <v>5568</v>
      </c>
      <c r="E2234" t="s">
        <v>992</v>
      </c>
      <c r="F2234" t="s">
        <v>5569</v>
      </c>
      <c r="G2234" t="s">
        <v>24</v>
      </c>
      <c r="H2234" t="s">
        <v>26</v>
      </c>
      <c r="I2234" t="s">
        <v>3167</v>
      </c>
      <c r="J2234" t="s">
        <v>996</v>
      </c>
      <c r="K2234" t="s">
        <v>3173</v>
      </c>
      <c r="L2234" t="s">
        <v>996</v>
      </c>
      <c r="M2234" t="s">
        <v>980</v>
      </c>
      <c r="N2234" t="s">
        <v>994</v>
      </c>
      <c r="O2234" t="s">
        <v>994</v>
      </c>
      <c r="P2234" t="s">
        <v>1746</v>
      </c>
      <c r="Q2234" t="s">
        <v>3771</v>
      </c>
      <c r="R2234" t="s">
        <v>446</v>
      </c>
      <c r="S2234" t="s">
        <v>446</v>
      </c>
      <c r="T2234" t="s">
        <v>1965</v>
      </c>
      <c r="U2234" t="b">
        <v>0</v>
      </c>
      <c r="V2234" t="s">
        <v>446</v>
      </c>
    </row>
    <row r="2235" spans="1:22" x14ac:dyDescent="0.25">
      <c r="A2235" t="s">
        <v>42</v>
      </c>
      <c r="B2235">
        <v>265</v>
      </c>
      <c r="C2235" t="s">
        <v>999</v>
      </c>
      <c r="D2235" t="s">
        <v>5570</v>
      </c>
      <c r="E2235" t="s">
        <v>998</v>
      </c>
      <c r="F2235" t="s">
        <v>3967</v>
      </c>
      <c r="G2235" t="s">
        <v>24</v>
      </c>
      <c r="H2235" t="s">
        <v>26</v>
      </c>
      <c r="I2235" t="s">
        <v>3167</v>
      </c>
      <c r="J2235" t="s">
        <v>1003</v>
      </c>
      <c r="K2235" t="s">
        <v>3175</v>
      </c>
      <c r="L2235" t="s">
        <v>1003</v>
      </c>
      <c r="M2235" t="s">
        <v>1000</v>
      </c>
      <c r="N2235" t="s">
        <v>1001</v>
      </c>
      <c r="O2235" t="s">
        <v>1001</v>
      </c>
      <c r="P2235" t="s">
        <v>1746</v>
      </c>
      <c r="Q2235" t="s">
        <v>3771</v>
      </c>
      <c r="R2235" t="s">
        <v>446</v>
      </c>
      <c r="S2235" t="s">
        <v>446</v>
      </c>
      <c r="T2235" t="s">
        <v>1965</v>
      </c>
      <c r="U2235" t="b">
        <v>0</v>
      </c>
      <c r="V2235" t="s">
        <v>446</v>
      </c>
    </row>
    <row r="2236" spans="1:22" x14ac:dyDescent="0.25">
      <c r="A2236" t="s">
        <v>42</v>
      </c>
      <c r="B2236">
        <v>265</v>
      </c>
      <c r="C2236" t="s">
        <v>1005</v>
      </c>
      <c r="D2236" t="s">
        <v>5571</v>
      </c>
      <c r="E2236" t="s">
        <v>982</v>
      </c>
      <c r="F2236" t="s">
        <v>5572</v>
      </c>
      <c r="G2236" t="s">
        <v>24</v>
      </c>
      <c r="H2236" t="s">
        <v>26</v>
      </c>
      <c r="I2236" t="s">
        <v>3167</v>
      </c>
      <c r="J2236" t="s">
        <v>1003</v>
      </c>
      <c r="K2236" t="s">
        <v>3175</v>
      </c>
      <c r="L2236" t="s">
        <v>1003</v>
      </c>
      <c r="M2236" t="s">
        <v>1000</v>
      </c>
      <c r="N2236" t="s">
        <v>1001</v>
      </c>
      <c r="O2236" t="s">
        <v>1001</v>
      </c>
      <c r="P2236" t="s">
        <v>1746</v>
      </c>
      <c r="Q2236" t="s">
        <v>3771</v>
      </c>
      <c r="R2236" t="s">
        <v>446</v>
      </c>
      <c r="S2236" t="s">
        <v>446</v>
      </c>
      <c r="T2236" t="s">
        <v>1965</v>
      </c>
      <c r="U2236" t="b">
        <v>0</v>
      </c>
      <c r="V2236" t="s">
        <v>446</v>
      </c>
    </row>
    <row r="2237" spans="1:22" x14ac:dyDescent="0.25">
      <c r="A2237" t="s">
        <v>42</v>
      </c>
      <c r="B2237">
        <v>265</v>
      </c>
      <c r="C2237" t="s">
        <v>1007</v>
      </c>
      <c r="D2237" t="s">
        <v>5573</v>
      </c>
      <c r="E2237" t="s">
        <v>1006</v>
      </c>
      <c r="F2237" t="s">
        <v>5574</v>
      </c>
      <c r="G2237" t="s">
        <v>24</v>
      </c>
      <c r="H2237" t="s">
        <v>26</v>
      </c>
      <c r="I2237" t="s">
        <v>3167</v>
      </c>
      <c r="J2237" t="s">
        <v>1011</v>
      </c>
      <c r="K2237" t="s">
        <v>3179</v>
      </c>
      <c r="L2237" t="s">
        <v>1011</v>
      </c>
      <c r="M2237" t="s">
        <v>1008</v>
      </c>
      <c r="N2237" t="s">
        <v>1009</v>
      </c>
      <c r="O2237" t="s">
        <v>1009</v>
      </c>
      <c r="P2237" t="s">
        <v>1746</v>
      </c>
      <c r="Q2237" t="s">
        <v>3771</v>
      </c>
      <c r="R2237" t="s">
        <v>446</v>
      </c>
      <c r="S2237" t="s">
        <v>446</v>
      </c>
      <c r="T2237" t="s">
        <v>1965</v>
      </c>
      <c r="U2237" t="b">
        <v>0</v>
      </c>
      <c r="V2237" t="s">
        <v>446</v>
      </c>
    </row>
    <row r="2238" spans="1:22" x14ac:dyDescent="0.25">
      <c r="A2238" t="s">
        <v>42</v>
      </c>
      <c r="B2238">
        <v>265</v>
      </c>
      <c r="C2238" t="s">
        <v>1014</v>
      </c>
      <c r="D2238" t="s">
        <v>5575</v>
      </c>
      <c r="E2238" t="s">
        <v>1013</v>
      </c>
      <c r="F2238" t="s">
        <v>5576</v>
      </c>
      <c r="G2238" t="s">
        <v>24</v>
      </c>
      <c r="H2238" t="s">
        <v>26</v>
      </c>
      <c r="I2238" t="s">
        <v>3167</v>
      </c>
      <c r="J2238" t="s">
        <v>1016</v>
      </c>
      <c r="K2238" t="s">
        <v>3181</v>
      </c>
      <c r="L2238" t="s">
        <v>1016</v>
      </c>
      <c r="M2238" t="s">
        <v>980</v>
      </c>
      <c r="N2238" t="s">
        <v>1015</v>
      </c>
      <c r="O2238" t="s">
        <v>1015</v>
      </c>
      <c r="P2238" t="s">
        <v>1746</v>
      </c>
      <c r="Q2238" t="s">
        <v>3771</v>
      </c>
      <c r="R2238" t="s">
        <v>446</v>
      </c>
      <c r="S2238" t="s">
        <v>446</v>
      </c>
      <c r="T2238" t="s">
        <v>1965</v>
      </c>
      <c r="U2238" t="b">
        <v>0</v>
      </c>
      <c r="V2238" t="s">
        <v>446</v>
      </c>
    </row>
    <row r="2239" spans="1:22" x14ac:dyDescent="0.25">
      <c r="A2239" t="s">
        <v>42</v>
      </c>
      <c r="B2239">
        <v>265</v>
      </c>
      <c r="C2239" t="s">
        <v>1019</v>
      </c>
      <c r="D2239" t="s">
        <v>5577</v>
      </c>
      <c r="E2239" t="s">
        <v>1018</v>
      </c>
      <c r="F2239" t="s">
        <v>5578</v>
      </c>
      <c r="G2239" t="s">
        <v>24</v>
      </c>
      <c r="H2239" t="s">
        <v>26</v>
      </c>
      <c r="I2239" t="s">
        <v>3167</v>
      </c>
      <c r="J2239" t="s">
        <v>1021</v>
      </c>
      <c r="K2239" t="s">
        <v>3183</v>
      </c>
      <c r="L2239" t="s">
        <v>1021</v>
      </c>
      <c r="M2239" t="s">
        <v>980</v>
      </c>
      <c r="N2239" t="s">
        <v>1020</v>
      </c>
      <c r="O2239" t="s">
        <v>1020</v>
      </c>
      <c r="P2239" t="s">
        <v>1746</v>
      </c>
      <c r="Q2239" t="s">
        <v>3771</v>
      </c>
      <c r="R2239" t="s">
        <v>446</v>
      </c>
      <c r="S2239" t="s">
        <v>446</v>
      </c>
      <c r="T2239" t="s">
        <v>1965</v>
      </c>
      <c r="U2239" t="b">
        <v>0</v>
      </c>
      <c r="V2239" t="s">
        <v>446</v>
      </c>
    </row>
    <row r="2240" spans="1:22" x14ac:dyDescent="0.25">
      <c r="A2240" t="s">
        <v>42</v>
      </c>
      <c r="B2240">
        <v>265</v>
      </c>
      <c r="C2240" t="s">
        <v>1024</v>
      </c>
      <c r="D2240" t="s">
        <v>5579</v>
      </c>
      <c r="E2240" t="s">
        <v>1023</v>
      </c>
      <c r="F2240" t="s">
        <v>5580</v>
      </c>
      <c r="G2240" t="s">
        <v>24</v>
      </c>
      <c r="H2240" t="s">
        <v>26</v>
      </c>
      <c r="I2240" t="s">
        <v>3167</v>
      </c>
      <c r="J2240" t="s">
        <v>1026</v>
      </c>
      <c r="K2240" t="s">
        <v>3185</v>
      </c>
      <c r="L2240" t="s">
        <v>1026</v>
      </c>
      <c r="M2240" t="s">
        <v>1000</v>
      </c>
      <c r="N2240" t="s">
        <v>1025</v>
      </c>
      <c r="O2240" t="s">
        <v>1025</v>
      </c>
      <c r="P2240" t="s">
        <v>1746</v>
      </c>
      <c r="Q2240" t="s">
        <v>3771</v>
      </c>
      <c r="R2240" t="s">
        <v>446</v>
      </c>
      <c r="S2240" t="s">
        <v>446</v>
      </c>
      <c r="T2240" t="s">
        <v>1965</v>
      </c>
      <c r="U2240" t="b">
        <v>0</v>
      </c>
      <c r="V2240" t="s">
        <v>446</v>
      </c>
    </row>
    <row r="2241" spans="1:22" x14ac:dyDescent="0.25">
      <c r="A2241" t="s">
        <v>42</v>
      </c>
      <c r="B2241">
        <v>265</v>
      </c>
      <c r="C2241" t="s">
        <v>1028</v>
      </c>
      <c r="D2241" t="s">
        <v>5581</v>
      </c>
      <c r="E2241" t="s">
        <v>1010</v>
      </c>
      <c r="F2241" t="s">
        <v>5582</v>
      </c>
      <c r="G2241" t="s">
        <v>24</v>
      </c>
      <c r="H2241" t="s">
        <v>26</v>
      </c>
      <c r="I2241" t="s">
        <v>3167</v>
      </c>
      <c r="J2241" t="s">
        <v>1026</v>
      </c>
      <c r="K2241" t="s">
        <v>3185</v>
      </c>
      <c r="L2241" t="s">
        <v>1026</v>
      </c>
      <c r="M2241" t="s">
        <v>1000</v>
      </c>
      <c r="N2241" t="s">
        <v>1025</v>
      </c>
      <c r="O2241" t="s">
        <v>1025</v>
      </c>
      <c r="P2241" t="s">
        <v>1746</v>
      </c>
      <c r="Q2241" t="s">
        <v>3771</v>
      </c>
      <c r="R2241" t="s">
        <v>446</v>
      </c>
      <c r="S2241" t="s">
        <v>446</v>
      </c>
      <c r="T2241" t="s">
        <v>1965</v>
      </c>
      <c r="U2241" t="b">
        <v>0</v>
      </c>
      <c r="V2241" t="s">
        <v>446</v>
      </c>
    </row>
    <row r="2242" spans="1:22" x14ac:dyDescent="0.25">
      <c r="A2242" t="s">
        <v>42</v>
      </c>
      <c r="B2242">
        <v>265</v>
      </c>
      <c r="C2242" t="s">
        <v>1030</v>
      </c>
      <c r="D2242" t="s">
        <v>5583</v>
      </c>
      <c r="E2242" t="s">
        <v>1029</v>
      </c>
      <c r="F2242" t="s">
        <v>5584</v>
      </c>
      <c r="G2242" t="s">
        <v>24</v>
      </c>
      <c r="H2242" t="s">
        <v>26</v>
      </c>
      <c r="I2242" t="s">
        <v>3167</v>
      </c>
      <c r="J2242" t="s">
        <v>1033</v>
      </c>
      <c r="K2242" t="s">
        <v>3189</v>
      </c>
      <c r="L2242" t="s">
        <v>1033</v>
      </c>
      <c r="M2242" t="s">
        <v>980</v>
      </c>
      <c r="N2242" t="s">
        <v>1031</v>
      </c>
      <c r="O2242" t="s">
        <v>1031</v>
      </c>
      <c r="P2242" t="s">
        <v>1746</v>
      </c>
      <c r="Q2242" t="s">
        <v>3771</v>
      </c>
      <c r="R2242" t="s">
        <v>446</v>
      </c>
      <c r="S2242" t="s">
        <v>446</v>
      </c>
      <c r="T2242" t="s">
        <v>1965</v>
      </c>
      <c r="U2242" t="b">
        <v>0</v>
      </c>
      <c r="V2242" t="s">
        <v>446</v>
      </c>
    </row>
    <row r="2243" spans="1:22" x14ac:dyDescent="0.25">
      <c r="A2243" t="s">
        <v>42</v>
      </c>
      <c r="B2243">
        <v>265</v>
      </c>
      <c r="C2243" t="s">
        <v>1036</v>
      </c>
      <c r="D2243" t="s">
        <v>5585</v>
      </c>
      <c r="E2243" t="s">
        <v>1035</v>
      </c>
      <c r="F2243" t="s">
        <v>5586</v>
      </c>
      <c r="G2243" t="s">
        <v>24</v>
      </c>
      <c r="H2243" t="s">
        <v>26</v>
      </c>
      <c r="I2243" t="s">
        <v>3167</v>
      </c>
      <c r="J2243" t="s">
        <v>1038</v>
      </c>
      <c r="K2243" t="s">
        <v>3191</v>
      </c>
      <c r="L2243" t="s">
        <v>1038</v>
      </c>
      <c r="M2243" t="s">
        <v>980</v>
      </c>
      <c r="N2243" t="s">
        <v>1037</v>
      </c>
      <c r="O2243" t="s">
        <v>1037</v>
      </c>
      <c r="P2243" t="s">
        <v>1746</v>
      </c>
      <c r="Q2243" t="s">
        <v>3771</v>
      </c>
      <c r="R2243" t="s">
        <v>446</v>
      </c>
      <c r="S2243" t="s">
        <v>446</v>
      </c>
      <c r="T2243" t="s">
        <v>1965</v>
      </c>
      <c r="U2243" t="b">
        <v>0</v>
      </c>
      <c r="V2243" t="s">
        <v>446</v>
      </c>
    </row>
    <row r="2244" spans="1:22" x14ac:dyDescent="0.25">
      <c r="A2244" t="s">
        <v>42</v>
      </c>
      <c r="B2244">
        <v>265</v>
      </c>
      <c r="C2244" t="s">
        <v>1041</v>
      </c>
      <c r="D2244" t="s">
        <v>5587</v>
      </c>
      <c r="E2244" t="s">
        <v>1040</v>
      </c>
      <c r="F2244" t="s">
        <v>5588</v>
      </c>
      <c r="G2244" t="s">
        <v>24</v>
      </c>
      <c r="H2244" t="s">
        <v>26</v>
      </c>
      <c r="I2244" t="s">
        <v>3167</v>
      </c>
      <c r="J2244" t="s">
        <v>1043</v>
      </c>
      <c r="K2244" t="s">
        <v>3193</v>
      </c>
      <c r="L2244" t="s">
        <v>1043</v>
      </c>
      <c r="M2244" t="s">
        <v>980</v>
      </c>
      <c r="N2244" t="s">
        <v>1042</v>
      </c>
      <c r="O2244" t="s">
        <v>1042</v>
      </c>
      <c r="P2244" t="s">
        <v>1746</v>
      </c>
      <c r="Q2244" t="s">
        <v>3771</v>
      </c>
      <c r="R2244" t="s">
        <v>446</v>
      </c>
      <c r="S2244" t="s">
        <v>446</v>
      </c>
      <c r="T2244" t="s">
        <v>1965</v>
      </c>
      <c r="U2244" t="b">
        <v>0</v>
      </c>
      <c r="V2244" t="s">
        <v>446</v>
      </c>
    </row>
    <row r="2245" spans="1:22" x14ac:dyDescent="0.25">
      <c r="A2245" t="s">
        <v>42</v>
      </c>
      <c r="B2245">
        <v>265</v>
      </c>
      <c r="C2245" t="s">
        <v>1046</v>
      </c>
      <c r="D2245" t="s">
        <v>5589</v>
      </c>
      <c r="E2245" t="s">
        <v>1045</v>
      </c>
      <c r="F2245" t="s">
        <v>5590</v>
      </c>
      <c r="G2245" t="s">
        <v>24</v>
      </c>
      <c r="H2245" t="s">
        <v>26</v>
      </c>
      <c r="I2245" t="s">
        <v>3167</v>
      </c>
      <c r="J2245" t="s">
        <v>1048</v>
      </c>
      <c r="K2245" t="s">
        <v>3195</v>
      </c>
      <c r="L2245" t="s">
        <v>1048</v>
      </c>
      <c r="M2245" t="s">
        <v>1000</v>
      </c>
      <c r="N2245" t="s">
        <v>1047</v>
      </c>
      <c r="O2245" t="s">
        <v>1047</v>
      </c>
      <c r="P2245" t="s">
        <v>1746</v>
      </c>
      <c r="Q2245" t="s">
        <v>3771</v>
      </c>
      <c r="R2245" t="s">
        <v>446</v>
      </c>
      <c r="S2245" t="s">
        <v>446</v>
      </c>
      <c r="T2245" t="s">
        <v>1965</v>
      </c>
      <c r="U2245" t="b">
        <v>0</v>
      </c>
      <c r="V2245" t="s">
        <v>446</v>
      </c>
    </row>
    <row r="2246" spans="1:22" x14ac:dyDescent="0.25">
      <c r="A2246" t="s">
        <v>42</v>
      </c>
      <c r="B2246">
        <v>265</v>
      </c>
      <c r="C2246" t="s">
        <v>1050</v>
      </c>
      <c r="D2246" t="s">
        <v>5591</v>
      </c>
      <c r="E2246" t="s">
        <v>1032</v>
      </c>
      <c r="F2246" t="s">
        <v>5592</v>
      </c>
      <c r="G2246" t="s">
        <v>24</v>
      </c>
      <c r="H2246" t="s">
        <v>26</v>
      </c>
      <c r="I2246" t="s">
        <v>3167</v>
      </c>
      <c r="J2246" t="s">
        <v>1048</v>
      </c>
      <c r="K2246" t="s">
        <v>3195</v>
      </c>
      <c r="L2246" t="s">
        <v>1048</v>
      </c>
      <c r="M2246" t="s">
        <v>1000</v>
      </c>
      <c r="N2246" t="s">
        <v>1047</v>
      </c>
      <c r="O2246" t="s">
        <v>1047</v>
      </c>
      <c r="P2246" t="s">
        <v>1746</v>
      </c>
      <c r="Q2246" t="s">
        <v>3771</v>
      </c>
      <c r="R2246" t="s">
        <v>446</v>
      </c>
      <c r="S2246" t="s">
        <v>446</v>
      </c>
      <c r="T2246" t="s">
        <v>1965</v>
      </c>
      <c r="U2246" t="b">
        <v>0</v>
      </c>
      <c r="V2246" t="s">
        <v>446</v>
      </c>
    </row>
    <row r="2247" spans="1:22" x14ac:dyDescent="0.25">
      <c r="A2247" t="s">
        <v>42</v>
      </c>
      <c r="B2247">
        <v>265</v>
      </c>
      <c r="C2247" t="s">
        <v>1052</v>
      </c>
      <c r="D2247" t="s">
        <v>5593</v>
      </c>
      <c r="E2247" t="s">
        <v>1051</v>
      </c>
      <c r="F2247" t="s">
        <v>5594</v>
      </c>
      <c r="G2247" t="s">
        <v>24</v>
      </c>
      <c r="H2247" t="s">
        <v>26</v>
      </c>
      <c r="I2247" t="s">
        <v>3167</v>
      </c>
      <c r="J2247" t="s">
        <v>1055</v>
      </c>
      <c r="K2247" t="s">
        <v>3199</v>
      </c>
      <c r="L2247" t="s">
        <v>1055</v>
      </c>
      <c r="M2247" t="s">
        <v>980</v>
      </c>
      <c r="N2247" t="s">
        <v>1053</v>
      </c>
      <c r="O2247" t="s">
        <v>1053</v>
      </c>
      <c r="P2247" t="s">
        <v>1746</v>
      </c>
      <c r="Q2247" t="s">
        <v>3771</v>
      </c>
      <c r="R2247" t="s">
        <v>446</v>
      </c>
      <c r="S2247" t="s">
        <v>446</v>
      </c>
      <c r="T2247" t="s">
        <v>1965</v>
      </c>
      <c r="U2247" t="b">
        <v>0</v>
      </c>
      <c r="V2247" t="s">
        <v>446</v>
      </c>
    </row>
    <row r="2248" spans="1:22" x14ac:dyDescent="0.25">
      <c r="A2248" t="s">
        <v>42</v>
      </c>
      <c r="B2248">
        <v>266</v>
      </c>
      <c r="C2248" t="s">
        <v>979</v>
      </c>
      <c r="D2248" t="s">
        <v>5595</v>
      </c>
      <c r="E2248" t="s">
        <v>978</v>
      </c>
      <c r="F2248" t="s">
        <v>3218</v>
      </c>
      <c r="G2248" t="s">
        <v>24</v>
      </c>
      <c r="H2248" t="s">
        <v>26</v>
      </c>
      <c r="I2248" t="s">
        <v>3167</v>
      </c>
      <c r="J2248" t="s">
        <v>984</v>
      </c>
      <c r="K2248" t="s">
        <v>3168</v>
      </c>
      <c r="L2248" t="s">
        <v>984</v>
      </c>
      <c r="M2248" t="s">
        <v>980</v>
      </c>
      <c r="N2248" t="s">
        <v>981</v>
      </c>
      <c r="O2248" t="s">
        <v>981</v>
      </c>
      <c r="P2248" t="s">
        <v>1746</v>
      </c>
      <c r="Q2248" t="s">
        <v>3771</v>
      </c>
      <c r="R2248" t="s">
        <v>446</v>
      </c>
      <c r="S2248" t="s">
        <v>446</v>
      </c>
      <c r="T2248" t="s">
        <v>1965</v>
      </c>
      <c r="U2248" t="b">
        <v>0</v>
      </c>
      <c r="V2248" t="s">
        <v>446</v>
      </c>
    </row>
    <row r="2249" spans="1:22" x14ac:dyDescent="0.25">
      <c r="A2249" t="s">
        <v>42</v>
      </c>
      <c r="B2249">
        <v>266</v>
      </c>
      <c r="C2249" t="s">
        <v>987</v>
      </c>
      <c r="D2249" t="s">
        <v>5596</v>
      </c>
      <c r="E2249" t="s">
        <v>986</v>
      </c>
      <c r="F2249" t="s">
        <v>3218</v>
      </c>
      <c r="G2249" t="s">
        <v>24</v>
      </c>
      <c r="H2249" t="s">
        <v>26</v>
      </c>
      <c r="I2249" t="s">
        <v>3167</v>
      </c>
      <c r="J2249" t="s">
        <v>990</v>
      </c>
      <c r="K2249" t="s">
        <v>3171</v>
      </c>
      <c r="L2249" t="s">
        <v>990</v>
      </c>
      <c r="M2249" t="s">
        <v>980</v>
      </c>
      <c r="N2249" t="s">
        <v>988</v>
      </c>
      <c r="O2249" t="s">
        <v>988</v>
      </c>
      <c r="P2249" t="s">
        <v>1746</v>
      </c>
      <c r="Q2249" t="s">
        <v>3771</v>
      </c>
      <c r="R2249" t="s">
        <v>446</v>
      </c>
      <c r="S2249" t="s">
        <v>446</v>
      </c>
      <c r="T2249" t="s">
        <v>1965</v>
      </c>
      <c r="U2249" t="b">
        <v>0</v>
      </c>
      <c r="V2249" t="s">
        <v>446</v>
      </c>
    </row>
    <row r="2250" spans="1:22" x14ac:dyDescent="0.25">
      <c r="A2250" t="s">
        <v>42</v>
      </c>
      <c r="B2250">
        <v>266</v>
      </c>
      <c r="C2250" t="s">
        <v>993</v>
      </c>
      <c r="D2250" t="s">
        <v>5597</v>
      </c>
      <c r="E2250" t="s">
        <v>992</v>
      </c>
      <c r="F2250" t="s">
        <v>3218</v>
      </c>
      <c r="G2250" t="s">
        <v>24</v>
      </c>
      <c r="H2250" t="s">
        <v>26</v>
      </c>
      <c r="I2250" t="s">
        <v>3167</v>
      </c>
      <c r="J2250" t="s">
        <v>996</v>
      </c>
      <c r="K2250" t="s">
        <v>3173</v>
      </c>
      <c r="L2250" t="s">
        <v>996</v>
      </c>
      <c r="M2250" t="s">
        <v>980</v>
      </c>
      <c r="N2250" t="s">
        <v>994</v>
      </c>
      <c r="O2250" t="s">
        <v>994</v>
      </c>
      <c r="P2250" t="s">
        <v>1746</v>
      </c>
      <c r="Q2250" t="s">
        <v>3771</v>
      </c>
      <c r="R2250" t="s">
        <v>446</v>
      </c>
      <c r="S2250" t="s">
        <v>446</v>
      </c>
      <c r="T2250" t="s">
        <v>1965</v>
      </c>
      <c r="U2250" t="b">
        <v>0</v>
      </c>
      <c r="V2250" t="s">
        <v>446</v>
      </c>
    </row>
    <row r="2251" spans="1:22" x14ac:dyDescent="0.25">
      <c r="A2251" t="s">
        <v>42</v>
      </c>
      <c r="B2251">
        <v>266</v>
      </c>
      <c r="C2251" t="s">
        <v>999</v>
      </c>
      <c r="D2251" t="s">
        <v>5598</v>
      </c>
      <c r="E2251" t="s">
        <v>998</v>
      </c>
      <c r="F2251" t="s">
        <v>3218</v>
      </c>
      <c r="G2251" t="s">
        <v>24</v>
      </c>
      <c r="H2251" t="s">
        <v>26</v>
      </c>
      <c r="I2251" t="s">
        <v>3167</v>
      </c>
      <c r="J2251" t="s">
        <v>1003</v>
      </c>
      <c r="K2251" t="s">
        <v>3175</v>
      </c>
      <c r="L2251" t="s">
        <v>1003</v>
      </c>
      <c r="M2251" t="s">
        <v>1000</v>
      </c>
      <c r="N2251" t="s">
        <v>1001</v>
      </c>
      <c r="O2251" t="s">
        <v>1001</v>
      </c>
      <c r="P2251" t="s">
        <v>1746</v>
      </c>
      <c r="Q2251" t="s">
        <v>3771</v>
      </c>
      <c r="R2251" t="s">
        <v>446</v>
      </c>
      <c r="S2251" t="s">
        <v>446</v>
      </c>
      <c r="T2251" t="s">
        <v>1965</v>
      </c>
      <c r="U2251" t="b">
        <v>0</v>
      </c>
      <c r="V2251" t="s">
        <v>446</v>
      </c>
    </row>
    <row r="2252" spans="1:22" x14ac:dyDescent="0.25">
      <c r="A2252" t="s">
        <v>42</v>
      </c>
      <c r="B2252">
        <v>266</v>
      </c>
      <c r="C2252" t="s">
        <v>1005</v>
      </c>
      <c r="D2252" t="s">
        <v>5599</v>
      </c>
      <c r="E2252" t="s">
        <v>982</v>
      </c>
      <c r="F2252" t="s">
        <v>3218</v>
      </c>
      <c r="G2252" t="s">
        <v>24</v>
      </c>
      <c r="H2252" t="s">
        <v>26</v>
      </c>
      <c r="I2252" t="s">
        <v>3167</v>
      </c>
      <c r="J2252" t="s">
        <v>1003</v>
      </c>
      <c r="K2252" t="s">
        <v>3175</v>
      </c>
      <c r="L2252" t="s">
        <v>1003</v>
      </c>
      <c r="M2252" t="s">
        <v>1000</v>
      </c>
      <c r="N2252" t="s">
        <v>1001</v>
      </c>
      <c r="O2252" t="s">
        <v>1001</v>
      </c>
      <c r="P2252" t="s">
        <v>1746</v>
      </c>
      <c r="Q2252" t="s">
        <v>3771</v>
      </c>
      <c r="R2252" t="s">
        <v>446</v>
      </c>
      <c r="S2252" t="s">
        <v>446</v>
      </c>
      <c r="T2252" t="s">
        <v>1965</v>
      </c>
      <c r="U2252" t="b">
        <v>0</v>
      </c>
      <c r="V2252" t="s">
        <v>446</v>
      </c>
    </row>
    <row r="2253" spans="1:22" x14ac:dyDescent="0.25">
      <c r="A2253" t="s">
        <v>42</v>
      </c>
      <c r="B2253">
        <v>266</v>
      </c>
      <c r="C2253" t="s">
        <v>1007</v>
      </c>
      <c r="D2253" t="s">
        <v>5600</v>
      </c>
      <c r="E2253" t="s">
        <v>1006</v>
      </c>
      <c r="F2253" t="s">
        <v>3218</v>
      </c>
      <c r="G2253" t="s">
        <v>24</v>
      </c>
      <c r="H2253" t="s">
        <v>26</v>
      </c>
      <c r="I2253" t="s">
        <v>3167</v>
      </c>
      <c r="J2253" t="s">
        <v>1011</v>
      </c>
      <c r="K2253" t="s">
        <v>3179</v>
      </c>
      <c r="L2253" t="s">
        <v>1011</v>
      </c>
      <c r="M2253" t="s">
        <v>1008</v>
      </c>
      <c r="N2253" t="s">
        <v>1009</v>
      </c>
      <c r="O2253" t="s">
        <v>1009</v>
      </c>
      <c r="P2253" t="s">
        <v>1746</v>
      </c>
      <c r="Q2253" t="s">
        <v>3771</v>
      </c>
      <c r="R2253" t="s">
        <v>446</v>
      </c>
      <c r="S2253" t="s">
        <v>446</v>
      </c>
      <c r="T2253" t="s">
        <v>1965</v>
      </c>
      <c r="U2253" t="b">
        <v>0</v>
      </c>
      <c r="V2253" t="s">
        <v>446</v>
      </c>
    </row>
    <row r="2254" spans="1:22" x14ac:dyDescent="0.25">
      <c r="A2254" t="s">
        <v>42</v>
      </c>
      <c r="B2254">
        <v>266</v>
      </c>
      <c r="C2254" t="s">
        <v>1014</v>
      </c>
      <c r="D2254" t="s">
        <v>5601</v>
      </c>
      <c r="E2254" t="s">
        <v>1013</v>
      </c>
      <c r="F2254" t="s">
        <v>3218</v>
      </c>
      <c r="G2254" t="s">
        <v>24</v>
      </c>
      <c r="H2254" t="s">
        <v>26</v>
      </c>
      <c r="I2254" t="s">
        <v>3167</v>
      </c>
      <c r="J2254" t="s">
        <v>1016</v>
      </c>
      <c r="K2254" t="s">
        <v>3181</v>
      </c>
      <c r="L2254" t="s">
        <v>1016</v>
      </c>
      <c r="M2254" t="s">
        <v>980</v>
      </c>
      <c r="N2254" t="s">
        <v>1015</v>
      </c>
      <c r="O2254" t="s">
        <v>1015</v>
      </c>
      <c r="P2254" t="s">
        <v>1746</v>
      </c>
      <c r="Q2254" t="s">
        <v>3771</v>
      </c>
      <c r="R2254" t="s">
        <v>446</v>
      </c>
      <c r="S2254" t="s">
        <v>446</v>
      </c>
      <c r="T2254" t="s">
        <v>1965</v>
      </c>
      <c r="U2254" t="b">
        <v>0</v>
      </c>
      <c r="V2254" t="s">
        <v>446</v>
      </c>
    </row>
    <row r="2255" spans="1:22" x14ac:dyDescent="0.25">
      <c r="A2255" t="s">
        <v>42</v>
      </c>
      <c r="B2255">
        <v>266</v>
      </c>
      <c r="C2255" t="s">
        <v>1019</v>
      </c>
      <c r="D2255" t="s">
        <v>5602</v>
      </c>
      <c r="E2255" t="s">
        <v>1018</v>
      </c>
      <c r="F2255" t="s">
        <v>3218</v>
      </c>
      <c r="G2255" t="s">
        <v>24</v>
      </c>
      <c r="H2255" t="s">
        <v>26</v>
      </c>
      <c r="I2255" t="s">
        <v>3167</v>
      </c>
      <c r="J2255" t="s">
        <v>1021</v>
      </c>
      <c r="K2255" t="s">
        <v>3183</v>
      </c>
      <c r="L2255" t="s">
        <v>1021</v>
      </c>
      <c r="M2255" t="s">
        <v>980</v>
      </c>
      <c r="N2255" t="s">
        <v>1020</v>
      </c>
      <c r="O2255" t="s">
        <v>1020</v>
      </c>
      <c r="P2255" t="s">
        <v>1746</v>
      </c>
      <c r="Q2255" t="s">
        <v>3771</v>
      </c>
      <c r="R2255" t="s">
        <v>446</v>
      </c>
      <c r="S2255" t="s">
        <v>446</v>
      </c>
      <c r="T2255" t="s">
        <v>1965</v>
      </c>
      <c r="U2255" t="b">
        <v>0</v>
      </c>
      <c r="V2255" t="s">
        <v>446</v>
      </c>
    </row>
    <row r="2256" spans="1:22" x14ac:dyDescent="0.25">
      <c r="A2256" t="s">
        <v>42</v>
      </c>
      <c r="B2256">
        <v>266</v>
      </c>
      <c r="C2256" t="s">
        <v>1024</v>
      </c>
      <c r="D2256" t="s">
        <v>5603</v>
      </c>
      <c r="E2256" t="s">
        <v>1023</v>
      </c>
      <c r="F2256" t="s">
        <v>3218</v>
      </c>
      <c r="G2256" t="s">
        <v>24</v>
      </c>
      <c r="H2256" t="s">
        <v>26</v>
      </c>
      <c r="I2256" t="s">
        <v>3167</v>
      </c>
      <c r="J2256" t="s">
        <v>1026</v>
      </c>
      <c r="K2256" t="s">
        <v>3185</v>
      </c>
      <c r="L2256" t="s">
        <v>1026</v>
      </c>
      <c r="M2256" t="s">
        <v>1000</v>
      </c>
      <c r="N2256" t="s">
        <v>1025</v>
      </c>
      <c r="O2256" t="s">
        <v>1025</v>
      </c>
      <c r="P2256" t="s">
        <v>1746</v>
      </c>
      <c r="Q2256" t="s">
        <v>3771</v>
      </c>
      <c r="R2256" t="s">
        <v>446</v>
      </c>
      <c r="S2256" t="s">
        <v>446</v>
      </c>
      <c r="T2256" t="s">
        <v>1965</v>
      </c>
      <c r="U2256" t="b">
        <v>0</v>
      </c>
      <c r="V2256" t="s">
        <v>446</v>
      </c>
    </row>
    <row r="2257" spans="1:22" x14ac:dyDescent="0.25">
      <c r="A2257" t="s">
        <v>42</v>
      </c>
      <c r="B2257">
        <v>266</v>
      </c>
      <c r="C2257" t="s">
        <v>1028</v>
      </c>
      <c r="D2257" t="s">
        <v>5604</v>
      </c>
      <c r="E2257" t="s">
        <v>1010</v>
      </c>
      <c r="F2257" t="s">
        <v>3218</v>
      </c>
      <c r="G2257" t="s">
        <v>24</v>
      </c>
      <c r="H2257" t="s">
        <v>26</v>
      </c>
      <c r="I2257" t="s">
        <v>3167</v>
      </c>
      <c r="J2257" t="s">
        <v>1026</v>
      </c>
      <c r="K2257" t="s">
        <v>3185</v>
      </c>
      <c r="L2257" t="s">
        <v>1026</v>
      </c>
      <c r="M2257" t="s">
        <v>1000</v>
      </c>
      <c r="N2257" t="s">
        <v>1025</v>
      </c>
      <c r="O2257" t="s">
        <v>1025</v>
      </c>
      <c r="P2257" t="s">
        <v>1746</v>
      </c>
      <c r="Q2257" t="s">
        <v>3771</v>
      </c>
      <c r="R2257" t="s">
        <v>446</v>
      </c>
      <c r="S2257" t="s">
        <v>446</v>
      </c>
      <c r="T2257" t="s">
        <v>1965</v>
      </c>
      <c r="U2257" t="b">
        <v>0</v>
      </c>
      <c r="V2257" t="s">
        <v>446</v>
      </c>
    </row>
    <row r="2258" spans="1:22" x14ac:dyDescent="0.25">
      <c r="A2258" t="s">
        <v>42</v>
      </c>
      <c r="B2258">
        <v>266</v>
      </c>
      <c r="C2258" t="s">
        <v>1030</v>
      </c>
      <c r="D2258" t="s">
        <v>5605</v>
      </c>
      <c r="E2258" t="s">
        <v>1029</v>
      </c>
      <c r="F2258" t="s">
        <v>3218</v>
      </c>
      <c r="G2258" t="s">
        <v>24</v>
      </c>
      <c r="H2258" t="s">
        <v>26</v>
      </c>
      <c r="I2258" t="s">
        <v>3167</v>
      </c>
      <c r="J2258" t="s">
        <v>1033</v>
      </c>
      <c r="K2258" t="s">
        <v>3189</v>
      </c>
      <c r="L2258" t="s">
        <v>1033</v>
      </c>
      <c r="M2258" t="s">
        <v>980</v>
      </c>
      <c r="N2258" t="s">
        <v>1031</v>
      </c>
      <c r="O2258" t="s">
        <v>1031</v>
      </c>
      <c r="P2258" t="s">
        <v>1746</v>
      </c>
      <c r="Q2258" t="s">
        <v>3771</v>
      </c>
      <c r="R2258" t="s">
        <v>446</v>
      </c>
      <c r="S2258" t="s">
        <v>446</v>
      </c>
      <c r="T2258" t="s">
        <v>1965</v>
      </c>
      <c r="U2258" t="b">
        <v>0</v>
      </c>
      <c r="V2258" t="s">
        <v>446</v>
      </c>
    </row>
    <row r="2259" spans="1:22" x14ac:dyDescent="0.25">
      <c r="A2259" t="s">
        <v>42</v>
      </c>
      <c r="B2259">
        <v>266</v>
      </c>
      <c r="C2259" t="s">
        <v>1036</v>
      </c>
      <c r="D2259" t="s">
        <v>5606</v>
      </c>
      <c r="E2259" t="s">
        <v>1035</v>
      </c>
      <c r="F2259" t="s">
        <v>3218</v>
      </c>
      <c r="G2259" t="s">
        <v>24</v>
      </c>
      <c r="H2259" t="s">
        <v>26</v>
      </c>
      <c r="I2259" t="s">
        <v>3167</v>
      </c>
      <c r="J2259" t="s">
        <v>1038</v>
      </c>
      <c r="K2259" t="s">
        <v>3191</v>
      </c>
      <c r="L2259" t="s">
        <v>1038</v>
      </c>
      <c r="M2259" t="s">
        <v>980</v>
      </c>
      <c r="N2259" t="s">
        <v>1037</v>
      </c>
      <c r="O2259" t="s">
        <v>1037</v>
      </c>
      <c r="P2259" t="s">
        <v>1746</v>
      </c>
      <c r="Q2259" t="s">
        <v>3771</v>
      </c>
      <c r="R2259" t="s">
        <v>446</v>
      </c>
      <c r="S2259" t="s">
        <v>446</v>
      </c>
      <c r="T2259" t="s">
        <v>1965</v>
      </c>
      <c r="U2259" t="b">
        <v>0</v>
      </c>
      <c r="V2259" t="s">
        <v>446</v>
      </c>
    </row>
    <row r="2260" spans="1:22" x14ac:dyDescent="0.25">
      <c r="A2260" t="s">
        <v>42</v>
      </c>
      <c r="B2260">
        <v>266</v>
      </c>
      <c r="C2260" t="s">
        <v>1041</v>
      </c>
      <c r="D2260" t="s">
        <v>5607</v>
      </c>
      <c r="E2260" t="s">
        <v>1040</v>
      </c>
      <c r="F2260" t="s">
        <v>3218</v>
      </c>
      <c r="G2260" t="s">
        <v>24</v>
      </c>
      <c r="H2260" t="s">
        <v>26</v>
      </c>
      <c r="I2260" t="s">
        <v>3167</v>
      </c>
      <c r="J2260" t="s">
        <v>1043</v>
      </c>
      <c r="K2260" t="s">
        <v>3193</v>
      </c>
      <c r="L2260" t="s">
        <v>1043</v>
      </c>
      <c r="M2260" t="s">
        <v>980</v>
      </c>
      <c r="N2260" t="s">
        <v>1042</v>
      </c>
      <c r="O2260" t="s">
        <v>1042</v>
      </c>
      <c r="P2260" t="s">
        <v>1746</v>
      </c>
      <c r="Q2260" t="s">
        <v>3771</v>
      </c>
      <c r="R2260" t="s">
        <v>446</v>
      </c>
      <c r="S2260" t="s">
        <v>446</v>
      </c>
      <c r="T2260" t="s">
        <v>1965</v>
      </c>
      <c r="U2260" t="b">
        <v>0</v>
      </c>
      <c r="V2260" t="s">
        <v>446</v>
      </c>
    </row>
    <row r="2261" spans="1:22" x14ac:dyDescent="0.25">
      <c r="A2261" t="s">
        <v>42</v>
      </c>
      <c r="B2261">
        <v>266</v>
      </c>
      <c r="C2261" t="s">
        <v>1046</v>
      </c>
      <c r="D2261" t="s">
        <v>5608</v>
      </c>
      <c r="E2261" t="s">
        <v>1045</v>
      </c>
      <c r="F2261" t="s">
        <v>3218</v>
      </c>
      <c r="G2261" t="s">
        <v>24</v>
      </c>
      <c r="H2261" t="s">
        <v>26</v>
      </c>
      <c r="I2261" t="s">
        <v>3167</v>
      </c>
      <c r="J2261" t="s">
        <v>1048</v>
      </c>
      <c r="K2261" t="s">
        <v>3195</v>
      </c>
      <c r="L2261" t="s">
        <v>1048</v>
      </c>
      <c r="M2261" t="s">
        <v>1000</v>
      </c>
      <c r="N2261" t="s">
        <v>1047</v>
      </c>
      <c r="O2261" t="s">
        <v>1047</v>
      </c>
      <c r="P2261" t="s">
        <v>1746</v>
      </c>
      <c r="Q2261" t="s">
        <v>3771</v>
      </c>
      <c r="R2261" t="s">
        <v>446</v>
      </c>
      <c r="S2261" t="s">
        <v>446</v>
      </c>
      <c r="T2261" t="s">
        <v>1965</v>
      </c>
      <c r="U2261" t="b">
        <v>0</v>
      </c>
      <c r="V2261" t="s">
        <v>446</v>
      </c>
    </row>
    <row r="2262" spans="1:22" x14ac:dyDescent="0.25">
      <c r="A2262" t="s">
        <v>42</v>
      </c>
      <c r="B2262">
        <v>266</v>
      </c>
      <c r="C2262" t="s">
        <v>1050</v>
      </c>
      <c r="D2262" t="s">
        <v>5609</v>
      </c>
      <c r="E2262" t="s">
        <v>1032</v>
      </c>
      <c r="F2262" t="s">
        <v>3218</v>
      </c>
      <c r="G2262" t="s">
        <v>24</v>
      </c>
      <c r="H2262" t="s">
        <v>26</v>
      </c>
      <c r="I2262" t="s">
        <v>3167</v>
      </c>
      <c r="J2262" t="s">
        <v>1048</v>
      </c>
      <c r="K2262" t="s">
        <v>3195</v>
      </c>
      <c r="L2262" t="s">
        <v>1048</v>
      </c>
      <c r="M2262" t="s">
        <v>1000</v>
      </c>
      <c r="N2262" t="s">
        <v>1047</v>
      </c>
      <c r="O2262" t="s">
        <v>1047</v>
      </c>
      <c r="P2262" t="s">
        <v>1746</v>
      </c>
      <c r="Q2262" t="s">
        <v>3771</v>
      </c>
      <c r="R2262" t="s">
        <v>446</v>
      </c>
      <c r="S2262" t="s">
        <v>446</v>
      </c>
      <c r="T2262" t="s">
        <v>1965</v>
      </c>
      <c r="U2262" t="b">
        <v>0</v>
      </c>
      <c r="V2262" t="s">
        <v>446</v>
      </c>
    </row>
    <row r="2263" spans="1:22" x14ac:dyDescent="0.25">
      <c r="A2263" t="s">
        <v>42</v>
      </c>
      <c r="B2263">
        <v>266</v>
      </c>
      <c r="C2263" t="s">
        <v>1052</v>
      </c>
      <c r="D2263" t="s">
        <v>5610</v>
      </c>
      <c r="E2263" t="s">
        <v>1051</v>
      </c>
      <c r="F2263" t="s">
        <v>3218</v>
      </c>
      <c r="G2263" t="s">
        <v>24</v>
      </c>
      <c r="H2263" t="s">
        <v>26</v>
      </c>
      <c r="I2263" t="s">
        <v>3167</v>
      </c>
      <c r="J2263" t="s">
        <v>1055</v>
      </c>
      <c r="K2263" t="s">
        <v>3199</v>
      </c>
      <c r="L2263" t="s">
        <v>1055</v>
      </c>
      <c r="M2263" t="s">
        <v>980</v>
      </c>
      <c r="N2263" t="s">
        <v>1053</v>
      </c>
      <c r="O2263" t="s">
        <v>1053</v>
      </c>
      <c r="P2263" t="s">
        <v>1746</v>
      </c>
      <c r="Q2263" t="s">
        <v>3771</v>
      </c>
      <c r="R2263" t="s">
        <v>446</v>
      </c>
      <c r="S2263" t="s">
        <v>446</v>
      </c>
      <c r="T2263" t="s">
        <v>1965</v>
      </c>
      <c r="U2263" t="b">
        <v>0</v>
      </c>
      <c r="V2263" t="s">
        <v>446</v>
      </c>
    </row>
    <row r="2264" spans="1:22" x14ac:dyDescent="0.25">
      <c r="A2264" t="s">
        <v>42</v>
      </c>
      <c r="B2264">
        <v>267</v>
      </c>
      <c r="C2264" t="s">
        <v>979</v>
      </c>
      <c r="D2264" t="s">
        <v>5611</v>
      </c>
      <c r="E2264" t="s">
        <v>978</v>
      </c>
      <c r="F2264" t="s">
        <v>5612</v>
      </c>
      <c r="G2264" t="s">
        <v>24</v>
      </c>
      <c r="H2264" t="s">
        <v>26</v>
      </c>
      <c r="I2264" t="s">
        <v>3167</v>
      </c>
      <c r="J2264" t="s">
        <v>984</v>
      </c>
      <c r="K2264" t="s">
        <v>3168</v>
      </c>
      <c r="L2264" t="s">
        <v>984</v>
      </c>
      <c r="M2264" t="s">
        <v>980</v>
      </c>
      <c r="N2264" t="s">
        <v>981</v>
      </c>
      <c r="O2264" t="s">
        <v>981</v>
      </c>
      <c r="P2264" t="s">
        <v>1746</v>
      </c>
      <c r="Q2264" t="s">
        <v>3771</v>
      </c>
      <c r="R2264" t="s">
        <v>446</v>
      </c>
      <c r="S2264" t="s">
        <v>446</v>
      </c>
      <c r="T2264" t="s">
        <v>1965</v>
      </c>
      <c r="U2264" t="b">
        <v>0</v>
      </c>
      <c r="V2264" t="s">
        <v>446</v>
      </c>
    </row>
    <row r="2265" spans="1:22" x14ac:dyDescent="0.25">
      <c r="A2265" t="s">
        <v>42</v>
      </c>
      <c r="B2265">
        <v>267</v>
      </c>
      <c r="C2265" t="s">
        <v>987</v>
      </c>
      <c r="D2265" t="s">
        <v>5613</v>
      </c>
      <c r="E2265" t="s">
        <v>986</v>
      </c>
      <c r="F2265" t="s">
        <v>5614</v>
      </c>
      <c r="G2265" t="s">
        <v>24</v>
      </c>
      <c r="H2265" t="s">
        <v>26</v>
      </c>
      <c r="I2265" t="s">
        <v>3167</v>
      </c>
      <c r="J2265" t="s">
        <v>990</v>
      </c>
      <c r="K2265" t="s">
        <v>3171</v>
      </c>
      <c r="L2265" t="s">
        <v>990</v>
      </c>
      <c r="M2265" t="s">
        <v>980</v>
      </c>
      <c r="N2265" t="s">
        <v>988</v>
      </c>
      <c r="O2265" t="s">
        <v>988</v>
      </c>
      <c r="P2265" t="s">
        <v>1746</v>
      </c>
      <c r="Q2265" t="s">
        <v>3771</v>
      </c>
      <c r="R2265" t="s">
        <v>446</v>
      </c>
      <c r="S2265" t="s">
        <v>446</v>
      </c>
      <c r="T2265" t="s">
        <v>1965</v>
      </c>
      <c r="U2265" t="b">
        <v>0</v>
      </c>
      <c r="V2265" t="s">
        <v>446</v>
      </c>
    </row>
    <row r="2266" spans="1:22" x14ac:dyDescent="0.25">
      <c r="A2266" t="s">
        <v>42</v>
      </c>
      <c r="B2266">
        <v>267</v>
      </c>
      <c r="C2266" t="s">
        <v>993</v>
      </c>
      <c r="D2266" t="s">
        <v>5615</v>
      </c>
      <c r="E2266" t="s">
        <v>992</v>
      </c>
      <c r="F2266" t="s">
        <v>5616</v>
      </c>
      <c r="G2266" t="s">
        <v>24</v>
      </c>
      <c r="H2266" t="s">
        <v>26</v>
      </c>
      <c r="I2266" t="s">
        <v>3167</v>
      </c>
      <c r="J2266" t="s">
        <v>996</v>
      </c>
      <c r="K2266" t="s">
        <v>3173</v>
      </c>
      <c r="L2266" t="s">
        <v>996</v>
      </c>
      <c r="M2266" t="s">
        <v>980</v>
      </c>
      <c r="N2266" t="s">
        <v>994</v>
      </c>
      <c r="O2266" t="s">
        <v>994</v>
      </c>
      <c r="P2266" t="s">
        <v>1746</v>
      </c>
      <c r="Q2266" t="s">
        <v>3771</v>
      </c>
      <c r="R2266" t="s">
        <v>446</v>
      </c>
      <c r="S2266" t="s">
        <v>446</v>
      </c>
      <c r="T2266" t="s">
        <v>1965</v>
      </c>
      <c r="U2266" t="b">
        <v>0</v>
      </c>
      <c r="V2266" t="s">
        <v>446</v>
      </c>
    </row>
    <row r="2267" spans="1:22" x14ac:dyDescent="0.25">
      <c r="A2267" t="s">
        <v>42</v>
      </c>
      <c r="B2267">
        <v>267</v>
      </c>
      <c r="C2267" t="s">
        <v>999</v>
      </c>
      <c r="D2267" t="s">
        <v>5617</v>
      </c>
      <c r="E2267" t="s">
        <v>998</v>
      </c>
      <c r="F2267" t="s">
        <v>5618</v>
      </c>
      <c r="G2267" t="s">
        <v>24</v>
      </c>
      <c r="H2267" t="s">
        <v>26</v>
      </c>
      <c r="I2267" t="s">
        <v>3167</v>
      </c>
      <c r="J2267" t="s">
        <v>1003</v>
      </c>
      <c r="K2267" t="s">
        <v>3175</v>
      </c>
      <c r="L2267" t="s">
        <v>1003</v>
      </c>
      <c r="M2267" t="s">
        <v>1000</v>
      </c>
      <c r="N2267" t="s">
        <v>1001</v>
      </c>
      <c r="O2267" t="s">
        <v>1001</v>
      </c>
      <c r="P2267" t="s">
        <v>1746</v>
      </c>
      <c r="Q2267" t="s">
        <v>3771</v>
      </c>
      <c r="R2267" t="s">
        <v>446</v>
      </c>
      <c r="S2267" t="s">
        <v>446</v>
      </c>
      <c r="T2267" t="s">
        <v>1965</v>
      </c>
      <c r="U2267" t="b">
        <v>0</v>
      </c>
      <c r="V2267" t="s">
        <v>446</v>
      </c>
    </row>
    <row r="2268" spans="1:22" x14ac:dyDescent="0.25">
      <c r="A2268" t="s">
        <v>42</v>
      </c>
      <c r="B2268">
        <v>267</v>
      </c>
      <c r="C2268" t="s">
        <v>1005</v>
      </c>
      <c r="D2268" t="s">
        <v>5619</v>
      </c>
      <c r="E2268" t="s">
        <v>982</v>
      </c>
      <c r="F2268" t="s">
        <v>5620</v>
      </c>
      <c r="G2268" t="s">
        <v>24</v>
      </c>
      <c r="H2268" t="s">
        <v>26</v>
      </c>
      <c r="I2268" t="s">
        <v>3167</v>
      </c>
      <c r="J2268" t="s">
        <v>1003</v>
      </c>
      <c r="K2268" t="s">
        <v>3175</v>
      </c>
      <c r="L2268" t="s">
        <v>1003</v>
      </c>
      <c r="M2268" t="s">
        <v>1000</v>
      </c>
      <c r="N2268" t="s">
        <v>1001</v>
      </c>
      <c r="O2268" t="s">
        <v>1001</v>
      </c>
      <c r="P2268" t="s">
        <v>1746</v>
      </c>
      <c r="Q2268" t="s">
        <v>3771</v>
      </c>
      <c r="R2268" t="s">
        <v>446</v>
      </c>
      <c r="S2268" t="s">
        <v>446</v>
      </c>
      <c r="T2268" t="s">
        <v>1965</v>
      </c>
      <c r="U2268" t="b">
        <v>0</v>
      </c>
      <c r="V2268" t="s">
        <v>446</v>
      </c>
    </row>
    <row r="2269" spans="1:22" x14ac:dyDescent="0.25">
      <c r="A2269" t="s">
        <v>42</v>
      </c>
      <c r="B2269">
        <v>267</v>
      </c>
      <c r="C2269" t="s">
        <v>1007</v>
      </c>
      <c r="D2269" t="s">
        <v>5621</v>
      </c>
      <c r="E2269" t="s">
        <v>1006</v>
      </c>
      <c r="F2269" t="s">
        <v>5622</v>
      </c>
      <c r="G2269" t="s">
        <v>24</v>
      </c>
      <c r="H2269" t="s">
        <v>26</v>
      </c>
      <c r="I2269" t="s">
        <v>3167</v>
      </c>
      <c r="J2269" t="s">
        <v>1011</v>
      </c>
      <c r="K2269" t="s">
        <v>3179</v>
      </c>
      <c r="L2269" t="s">
        <v>1011</v>
      </c>
      <c r="M2269" t="s">
        <v>1008</v>
      </c>
      <c r="N2269" t="s">
        <v>1009</v>
      </c>
      <c r="O2269" t="s">
        <v>1009</v>
      </c>
      <c r="P2269" t="s">
        <v>1746</v>
      </c>
      <c r="Q2269" t="s">
        <v>3771</v>
      </c>
      <c r="R2269" t="s">
        <v>446</v>
      </c>
      <c r="S2269" t="s">
        <v>446</v>
      </c>
      <c r="T2269" t="s">
        <v>1965</v>
      </c>
      <c r="U2269" t="b">
        <v>0</v>
      </c>
      <c r="V2269" t="s">
        <v>446</v>
      </c>
    </row>
    <row r="2270" spans="1:22" x14ac:dyDescent="0.25">
      <c r="A2270" t="s">
        <v>42</v>
      </c>
      <c r="B2270">
        <v>267</v>
      </c>
      <c r="C2270" t="s">
        <v>1014</v>
      </c>
      <c r="D2270" t="s">
        <v>5623</v>
      </c>
      <c r="E2270" t="s">
        <v>1013</v>
      </c>
      <c r="F2270" t="s">
        <v>5624</v>
      </c>
      <c r="G2270" t="s">
        <v>24</v>
      </c>
      <c r="H2270" t="s">
        <v>26</v>
      </c>
      <c r="I2270" t="s">
        <v>3167</v>
      </c>
      <c r="J2270" t="s">
        <v>1016</v>
      </c>
      <c r="K2270" t="s">
        <v>3181</v>
      </c>
      <c r="L2270" t="s">
        <v>1016</v>
      </c>
      <c r="M2270" t="s">
        <v>980</v>
      </c>
      <c r="N2270" t="s">
        <v>1015</v>
      </c>
      <c r="O2270" t="s">
        <v>1015</v>
      </c>
      <c r="P2270" t="s">
        <v>1746</v>
      </c>
      <c r="Q2270" t="s">
        <v>3771</v>
      </c>
      <c r="R2270" t="s">
        <v>446</v>
      </c>
      <c r="S2270" t="s">
        <v>446</v>
      </c>
      <c r="T2270" t="s">
        <v>1965</v>
      </c>
      <c r="U2270" t="b">
        <v>0</v>
      </c>
      <c r="V2270" t="s">
        <v>446</v>
      </c>
    </row>
    <row r="2271" spans="1:22" x14ac:dyDescent="0.25">
      <c r="A2271" t="s">
        <v>42</v>
      </c>
      <c r="B2271">
        <v>267</v>
      </c>
      <c r="C2271" t="s">
        <v>1019</v>
      </c>
      <c r="D2271" t="s">
        <v>5625</v>
      </c>
      <c r="E2271" t="s">
        <v>1018</v>
      </c>
      <c r="F2271" t="s">
        <v>5626</v>
      </c>
      <c r="G2271" t="s">
        <v>24</v>
      </c>
      <c r="H2271" t="s">
        <v>26</v>
      </c>
      <c r="I2271" t="s">
        <v>3167</v>
      </c>
      <c r="J2271" t="s">
        <v>1021</v>
      </c>
      <c r="K2271" t="s">
        <v>3183</v>
      </c>
      <c r="L2271" t="s">
        <v>1021</v>
      </c>
      <c r="M2271" t="s">
        <v>980</v>
      </c>
      <c r="N2271" t="s">
        <v>1020</v>
      </c>
      <c r="O2271" t="s">
        <v>1020</v>
      </c>
      <c r="P2271" t="s">
        <v>1746</v>
      </c>
      <c r="Q2271" t="s">
        <v>3771</v>
      </c>
      <c r="R2271" t="s">
        <v>446</v>
      </c>
      <c r="S2271" t="s">
        <v>446</v>
      </c>
      <c r="T2271" t="s">
        <v>1965</v>
      </c>
      <c r="U2271" t="b">
        <v>0</v>
      </c>
      <c r="V2271" t="s">
        <v>446</v>
      </c>
    </row>
    <row r="2272" spans="1:22" x14ac:dyDescent="0.25">
      <c r="A2272" t="s">
        <v>42</v>
      </c>
      <c r="B2272">
        <v>267</v>
      </c>
      <c r="C2272" t="s">
        <v>1024</v>
      </c>
      <c r="D2272" t="s">
        <v>5627</v>
      </c>
      <c r="E2272" t="s">
        <v>1023</v>
      </c>
      <c r="F2272" t="s">
        <v>5628</v>
      </c>
      <c r="G2272" t="s">
        <v>24</v>
      </c>
      <c r="H2272" t="s">
        <v>26</v>
      </c>
      <c r="I2272" t="s">
        <v>3167</v>
      </c>
      <c r="J2272" t="s">
        <v>1026</v>
      </c>
      <c r="K2272" t="s">
        <v>3185</v>
      </c>
      <c r="L2272" t="s">
        <v>1026</v>
      </c>
      <c r="M2272" t="s">
        <v>1000</v>
      </c>
      <c r="N2272" t="s">
        <v>1025</v>
      </c>
      <c r="O2272" t="s">
        <v>1025</v>
      </c>
      <c r="P2272" t="s">
        <v>1746</v>
      </c>
      <c r="Q2272" t="s">
        <v>3771</v>
      </c>
      <c r="R2272" t="s">
        <v>446</v>
      </c>
      <c r="S2272" t="s">
        <v>446</v>
      </c>
      <c r="T2272" t="s">
        <v>1965</v>
      </c>
      <c r="U2272" t="b">
        <v>0</v>
      </c>
      <c r="V2272" t="s">
        <v>446</v>
      </c>
    </row>
    <row r="2273" spans="1:22" x14ac:dyDescent="0.25">
      <c r="A2273" t="s">
        <v>42</v>
      </c>
      <c r="B2273">
        <v>267</v>
      </c>
      <c r="C2273" t="s">
        <v>1028</v>
      </c>
      <c r="D2273" t="s">
        <v>5629</v>
      </c>
      <c r="E2273" t="s">
        <v>1010</v>
      </c>
      <c r="F2273" t="s">
        <v>5630</v>
      </c>
      <c r="G2273" t="s">
        <v>24</v>
      </c>
      <c r="H2273" t="s">
        <v>26</v>
      </c>
      <c r="I2273" t="s">
        <v>3167</v>
      </c>
      <c r="J2273" t="s">
        <v>1026</v>
      </c>
      <c r="K2273" t="s">
        <v>3185</v>
      </c>
      <c r="L2273" t="s">
        <v>1026</v>
      </c>
      <c r="M2273" t="s">
        <v>1000</v>
      </c>
      <c r="N2273" t="s">
        <v>1025</v>
      </c>
      <c r="O2273" t="s">
        <v>1025</v>
      </c>
      <c r="P2273" t="s">
        <v>1746</v>
      </c>
      <c r="Q2273" t="s">
        <v>3771</v>
      </c>
      <c r="R2273" t="s">
        <v>446</v>
      </c>
      <c r="S2273" t="s">
        <v>446</v>
      </c>
      <c r="T2273" t="s">
        <v>1965</v>
      </c>
      <c r="U2273" t="b">
        <v>0</v>
      </c>
      <c r="V2273" t="s">
        <v>446</v>
      </c>
    </row>
    <row r="2274" spans="1:22" x14ac:dyDescent="0.25">
      <c r="A2274" t="s">
        <v>42</v>
      </c>
      <c r="B2274">
        <v>267</v>
      </c>
      <c r="C2274" t="s">
        <v>1030</v>
      </c>
      <c r="D2274" t="s">
        <v>5631</v>
      </c>
      <c r="E2274" t="s">
        <v>1029</v>
      </c>
      <c r="F2274" t="s">
        <v>4490</v>
      </c>
      <c r="G2274" t="s">
        <v>24</v>
      </c>
      <c r="H2274" t="s">
        <v>26</v>
      </c>
      <c r="I2274" t="s">
        <v>3167</v>
      </c>
      <c r="J2274" t="s">
        <v>1033</v>
      </c>
      <c r="K2274" t="s">
        <v>3189</v>
      </c>
      <c r="L2274" t="s">
        <v>1033</v>
      </c>
      <c r="M2274" t="s">
        <v>980</v>
      </c>
      <c r="N2274" t="s">
        <v>1031</v>
      </c>
      <c r="O2274" t="s">
        <v>1031</v>
      </c>
      <c r="P2274" t="s">
        <v>1746</v>
      </c>
      <c r="Q2274" t="s">
        <v>3771</v>
      </c>
      <c r="R2274" t="s">
        <v>446</v>
      </c>
      <c r="S2274" t="s">
        <v>446</v>
      </c>
      <c r="T2274" t="s">
        <v>1965</v>
      </c>
      <c r="U2274" t="b">
        <v>0</v>
      </c>
      <c r="V2274" t="s">
        <v>446</v>
      </c>
    </row>
    <row r="2275" spans="1:22" x14ac:dyDescent="0.25">
      <c r="A2275" t="s">
        <v>42</v>
      </c>
      <c r="B2275">
        <v>267</v>
      </c>
      <c r="C2275" t="s">
        <v>1036</v>
      </c>
      <c r="D2275" t="s">
        <v>5632</v>
      </c>
      <c r="E2275" t="s">
        <v>1035</v>
      </c>
      <c r="F2275" t="s">
        <v>5633</v>
      </c>
      <c r="G2275" t="s">
        <v>24</v>
      </c>
      <c r="H2275" t="s">
        <v>26</v>
      </c>
      <c r="I2275" t="s">
        <v>3167</v>
      </c>
      <c r="J2275" t="s">
        <v>1038</v>
      </c>
      <c r="K2275" t="s">
        <v>3191</v>
      </c>
      <c r="L2275" t="s">
        <v>1038</v>
      </c>
      <c r="M2275" t="s">
        <v>980</v>
      </c>
      <c r="N2275" t="s">
        <v>1037</v>
      </c>
      <c r="O2275" t="s">
        <v>1037</v>
      </c>
      <c r="P2275" t="s">
        <v>1746</v>
      </c>
      <c r="Q2275" t="s">
        <v>3771</v>
      </c>
      <c r="R2275" t="s">
        <v>446</v>
      </c>
      <c r="S2275" t="s">
        <v>446</v>
      </c>
      <c r="T2275" t="s">
        <v>1965</v>
      </c>
      <c r="U2275" t="b">
        <v>0</v>
      </c>
      <c r="V2275" t="s">
        <v>446</v>
      </c>
    </row>
    <row r="2276" spans="1:22" x14ac:dyDescent="0.25">
      <c r="A2276" t="s">
        <v>42</v>
      </c>
      <c r="B2276">
        <v>267</v>
      </c>
      <c r="C2276" t="s">
        <v>1041</v>
      </c>
      <c r="D2276" t="s">
        <v>5634</v>
      </c>
      <c r="E2276" t="s">
        <v>1040</v>
      </c>
      <c r="F2276" t="s">
        <v>5635</v>
      </c>
      <c r="G2276" t="s">
        <v>24</v>
      </c>
      <c r="H2276" t="s">
        <v>26</v>
      </c>
      <c r="I2276" t="s">
        <v>3167</v>
      </c>
      <c r="J2276" t="s">
        <v>1043</v>
      </c>
      <c r="K2276" t="s">
        <v>3193</v>
      </c>
      <c r="L2276" t="s">
        <v>1043</v>
      </c>
      <c r="M2276" t="s">
        <v>980</v>
      </c>
      <c r="N2276" t="s">
        <v>1042</v>
      </c>
      <c r="O2276" t="s">
        <v>1042</v>
      </c>
      <c r="P2276" t="s">
        <v>1746</v>
      </c>
      <c r="Q2276" t="s">
        <v>3771</v>
      </c>
      <c r="R2276" t="s">
        <v>446</v>
      </c>
      <c r="S2276" t="s">
        <v>446</v>
      </c>
      <c r="T2276" t="s">
        <v>1965</v>
      </c>
      <c r="U2276" t="b">
        <v>0</v>
      </c>
      <c r="V2276" t="s">
        <v>446</v>
      </c>
    </row>
    <row r="2277" spans="1:22" x14ac:dyDescent="0.25">
      <c r="A2277" t="s">
        <v>42</v>
      </c>
      <c r="B2277">
        <v>267</v>
      </c>
      <c r="C2277" t="s">
        <v>1046</v>
      </c>
      <c r="D2277" t="s">
        <v>5636</v>
      </c>
      <c r="E2277" t="s">
        <v>1045</v>
      </c>
      <c r="F2277" t="s">
        <v>5637</v>
      </c>
      <c r="G2277" t="s">
        <v>24</v>
      </c>
      <c r="H2277" t="s">
        <v>26</v>
      </c>
      <c r="I2277" t="s">
        <v>3167</v>
      </c>
      <c r="J2277" t="s">
        <v>1048</v>
      </c>
      <c r="K2277" t="s">
        <v>3195</v>
      </c>
      <c r="L2277" t="s">
        <v>1048</v>
      </c>
      <c r="M2277" t="s">
        <v>1000</v>
      </c>
      <c r="N2277" t="s">
        <v>1047</v>
      </c>
      <c r="O2277" t="s">
        <v>1047</v>
      </c>
      <c r="P2277" t="s">
        <v>1746</v>
      </c>
      <c r="Q2277" t="s">
        <v>3771</v>
      </c>
      <c r="R2277" t="s">
        <v>446</v>
      </c>
      <c r="S2277" t="s">
        <v>446</v>
      </c>
      <c r="T2277" t="s">
        <v>1965</v>
      </c>
      <c r="U2277" t="b">
        <v>0</v>
      </c>
      <c r="V2277" t="s">
        <v>446</v>
      </c>
    </row>
    <row r="2278" spans="1:22" x14ac:dyDescent="0.25">
      <c r="A2278" t="s">
        <v>42</v>
      </c>
      <c r="B2278">
        <v>267</v>
      </c>
      <c r="C2278" t="s">
        <v>1050</v>
      </c>
      <c r="D2278" t="s">
        <v>5638</v>
      </c>
      <c r="E2278" t="s">
        <v>1032</v>
      </c>
      <c r="F2278" t="s">
        <v>5639</v>
      </c>
      <c r="G2278" t="s">
        <v>24</v>
      </c>
      <c r="H2278" t="s">
        <v>26</v>
      </c>
      <c r="I2278" t="s">
        <v>3167</v>
      </c>
      <c r="J2278" t="s">
        <v>1048</v>
      </c>
      <c r="K2278" t="s">
        <v>3195</v>
      </c>
      <c r="L2278" t="s">
        <v>1048</v>
      </c>
      <c r="M2278" t="s">
        <v>1000</v>
      </c>
      <c r="N2278" t="s">
        <v>1047</v>
      </c>
      <c r="O2278" t="s">
        <v>1047</v>
      </c>
      <c r="P2278" t="s">
        <v>1746</v>
      </c>
      <c r="Q2278" t="s">
        <v>3771</v>
      </c>
      <c r="R2278" t="s">
        <v>446</v>
      </c>
      <c r="S2278" t="s">
        <v>446</v>
      </c>
      <c r="T2278" t="s">
        <v>1965</v>
      </c>
      <c r="U2278" t="b">
        <v>0</v>
      </c>
      <c r="V2278" t="s">
        <v>446</v>
      </c>
    </row>
    <row r="2279" spans="1:22" x14ac:dyDescent="0.25">
      <c r="A2279" t="s">
        <v>42</v>
      </c>
      <c r="B2279">
        <v>267</v>
      </c>
      <c r="C2279" t="s">
        <v>1052</v>
      </c>
      <c r="D2279" t="s">
        <v>5640</v>
      </c>
      <c r="E2279" t="s">
        <v>1051</v>
      </c>
      <c r="F2279" t="s">
        <v>5641</v>
      </c>
      <c r="G2279" t="s">
        <v>24</v>
      </c>
      <c r="H2279" t="s">
        <v>26</v>
      </c>
      <c r="I2279" t="s">
        <v>3167</v>
      </c>
      <c r="J2279" t="s">
        <v>1055</v>
      </c>
      <c r="K2279" t="s">
        <v>3199</v>
      </c>
      <c r="L2279" t="s">
        <v>1055</v>
      </c>
      <c r="M2279" t="s">
        <v>980</v>
      </c>
      <c r="N2279" t="s">
        <v>1053</v>
      </c>
      <c r="O2279" t="s">
        <v>1053</v>
      </c>
      <c r="P2279" t="s">
        <v>1746</v>
      </c>
      <c r="Q2279" t="s">
        <v>3771</v>
      </c>
      <c r="R2279" t="s">
        <v>446</v>
      </c>
      <c r="S2279" t="s">
        <v>446</v>
      </c>
      <c r="T2279" t="s">
        <v>1965</v>
      </c>
      <c r="U2279" t="b">
        <v>0</v>
      </c>
      <c r="V2279" t="s">
        <v>446</v>
      </c>
    </row>
    <row r="2280" spans="1:22" x14ac:dyDescent="0.25">
      <c r="A2280" t="s">
        <v>42</v>
      </c>
      <c r="B2280">
        <v>271</v>
      </c>
      <c r="C2280" t="s">
        <v>979</v>
      </c>
      <c r="D2280" t="s">
        <v>1870</v>
      </c>
      <c r="E2280" t="s">
        <v>978</v>
      </c>
      <c r="G2280" t="s">
        <v>24</v>
      </c>
      <c r="H2280" t="s">
        <v>26</v>
      </c>
      <c r="I2280" t="s">
        <v>3167</v>
      </c>
      <c r="J2280" t="s">
        <v>984</v>
      </c>
      <c r="K2280" t="s">
        <v>3168</v>
      </c>
      <c r="L2280" t="s">
        <v>984</v>
      </c>
      <c r="M2280" t="s">
        <v>980</v>
      </c>
      <c r="N2280" t="s">
        <v>981</v>
      </c>
      <c r="O2280" t="s">
        <v>981</v>
      </c>
      <c r="P2280" t="s">
        <v>1746</v>
      </c>
      <c r="Q2280" t="s">
        <v>3771</v>
      </c>
      <c r="R2280" t="s">
        <v>446</v>
      </c>
      <c r="S2280" t="s">
        <v>446</v>
      </c>
      <c r="T2280" t="s">
        <v>3216</v>
      </c>
      <c r="U2280" t="b">
        <v>0</v>
      </c>
      <c r="V2280" t="s">
        <v>1094</v>
      </c>
    </row>
    <row r="2281" spans="1:22" x14ac:dyDescent="0.25">
      <c r="A2281" t="s">
        <v>42</v>
      </c>
      <c r="B2281">
        <v>271</v>
      </c>
      <c r="C2281" t="s">
        <v>987</v>
      </c>
      <c r="D2281" t="s">
        <v>1871</v>
      </c>
      <c r="E2281" t="s">
        <v>986</v>
      </c>
      <c r="G2281" t="s">
        <v>24</v>
      </c>
      <c r="H2281" t="s">
        <v>26</v>
      </c>
      <c r="I2281" t="s">
        <v>3167</v>
      </c>
      <c r="J2281" t="s">
        <v>990</v>
      </c>
      <c r="K2281" t="s">
        <v>3171</v>
      </c>
      <c r="L2281" t="s">
        <v>990</v>
      </c>
      <c r="M2281" t="s">
        <v>980</v>
      </c>
      <c r="N2281" t="s">
        <v>988</v>
      </c>
      <c r="O2281" t="s">
        <v>988</v>
      </c>
      <c r="P2281" t="s">
        <v>1746</v>
      </c>
      <c r="Q2281" t="s">
        <v>3771</v>
      </c>
      <c r="R2281" t="s">
        <v>446</v>
      </c>
      <c r="S2281" t="s">
        <v>446</v>
      </c>
      <c r="T2281" t="s">
        <v>3216</v>
      </c>
      <c r="U2281" t="b">
        <v>0</v>
      </c>
      <c r="V2281" t="s">
        <v>1094</v>
      </c>
    </row>
    <row r="2282" spans="1:22" x14ac:dyDescent="0.25">
      <c r="A2282" t="s">
        <v>42</v>
      </c>
      <c r="B2282">
        <v>271</v>
      </c>
      <c r="C2282" t="s">
        <v>993</v>
      </c>
      <c r="D2282" t="s">
        <v>1872</v>
      </c>
      <c r="E2282" t="s">
        <v>992</v>
      </c>
      <c r="G2282" t="s">
        <v>24</v>
      </c>
      <c r="H2282" t="s">
        <v>26</v>
      </c>
      <c r="I2282" t="s">
        <v>3167</v>
      </c>
      <c r="J2282" t="s">
        <v>996</v>
      </c>
      <c r="K2282" t="s">
        <v>3173</v>
      </c>
      <c r="L2282" t="s">
        <v>996</v>
      </c>
      <c r="M2282" t="s">
        <v>980</v>
      </c>
      <c r="N2282" t="s">
        <v>994</v>
      </c>
      <c r="O2282" t="s">
        <v>994</v>
      </c>
      <c r="P2282" t="s">
        <v>1746</v>
      </c>
      <c r="Q2282" t="s">
        <v>3771</v>
      </c>
      <c r="R2282" t="s">
        <v>446</v>
      </c>
      <c r="S2282" t="s">
        <v>446</v>
      </c>
      <c r="T2282" t="s">
        <v>3216</v>
      </c>
      <c r="U2282" t="b">
        <v>0</v>
      </c>
      <c r="V2282" t="s">
        <v>1094</v>
      </c>
    </row>
    <row r="2283" spans="1:22" x14ac:dyDescent="0.25">
      <c r="A2283" t="s">
        <v>42</v>
      </c>
      <c r="B2283">
        <v>271</v>
      </c>
      <c r="C2283" t="s">
        <v>999</v>
      </c>
      <c r="D2283" t="s">
        <v>1873</v>
      </c>
      <c r="E2283" t="s">
        <v>998</v>
      </c>
      <c r="G2283" t="s">
        <v>24</v>
      </c>
      <c r="H2283" t="s">
        <v>26</v>
      </c>
      <c r="I2283" t="s">
        <v>3167</v>
      </c>
      <c r="J2283" t="s">
        <v>1003</v>
      </c>
      <c r="K2283" t="s">
        <v>3175</v>
      </c>
      <c r="L2283" t="s">
        <v>1003</v>
      </c>
      <c r="M2283" t="s">
        <v>1000</v>
      </c>
      <c r="N2283" t="s">
        <v>1001</v>
      </c>
      <c r="O2283" t="s">
        <v>1001</v>
      </c>
      <c r="P2283" t="s">
        <v>1746</v>
      </c>
      <c r="Q2283" t="s">
        <v>3771</v>
      </c>
      <c r="R2283" t="s">
        <v>446</v>
      </c>
      <c r="S2283" t="s">
        <v>446</v>
      </c>
      <c r="T2283" t="s">
        <v>3216</v>
      </c>
      <c r="U2283" t="b">
        <v>0</v>
      </c>
      <c r="V2283" t="s">
        <v>1094</v>
      </c>
    </row>
    <row r="2284" spans="1:22" x14ac:dyDescent="0.25">
      <c r="A2284" t="s">
        <v>42</v>
      </c>
      <c r="B2284">
        <v>271</v>
      </c>
      <c r="C2284" t="s">
        <v>1005</v>
      </c>
      <c r="D2284" t="s">
        <v>5642</v>
      </c>
      <c r="E2284" t="s">
        <v>982</v>
      </c>
      <c r="F2284" t="s">
        <v>3218</v>
      </c>
      <c r="G2284" t="s">
        <v>24</v>
      </c>
      <c r="H2284" t="s">
        <v>26</v>
      </c>
      <c r="I2284" t="s">
        <v>3167</v>
      </c>
      <c r="J2284" t="s">
        <v>1003</v>
      </c>
      <c r="K2284" t="s">
        <v>3175</v>
      </c>
      <c r="L2284" t="s">
        <v>1003</v>
      </c>
      <c r="M2284" t="s">
        <v>1000</v>
      </c>
      <c r="N2284" t="s">
        <v>1001</v>
      </c>
      <c r="O2284" t="s">
        <v>1001</v>
      </c>
      <c r="P2284" t="s">
        <v>1746</v>
      </c>
      <c r="Q2284" t="s">
        <v>3771</v>
      </c>
      <c r="R2284" t="s">
        <v>446</v>
      </c>
      <c r="S2284" t="s">
        <v>446</v>
      </c>
      <c r="T2284" t="s">
        <v>1965</v>
      </c>
      <c r="U2284" t="b">
        <v>0</v>
      </c>
      <c r="V2284" t="s">
        <v>446</v>
      </c>
    </row>
    <row r="2285" spans="1:22" x14ac:dyDescent="0.25">
      <c r="A2285" t="s">
        <v>42</v>
      </c>
      <c r="B2285">
        <v>271</v>
      </c>
      <c r="C2285" t="s">
        <v>1007</v>
      </c>
      <c r="D2285" t="s">
        <v>1874</v>
      </c>
      <c r="E2285" t="s">
        <v>1006</v>
      </c>
      <c r="G2285" t="s">
        <v>24</v>
      </c>
      <c r="H2285" t="s">
        <v>26</v>
      </c>
      <c r="I2285" t="s">
        <v>3167</v>
      </c>
      <c r="J2285" t="s">
        <v>1011</v>
      </c>
      <c r="K2285" t="s">
        <v>3179</v>
      </c>
      <c r="L2285" t="s">
        <v>1011</v>
      </c>
      <c r="M2285" t="s">
        <v>1008</v>
      </c>
      <c r="N2285" t="s">
        <v>1009</v>
      </c>
      <c r="O2285" t="s">
        <v>1009</v>
      </c>
      <c r="P2285" t="s">
        <v>1746</v>
      </c>
      <c r="Q2285" t="s">
        <v>3771</v>
      </c>
      <c r="R2285" t="s">
        <v>446</v>
      </c>
      <c r="S2285" t="s">
        <v>446</v>
      </c>
      <c r="T2285" t="s">
        <v>3216</v>
      </c>
      <c r="U2285" t="b">
        <v>0</v>
      </c>
      <c r="V2285" t="s">
        <v>1094</v>
      </c>
    </row>
    <row r="2286" spans="1:22" x14ac:dyDescent="0.25">
      <c r="A2286" t="s">
        <v>42</v>
      </c>
      <c r="B2286">
        <v>271</v>
      </c>
      <c r="C2286" t="s">
        <v>1014</v>
      </c>
      <c r="D2286" t="s">
        <v>1875</v>
      </c>
      <c r="E2286" t="s">
        <v>1013</v>
      </c>
      <c r="G2286" t="s">
        <v>24</v>
      </c>
      <c r="H2286" t="s">
        <v>26</v>
      </c>
      <c r="I2286" t="s">
        <v>3167</v>
      </c>
      <c r="J2286" t="s">
        <v>1016</v>
      </c>
      <c r="K2286" t="s">
        <v>3181</v>
      </c>
      <c r="L2286" t="s">
        <v>1016</v>
      </c>
      <c r="M2286" t="s">
        <v>980</v>
      </c>
      <c r="N2286" t="s">
        <v>1015</v>
      </c>
      <c r="O2286" t="s">
        <v>1015</v>
      </c>
      <c r="P2286" t="s">
        <v>1746</v>
      </c>
      <c r="Q2286" t="s">
        <v>3771</v>
      </c>
      <c r="R2286" t="s">
        <v>446</v>
      </c>
      <c r="S2286" t="s">
        <v>446</v>
      </c>
      <c r="T2286" t="s">
        <v>3216</v>
      </c>
      <c r="U2286" t="b">
        <v>0</v>
      </c>
      <c r="V2286" t="s">
        <v>1094</v>
      </c>
    </row>
    <row r="2287" spans="1:22" x14ac:dyDescent="0.25">
      <c r="A2287" t="s">
        <v>42</v>
      </c>
      <c r="B2287">
        <v>271</v>
      </c>
      <c r="C2287" t="s">
        <v>1019</v>
      </c>
      <c r="D2287" t="s">
        <v>1876</v>
      </c>
      <c r="E2287" t="s">
        <v>1018</v>
      </c>
      <c r="G2287" t="s">
        <v>24</v>
      </c>
      <c r="H2287" t="s">
        <v>26</v>
      </c>
      <c r="I2287" t="s">
        <v>3167</v>
      </c>
      <c r="J2287" t="s">
        <v>1021</v>
      </c>
      <c r="K2287" t="s">
        <v>3183</v>
      </c>
      <c r="L2287" t="s">
        <v>1021</v>
      </c>
      <c r="M2287" t="s">
        <v>980</v>
      </c>
      <c r="N2287" t="s">
        <v>1020</v>
      </c>
      <c r="O2287" t="s">
        <v>1020</v>
      </c>
      <c r="P2287" t="s">
        <v>1746</v>
      </c>
      <c r="Q2287" t="s">
        <v>3771</v>
      </c>
      <c r="R2287" t="s">
        <v>446</v>
      </c>
      <c r="S2287" t="s">
        <v>446</v>
      </c>
      <c r="T2287" t="s">
        <v>3216</v>
      </c>
      <c r="U2287" t="b">
        <v>0</v>
      </c>
      <c r="V2287" t="s">
        <v>1094</v>
      </c>
    </row>
    <row r="2288" spans="1:22" x14ac:dyDescent="0.25">
      <c r="A2288" t="s">
        <v>42</v>
      </c>
      <c r="B2288">
        <v>271</v>
      </c>
      <c r="C2288" t="s">
        <v>1024</v>
      </c>
      <c r="D2288" t="s">
        <v>1877</v>
      </c>
      <c r="E2288" t="s">
        <v>1023</v>
      </c>
      <c r="G2288" t="s">
        <v>24</v>
      </c>
      <c r="H2288" t="s">
        <v>26</v>
      </c>
      <c r="I2288" t="s">
        <v>3167</v>
      </c>
      <c r="J2288" t="s">
        <v>1026</v>
      </c>
      <c r="K2288" t="s">
        <v>3185</v>
      </c>
      <c r="L2288" t="s">
        <v>1026</v>
      </c>
      <c r="M2288" t="s">
        <v>1000</v>
      </c>
      <c r="N2288" t="s">
        <v>1025</v>
      </c>
      <c r="O2288" t="s">
        <v>1025</v>
      </c>
      <c r="P2288" t="s">
        <v>1746</v>
      </c>
      <c r="Q2288" t="s">
        <v>3771</v>
      </c>
      <c r="R2288" t="s">
        <v>446</v>
      </c>
      <c r="S2288" t="s">
        <v>446</v>
      </c>
      <c r="T2288" t="s">
        <v>3216</v>
      </c>
      <c r="U2288" t="b">
        <v>0</v>
      </c>
      <c r="V2288" t="s">
        <v>1094</v>
      </c>
    </row>
    <row r="2289" spans="1:22" x14ac:dyDescent="0.25">
      <c r="A2289" t="s">
        <v>42</v>
      </c>
      <c r="B2289">
        <v>271</v>
      </c>
      <c r="C2289" t="s">
        <v>1028</v>
      </c>
      <c r="D2289" t="s">
        <v>5643</v>
      </c>
      <c r="E2289" t="s">
        <v>1010</v>
      </c>
      <c r="F2289" t="s">
        <v>3218</v>
      </c>
      <c r="G2289" t="s">
        <v>24</v>
      </c>
      <c r="H2289" t="s">
        <v>26</v>
      </c>
      <c r="I2289" t="s">
        <v>3167</v>
      </c>
      <c r="J2289" t="s">
        <v>1026</v>
      </c>
      <c r="K2289" t="s">
        <v>3185</v>
      </c>
      <c r="L2289" t="s">
        <v>1026</v>
      </c>
      <c r="M2289" t="s">
        <v>1000</v>
      </c>
      <c r="N2289" t="s">
        <v>1025</v>
      </c>
      <c r="O2289" t="s">
        <v>1025</v>
      </c>
      <c r="P2289" t="s">
        <v>1746</v>
      </c>
      <c r="Q2289" t="s">
        <v>3771</v>
      </c>
      <c r="R2289" t="s">
        <v>446</v>
      </c>
      <c r="S2289" t="s">
        <v>446</v>
      </c>
      <c r="T2289" t="s">
        <v>1965</v>
      </c>
      <c r="U2289" t="b">
        <v>0</v>
      </c>
      <c r="V2289" t="s">
        <v>446</v>
      </c>
    </row>
    <row r="2290" spans="1:22" x14ac:dyDescent="0.25">
      <c r="A2290" t="s">
        <v>42</v>
      </c>
      <c r="B2290">
        <v>271</v>
      </c>
      <c r="C2290" t="s">
        <v>1030</v>
      </c>
      <c r="D2290" t="s">
        <v>1878</v>
      </c>
      <c r="E2290" t="s">
        <v>1029</v>
      </c>
      <c r="G2290" t="s">
        <v>24</v>
      </c>
      <c r="H2290" t="s">
        <v>26</v>
      </c>
      <c r="I2290" t="s">
        <v>3167</v>
      </c>
      <c r="J2290" t="s">
        <v>1033</v>
      </c>
      <c r="K2290" t="s">
        <v>3189</v>
      </c>
      <c r="L2290" t="s">
        <v>1033</v>
      </c>
      <c r="M2290" t="s">
        <v>980</v>
      </c>
      <c r="N2290" t="s">
        <v>1031</v>
      </c>
      <c r="O2290" t="s">
        <v>1031</v>
      </c>
      <c r="P2290" t="s">
        <v>1746</v>
      </c>
      <c r="Q2290" t="s">
        <v>3771</v>
      </c>
      <c r="R2290" t="s">
        <v>446</v>
      </c>
      <c r="S2290" t="s">
        <v>446</v>
      </c>
      <c r="T2290" t="s">
        <v>3216</v>
      </c>
      <c r="U2290" t="b">
        <v>0</v>
      </c>
      <c r="V2290" t="s">
        <v>1094</v>
      </c>
    </row>
    <row r="2291" spans="1:22" x14ac:dyDescent="0.25">
      <c r="A2291" t="s">
        <v>42</v>
      </c>
      <c r="B2291">
        <v>271</v>
      </c>
      <c r="C2291" t="s">
        <v>1036</v>
      </c>
      <c r="D2291" t="s">
        <v>1879</v>
      </c>
      <c r="E2291" t="s">
        <v>1035</v>
      </c>
      <c r="G2291" t="s">
        <v>24</v>
      </c>
      <c r="H2291" t="s">
        <v>26</v>
      </c>
      <c r="I2291" t="s">
        <v>3167</v>
      </c>
      <c r="J2291" t="s">
        <v>1038</v>
      </c>
      <c r="K2291" t="s">
        <v>3191</v>
      </c>
      <c r="L2291" t="s">
        <v>1038</v>
      </c>
      <c r="M2291" t="s">
        <v>980</v>
      </c>
      <c r="N2291" t="s">
        <v>1037</v>
      </c>
      <c r="O2291" t="s">
        <v>1037</v>
      </c>
      <c r="P2291" t="s">
        <v>1746</v>
      </c>
      <c r="Q2291" t="s">
        <v>3771</v>
      </c>
      <c r="R2291" t="s">
        <v>446</v>
      </c>
      <c r="S2291" t="s">
        <v>446</v>
      </c>
      <c r="T2291" t="s">
        <v>3216</v>
      </c>
      <c r="U2291" t="b">
        <v>0</v>
      </c>
      <c r="V2291" t="s">
        <v>1094</v>
      </c>
    </row>
    <row r="2292" spans="1:22" x14ac:dyDescent="0.25">
      <c r="A2292" t="s">
        <v>42</v>
      </c>
      <c r="B2292">
        <v>271</v>
      </c>
      <c r="C2292" t="s">
        <v>1041</v>
      </c>
      <c r="D2292" t="s">
        <v>1880</v>
      </c>
      <c r="E2292" t="s">
        <v>1040</v>
      </c>
      <c r="G2292" t="s">
        <v>24</v>
      </c>
      <c r="H2292" t="s">
        <v>26</v>
      </c>
      <c r="I2292" t="s">
        <v>3167</v>
      </c>
      <c r="J2292" t="s">
        <v>1043</v>
      </c>
      <c r="K2292" t="s">
        <v>3193</v>
      </c>
      <c r="L2292" t="s">
        <v>1043</v>
      </c>
      <c r="M2292" t="s">
        <v>980</v>
      </c>
      <c r="N2292" t="s">
        <v>1042</v>
      </c>
      <c r="O2292" t="s">
        <v>1042</v>
      </c>
      <c r="P2292" t="s">
        <v>1746</v>
      </c>
      <c r="Q2292" t="s">
        <v>3771</v>
      </c>
      <c r="R2292" t="s">
        <v>446</v>
      </c>
      <c r="S2292" t="s">
        <v>446</v>
      </c>
      <c r="T2292" t="s">
        <v>3216</v>
      </c>
      <c r="U2292" t="b">
        <v>0</v>
      </c>
      <c r="V2292" t="s">
        <v>1094</v>
      </c>
    </row>
    <row r="2293" spans="1:22" x14ac:dyDescent="0.25">
      <c r="A2293" t="s">
        <v>42</v>
      </c>
      <c r="B2293">
        <v>271</v>
      </c>
      <c r="C2293" t="s">
        <v>1046</v>
      </c>
      <c r="D2293" t="s">
        <v>1881</v>
      </c>
      <c r="E2293" t="s">
        <v>1045</v>
      </c>
      <c r="G2293" t="s">
        <v>24</v>
      </c>
      <c r="H2293" t="s">
        <v>26</v>
      </c>
      <c r="I2293" t="s">
        <v>3167</v>
      </c>
      <c r="J2293" t="s">
        <v>1048</v>
      </c>
      <c r="K2293" t="s">
        <v>3195</v>
      </c>
      <c r="L2293" t="s">
        <v>1048</v>
      </c>
      <c r="M2293" t="s">
        <v>1000</v>
      </c>
      <c r="N2293" t="s">
        <v>1047</v>
      </c>
      <c r="O2293" t="s">
        <v>1047</v>
      </c>
      <c r="P2293" t="s">
        <v>1746</v>
      </c>
      <c r="Q2293" t="s">
        <v>3771</v>
      </c>
      <c r="R2293" t="s">
        <v>446</v>
      </c>
      <c r="S2293" t="s">
        <v>446</v>
      </c>
      <c r="T2293" t="s">
        <v>3216</v>
      </c>
      <c r="U2293" t="b">
        <v>0</v>
      </c>
      <c r="V2293" t="s">
        <v>1094</v>
      </c>
    </row>
    <row r="2294" spans="1:22" x14ac:dyDescent="0.25">
      <c r="A2294" t="s">
        <v>42</v>
      </c>
      <c r="B2294">
        <v>271</v>
      </c>
      <c r="C2294" t="s">
        <v>1050</v>
      </c>
      <c r="D2294" t="s">
        <v>5644</v>
      </c>
      <c r="E2294" t="s">
        <v>1032</v>
      </c>
      <c r="F2294" t="s">
        <v>3218</v>
      </c>
      <c r="G2294" t="s">
        <v>24</v>
      </c>
      <c r="H2294" t="s">
        <v>26</v>
      </c>
      <c r="I2294" t="s">
        <v>3167</v>
      </c>
      <c r="J2294" t="s">
        <v>1048</v>
      </c>
      <c r="K2294" t="s">
        <v>3195</v>
      </c>
      <c r="L2294" t="s">
        <v>1048</v>
      </c>
      <c r="M2294" t="s">
        <v>1000</v>
      </c>
      <c r="N2294" t="s">
        <v>1047</v>
      </c>
      <c r="O2294" t="s">
        <v>1047</v>
      </c>
      <c r="P2294" t="s">
        <v>1746</v>
      </c>
      <c r="Q2294" t="s">
        <v>3771</v>
      </c>
      <c r="R2294" t="s">
        <v>446</v>
      </c>
      <c r="S2294" t="s">
        <v>446</v>
      </c>
      <c r="T2294" t="s">
        <v>1965</v>
      </c>
      <c r="U2294" t="b">
        <v>0</v>
      </c>
      <c r="V2294" t="s">
        <v>446</v>
      </c>
    </row>
    <row r="2295" spans="1:22" x14ac:dyDescent="0.25">
      <c r="A2295" t="s">
        <v>42</v>
      </c>
      <c r="B2295">
        <v>271</v>
      </c>
      <c r="C2295" t="s">
        <v>1052</v>
      </c>
      <c r="D2295" t="s">
        <v>1882</v>
      </c>
      <c r="E2295" t="s">
        <v>1051</v>
      </c>
      <c r="G2295" t="s">
        <v>24</v>
      </c>
      <c r="H2295" t="s">
        <v>26</v>
      </c>
      <c r="I2295" t="s">
        <v>3167</v>
      </c>
      <c r="J2295" t="s">
        <v>1055</v>
      </c>
      <c r="K2295" t="s">
        <v>3199</v>
      </c>
      <c r="L2295" t="s">
        <v>1055</v>
      </c>
      <c r="M2295" t="s">
        <v>980</v>
      </c>
      <c r="N2295" t="s">
        <v>1053</v>
      </c>
      <c r="O2295" t="s">
        <v>1053</v>
      </c>
      <c r="P2295" t="s">
        <v>1746</v>
      </c>
      <c r="Q2295" t="s">
        <v>3771</v>
      </c>
      <c r="R2295" t="s">
        <v>446</v>
      </c>
      <c r="S2295" t="s">
        <v>446</v>
      </c>
      <c r="T2295" t="s">
        <v>3216</v>
      </c>
      <c r="U2295" t="b">
        <v>0</v>
      </c>
      <c r="V2295" t="s">
        <v>1094</v>
      </c>
    </row>
    <row r="2296" spans="1:22" x14ac:dyDescent="0.25">
      <c r="A2296" t="s">
        <v>42</v>
      </c>
      <c r="B2296">
        <v>272</v>
      </c>
      <c r="C2296" t="s">
        <v>979</v>
      </c>
      <c r="D2296" t="s">
        <v>5645</v>
      </c>
      <c r="E2296" t="s">
        <v>978</v>
      </c>
      <c r="F2296" t="s">
        <v>3218</v>
      </c>
      <c r="G2296" t="s">
        <v>24</v>
      </c>
      <c r="H2296" t="s">
        <v>26</v>
      </c>
      <c r="I2296" t="s">
        <v>3167</v>
      </c>
      <c r="J2296" t="s">
        <v>984</v>
      </c>
      <c r="K2296" t="s">
        <v>3168</v>
      </c>
      <c r="L2296" t="s">
        <v>984</v>
      </c>
      <c r="M2296" t="s">
        <v>980</v>
      </c>
      <c r="N2296" t="s">
        <v>981</v>
      </c>
      <c r="O2296" t="s">
        <v>981</v>
      </c>
      <c r="P2296" t="s">
        <v>1746</v>
      </c>
      <c r="Q2296" t="s">
        <v>3771</v>
      </c>
      <c r="R2296" t="s">
        <v>446</v>
      </c>
      <c r="S2296" t="s">
        <v>446</v>
      </c>
      <c r="T2296" t="s">
        <v>1965</v>
      </c>
      <c r="U2296" t="b">
        <v>0</v>
      </c>
      <c r="V2296" t="s">
        <v>446</v>
      </c>
    </row>
    <row r="2297" spans="1:22" x14ac:dyDescent="0.25">
      <c r="A2297" t="s">
        <v>42</v>
      </c>
      <c r="B2297">
        <v>272</v>
      </c>
      <c r="C2297" t="s">
        <v>987</v>
      </c>
      <c r="D2297" t="s">
        <v>5646</v>
      </c>
      <c r="E2297" t="s">
        <v>986</v>
      </c>
      <c r="F2297" t="s">
        <v>3218</v>
      </c>
      <c r="G2297" t="s">
        <v>24</v>
      </c>
      <c r="H2297" t="s">
        <v>26</v>
      </c>
      <c r="I2297" t="s">
        <v>3167</v>
      </c>
      <c r="J2297" t="s">
        <v>990</v>
      </c>
      <c r="K2297" t="s">
        <v>3171</v>
      </c>
      <c r="L2297" t="s">
        <v>990</v>
      </c>
      <c r="M2297" t="s">
        <v>980</v>
      </c>
      <c r="N2297" t="s">
        <v>988</v>
      </c>
      <c r="O2297" t="s">
        <v>988</v>
      </c>
      <c r="P2297" t="s">
        <v>1746</v>
      </c>
      <c r="Q2297" t="s">
        <v>3771</v>
      </c>
      <c r="R2297" t="s">
        <v>446</v>
      </c>
      <c r="S2297" t="s">
        <v>446</v>
      </c>
      <c r="T2297" t="s">
        <v>1965</v>
      </c>
      <c r="U2297" t="b">
        <v>0</v>
      </c>
      <c r="V2297" t="s">
        <v>446</v>
      </c>
    </row>
    <row r="2298" spans="1:22" x14ac:dyDescent="0.25">
      <c r="A2298" t="s">
        <v>42</v>
      </c>
      <c r="B2298">
        <v>272</v>
      </c>
      <c r="C2298" t="s">
        <v>993</v>
      </c>
      <c r="D2298" t="s">
        <v>5647</v>
      </c>
      <c r="E2298" t="s">
        <v>992</v>
      </c>
      <c r="F2298" t="s">
        <v>5324</v>
      </c>
      <c r="G2298" t="s">
        <v>24</v>
      </c>
      <c r="H2298" t="s">
        <v>26</v>
      </c>
      <c r="I2298" t="s">
        <v>3167</v>
      </c>
      <c r="J2298" t="s">
        <v>996</v>
      </c>
      <c r="K2298" t="s">
        <v>3173</v>
      </c>
      <c r="L2298" t="s">
        <v>996</v>
      </c>
      <c r="M2298" t="s">
        <v>980</v>
      </c>
      <c r="N2298" t="s">
        <v>994</v>
      </c>
      <c r="O2298" t="s">
        <v>994</v>
      </c>
      <c r="P2298" t="s">
        <v>1746</v>
      </c>
      <c r="Q2298" t="s">
        <v>3771</v>
      </c>
      <c r="R2298" t="s">
        <v>446</v>
      </c>
      <c r="S2298" t="s">
        <v>446</v>
      </c>
      <c r="T2298" t="s">
        <v>1965</v>
      </c>
      <c r="U2298" t="b">
        <v>0</v>
      </c>
      <c r="V2298" t="s">
        <v>446</v>
      </c>
    </row>
    <row r="2299" spans="1:22" x14ac:dyDescent="0.25">
      <c r="A2299" t="s">
        <v>42</v>
      </c>
      <c r="B2299">
        <v>272</v>
      </c>
      <c r="C2299" t="s">
        <v>999</v>
      </c>
      <c r="D2299" t="s">
        <v>5648</v>
      </c>
      <c r="E2299" t="s">
        <v>998</v>
      </c>
      <c r="F2299" t="s">
        <v>3218</v>
      </c>
      <c r="G2299" t="s">
        <v>24</v>
      </c>
      <c r="H2299" t="s">
        <v>26</v>
      </c>
      <c r="I2299" t="s">
        <v>3167</v>
      </c>
      <c r="J2299" t="s">
        <v>1003</v>
      </c>
      <c r="K2299" t="s">
        <v>3175</v>
      </c>
      <c r="L2299" t="s">
        <v>1003</v>
      </c>
      <c r="M2299" t="s">
        <v>1000</v>
      </c>
      <c r="N2299" t="s">
        <v>1001</v>
      </c>
      <c r="O2299" t="s">
        <v>1001</v>
      </c>
      <c r="P2299" t="s">
        <v>1746</v>
      </c>
      <c r="Q2299" t="s">
        <v>3771</v>
      </c>
      <c r="R2299" t="s">
        <v>446</v>
      </c>
      <c r="S2299" t="s">
        <v>446</v>
      </c>
      <c r="T2299" t="s">
        <v>1965</v>
      </c>
      <c r="U2299" t="b">
        <v>0</v>
      </c>
      <c r="V2299" t="s">
        <v>446</v>
      </c>
    </row>
    <row r="2300" spans="1:22" x14ac:dyDescent="0.25">
      <c r="A2300" t="s">
        <v>42</v>
      </c>
      <c r="B2300">
        <v>272</v>
      </c>
      <c r="C2300" t="s">
        <v>1005</v>
      </c>
      <c r="D2300" t="s">
        <v>5649</v>
      </c>
      <c r="E2300" t="s">
        <v>982</v>
      </c>
      <c r="F2300" t="s">
        <v>5324</v>
      </c>
      <c r="G2300" t="s">
        <v>24</v>
      </c>
      <c r="H2300" t="s">
        <v>26</v>
      </c>
      <c r="I2300" t="s">
        <v>3167</v>
      </c>
      <c r="J2300" t="s">
        <v>1003</v>
      </c>
      <c r="K2300" t="s">
        <v>3175</v>
      </c>
      <c r="L2300" t="s">
        <v>1003</v>
      </c>
      <c r="M2300" t="s">
        <v>1000</v>
      </c>
      <c r="N2300" t="s">
        <v>1001</v>
      </c>
      <c r="O2300" t="s">
        <v>1001</v>
      </c>
      <c r="P2300" t="s">
        <v>1746</v>
      </c>
      <c r="Q2300" t="s">
        <v>3771</v>
      </c>
      <c r="R2300" t="s">
        <v>446</v>
      </c>
      <c r="S2300" t="s">
        <v>446</v>
      </c>
      <c r="T2300" t="s">
        <v>1965</v>
      </c>
      <c r="U2300" t="b">
        <v>0</v>
      </c>
      <c r="V2300" t="s">
        <v>446</v>
      </c>
    </row>
    <row r="2301" spans="1:22" x14ac:dyDescent="0.25">
      <c r="A2301" t="s">
        <v>42</v>
      </c>
      <c r="B2301">
        <v>272</v>
      </c>
      <c r="C2301" t="s">
        <v>1007</v>
      </c>
      <c r="D2301" t="s">
        <v>5650</v>
      </c>
      <c r="E2301" t="s">
        <v>1006</v>
      </c>
      <c r="F2301" t="s">
        <v>3218</v>
      </c>
      <c r="G2301" t="s">
        <v>24</v>
      </c>
      <c r="H2301" t="s">
        <v>26</v>
      </c>
      <c r="I2301" t="s">
        <v>3167</v>
      </c>
      <c r="J2301" t="s">
        <v>1011</v>
      </c>
      <c r="K2301" t="s">
        <v>3179</v>
      </c>
      <c r="L2301" t="s">
        <v>1011</v>
      </c>
      <c r="M2301" t="s">
        <v>1008</v>
      </c>
      <c r="N2301" t="s">
        <v>1009</v>
      </c>
      <c r="O2301" t="s">
        <v>1009</v>
      </c>
      <c r="P2301" t="s">
        <v>1746</v>
      </c>
      <c r="Q2301" t="s">
        <v>3771</v>
      </c>
      <c r="R2301" t="s">
        <v>446</v>
      </c>
      <c r="S2301" t="s">
        <v>446</v>
      </c>
      <c r="T2301" t="s">
        <v>1965</v>
      </c>
      <c r="U2301" t="b">
        <v>0</v>
      </c>
      <c r="V2301" t="s">
        <v>446</v>
      </c>
    </row>
    <row r="2302" spans="1:22" x14ac:dyDescent="0.25">
      <c r="A2302" t="s">
        <v>42</v>
      </c>
      <c r="B2302">
        <v>272</v>
      </c>
      <c r="C2302" t="s">
        <v>1014</v>
      </c>
      <c r="D2302" t="s">
        <v>5651</v>
      </c>
      <c r="E2302" t="s">
        <v>1013</v>
      </c>
      <c r="F2302" t="s">
        <v>3218</v>
      </c>
      <c r="G2302" t="s">
        <v>24</v>
      </c>
      <c r="H2302" t="s">
        <v>26</v>
      </c>
      <c r="I2302" t="s">
        <v>3167</v>
      </c>
      <c r="J2302" t="s">
        <v>1016</v>
      </c>
      <c r="K2302" t="s">
        <v>3181</v>
      </c>
      <c r="L2302" t="s">
        <v>1016</v>
      </c>
      <c r="M2302" t="s">
        <v>980</v>
      </c>
      <c r="N2302" t="s">
        <v>1015</v>
      </c>
      <c r="O2302" t="s">
        <v>1015</v>
      </c>
      <c r="P2302" t="s">
        <v>1746</v>
      </c>
      <c r="Q2302" t="s">
        <v>3771</v>
      </c>
      <c r="R2302" t="s">
        <v>446</v>
      </c>
      <c r="S2302" t="s">
        <v>446</v>
      </c>
      <c r="T2302" t="s">
        <v>1965</v>
      </c>
      <c r="U2302" t="b">
        <v>0</v>
      </c>
      <c r="V2302" t="s">
        <v>446</v>
      </c>
    </row>
    <row r="2303" spans="1:22" x14ac:dyDescent="0.25">
      <c r="A2303" t="s">
        <v>42</v>
      </c>
      <c r="B2303">
        <v>272</v>
      </c>
      <c r="C2303" t="s">
        <v>1019</v>
      </c>
      <c r="D2303" t="s">
        <v>5652</v>
      </c>
      <c r="E2303" t="s">
        <v>1018</v>
      </c>
      <c r="F2303" t="s">
        <v>3218</v>
      </c>
      <c r="G2303" t="s">
        <v>24</v>
      </c>
      <c r="H2303" t="s">
        <v>26</v>
      </c>
      <c r="I2303" t="s">
        <v>3167</v>
      </c>
      <c r="J2303" t="s">
        <v>1021</v>
      </c>
      <c r="K2303" t="s">
        <v>3183</v>
      </c>
      <c r="L2303" t="s">
        <v>1021</v>
      </c>
      <c r="M2303" t="s">
        <v>980</v>
      </c>
      <c r="N2303" t="s">
        <v>1020</v>
      </c>
      <c r="O2303" t="s">
        <v>1020</v>
      </c>
      <c r="P2303" t="s">
        <v>1746</v>
      </c>
      <c r="Q2303" t="s">
        <v>3771</v>
      </c>
      <c r="R2303" t="s">
        <v>446</v>
      </c>
      <c r="S2303" t="s">
        <v>446</v>
      </c>
      <c r="T2303" t="s">
        <v>1965</v>
      </c>
      <c r="U2303" t="b">
        <v>0</v>
      </c>
      <c r="V2303" t="s">
        <v>446</v>
      </c>
    </row>
    <row r="2304" spans="1:22" x14ac:dyDescent="0.25">
      <c r="A2304" t="s">
        <v>42</v>
      </c>
      <c r="B2304">
        <v>272</v>
      </c>
      <c r="C2304" t="s">
        <v>1024</v>
      </c>
      <c r="D2304" t="s">
        <v>5653</v>
      </c>
      <c r="E2304" t="s">
        <v>1023</v>
      </c>
      <c r="F2304" t="s">
        <v>3218</v>
      </c>
      <c r="G2304" t="s">
        <v>24</v>
      </c>
      <c r="H2304" t="s">
        <v>26</v>
      </c>
      <c r="I2304" t="s">
        <v>3167</v>
      </c>
      <c r="J2304" t="s">
        <v>1026</v>
      </c>
      <c r="K2304" t="s">
        <v>3185</v>
      </c>
      <c r="L2304" t="s">
        <v>1026</v>
      </c>
      <c r="M2304" t="s">
        <v>1000</v>
      </c>
      <c r="N2304" t="s">
        <v>1025</v>
      </c>
      <c r="O2304" t="s">
        <v>1025</v>
      </c>
      <c r="P2304" t="s">
        <v>1746</v>
      </c>
      <c r="Q2304" t="s">
        <v>3771</v>
      </c>
      <c r="R2304" t="s">
        <v>446</v>
      </c>
      <c r="S2304" t="s">
        <v>446</v>
      </c>
      <c r="T2304" t="s">
        <v>1965</v>
      </c>
      <c r="U2304" t="b">
        <v>0</v>
      </c>
      <c r="V2304" t="s">
        <v>446</v>
      </c>
    </row>
    <row r="2305" spans="1:22" x14ac:dyDescent="0.25">
      <c r="A2305" t="s">
        <v>42</v>
      </c>
      <c r="B2305">
        <v>272</v>
      </c>
      <c r="C2305" t="s">
        <v>1028</v>
      </c>
      <c r="D2305" t="s">
        <v>5654</v>
      </c>
      <c r="E2305" t="s">
        <v>1010</v>
      </c>
      <c r="F2305" t="s">
        <v>3218</v>
      </c>
      <c r="G2305" t="s">
        <v>24</v>
      </c>
      <c r="H2305" t="s">
        <v>26</v>
      </c>
      <c r="I2305" t="s">
        <v>3167</v>
      </c>
      <c r="J2305" t="s">
        <v>1026</v>
      </c>
      <c r="K2305" t="s">
        <v>3185</v>
      </c>
      <c r="L2305" t="s">
        <v>1026</v>
      </c>
      <c r="M2305" t="s">
        <v>1000</v>
      </c>
      <c r="N2305" t="s">
        <v>1025</v>
      </c>
      <c r="O2305" t="s">
        <v>1025</v>
      </c>
      <c r="P2305" t="s">
        <v>1746</v>
      </c>
      <c r="Q2305" t="s">
        <v>3771</v>
      </c>
      <c r="R2305" t="s">
        <v>446</v>
      </c>
      <c r="S2305" t="s">
        <v>446</v>
      </c>
      <c r="T2305" t="s">
        <v>1965</v>
      </c>
      <c r="U2305" t="b">
        <v>0</v>
      </c>
      <c r="V2305" t="s">
        <v>446</v>
      </c>
    </row>
    <row r="2306" spans="1:22" x14ac:dyDescent="0.25">
      <c r="A2306" t="s">
        <v>42</v>
      </c>
      <c r="B2306">
        <v>272</v>
      </c>
      <c r="C2306" t="s">
        <v>1030</v>
      </c>
      <c r="D2306" t="s">
        <v>5655</v>
      </c>
      <c r="E2306" t="s">
        <v>1029</v>
      </c>
      <c r="F2306" t="s">
        <v>3218</v>
      </c>
      <c r="G2306" t="s">
        <v>24</v>
      </c>
      <c r="H2306" t="s">
        <v>26</v>
      </c>
      <c r="I2306" t="s">
        <v>3167</v>
      </c>
      <c r="J2306" t="s">
        <v>1033</v>
      </c>
      <c r="K2306" t="s">
        <v>3189</v>
      </c>
      <c r="L2306" t="s">
        <v>1033</v>
      </c>
      <c r="M2306" t="s">
        <v>980</v>
      </c>
      <c r="N2306" t="s">
        <v>1031</v>
      </c>
      <c r="O2306" t="s">
        <v>1031</v>
      </c>
      <c r="P2306" t="s">
        <v>1746</v>
      </c>
      <c r="Q2306" t="s">
        <v>3771</v>
      </c>
      <c r="R2306" t="s">
        <v>446</v>
      </c>
      <c r="S2306" t="s">
        <v>446</v>
      </c>
      <c r="T2306" t="s">
        <v>1965</v>
      </c>
      <c r="U2306" t="b">
        <v>0</v>
      </c>
      <c r="V2306" t="s">
        <v>446</v>
      </c>
    </row>
    <row r="2307" spans="1:22" x14ac:dyDescent="0.25">
      <c r="A2307" t="s">
        <v>42</v>
      </c>
      <c r="B2307">
        <v>272</v>
      </c>
      <c r="C2307" t="s">
        <v>1036</v>
      </c>
      <c r="D2307" t="s">
        <v>5656</v>
      </c>
      <c r="E2307" t="s">
        <v>1035</v>
      </c>
      <c r="F2307" t="s">
        <v>3218</v>
      </c>
      <c r="G2307" t="s">
        <v>24</v>
      </c>
      <c r="H2307" t="s">
        <v>26</v>
      </c>
      <c r="I2307" t="s">
        <v>3167</v>
      </c>
      <c r="J2307" t="s">
        <v>1038</v>
      </c>
      <c r="K2307" t="s">
        <v>3191</v>
      </c>
      <c r="L2307" t="s">
        <v>1038</v>
      </c>
      <c r="M2307" t="s">
        <v>980</v>
      </c>
      <c r="N2307" t="s">
        <v>1037</v>
      </c>
      <c r="O2307" t="s">
        <v>1037</v>
      </c>
      <c r="P2307" t="s">
        <v>1746</v>
      </c>
      <c r="Q2307" t="s">
        <v>3771</v>
      </c>
      <c r="R2307" t="s">
        <v>446</v>
      </c>
      <c r="S2307" t="s">
        <v>446</v>
      </c>
      <c r="T2307" t="s">
        <v>1965</v>
      </c>
      <c r="U2307" t="b">
        <v>0</v>
      </c>
      <c r="V2307" t="s">
        <v>446</v>
      </c>
    </row>
    <row r="2308" spans="1:22" x14ac:dyDescent="0.25">
      <c r="A2308" t="s">
        <v>42</v>
      </c>
      <c r="B2308">
        <v>272</v>
      </c>
      <c r="C2308" t="s">
        <v>1041</v>
      </c>
      <c r="D2308" t="s">
        <v>5657</v>
      </c>
      <c r="E2308" t="s">
        <v>1040</v>
      </c>
      <c r="F2308" t="s">
        <v>3218</v>
      </c>
      <c r="G2308" t="s">
        <v>24</v>
      </c>
      <c r="H2308" t="s">
        <v>26</v>
      </c>
      <c r="I2308" t="s">
        <v>3167</v>
      </c>
      <c r="J2308" t="s">
        <v>1043</v>
      </c>
      <c r="K2308" t="s">
        <v>3193</v>
      </c>
      <c r="L2308" t="s">
        <v>1043</v>
      </c>
      <c r="M2308" t="s">
        <v>980</v>
      </c>
      <c r="N2308" t="s">
        <v>1042</v>
      </c>
      <c r="O2308" t="s">
        <v>1042</v>
      </c>
      <c r="P2308" t="s">
        <v>1746</v>
      </c>
      <c r="Q2308" t="s">
        <v>3771</v>
      </c>
      <c r="R2308" t="s">
        <v>446</v>
      </c>
      <c r="S2308" t="s">
        <v>446</v>
      </c>
      <c r="T2308" t="s">
        <v>1965</v>
      </c>
      <c r="U2308" t="b">
        <v>0</v>
      </c>
      <c r="V2308" t="s">
        <v>446</v>
      </c>
    </row>
    <row r="2309" spans="1:22" x14ac:dyDescent="0.25">
      <c r="A2309" t="s">
        <v>42</v>
      </c>
      <c r="B2309">
        <v>272</v>
      </c>
      <c r="C2309" t="s">
        <v>1046</v>
      </c>
      <c r="D2309" t="s">
        <v>5658</v>
      </c>
      <c r="E2309" t="s">
        <v>1045</v>
      </c>
      <c r="F2309" t="s">
        <v>5328</v>
      </c>
      <c r="G2309" t="s">
        <v>24</v>
      </c>
      <c r="H2309" t="s">
        <v>26</v>
      </c>
      <c r="I2309" t="s">
        <v>3167</v>
      </c>
      <c r="J2309" t="s">
        <v>1048</v>
      </c>
      <c r="K2309" t="s">
        <v>3195</v>
      </c>
      <c r="L2309" t="s">
        <v>1048</v>
      </c>
      <c r="M2309" t="s">
        <v>1000</v>
      </c>
      <c r="N2309" t="s">
        <v>1047</v>
      </c>
      <c r="O2309" t="s">
        <v>1047</v>
      </c>
      <c r="P2309" t="s">
        <v>1746</v>
      </c>
      <c r="Q2309" t="s">
        <v>3771</v>
      </c>
      <c r="R2309" t="s">
        <v>446</v>
      </c>
      <c r="S2309" t="s">
        <v>446</v>
      </c>
      <c r="T2309" t="s">
        <v>1965</v>
      </c>
      <c r="U2309" t="b">
        <v>0</v>
      </c>
      <c r="V2309" t="s">
        <v>446</v>
      </c>
    </row>
    <row r="2310" spans="1:22" x14ac:dyDescent="0.25">
      <c r="A2310" t="s">
        <v>42</v>
      </c>
      <c r="B2310">
        <v>272</v>
      </c>
      <c r="C2310" t="s">
        <v>1050</v>
      </c>
      <c r="D2310" t="s">
        <v>5659</v>
      </c>
      <c r="E2310" t="s">
        <v>1032</v>
      </c>
      <c r="F2310" t="s">
        <v>5328</v>
      </c>
      <c r="G2310" t="s">
        <v>24</v>
      </c>
      <c r="H2310" t="s">
        <v>26</v>
      </c>
      <c r="I2310" t="s">
        <v>3167</v>
      </c>
      <c r="J2310" t="s">
        <v>1048</v>
      </c>
      <c r="K2310" t="s">
        <v>3195</v>
      </c>
      <c r="L2310" t="s">
        <v>1048</v>
      </c>
      <c r="M2310" t="s">
        <v>1000</v>
      </c>
      <c r="N2310" t="s">
        <v>1047</v>
      </c>
      <c r="O2310" t="s">
        <v>1047</v>
      </c>
      <c r="P2310" t="s">
        <v>1746</v>
      </c>
      <c r="Q2310" t="s">
        <v>3771</v>
      </c>
      <c r="R2310" t="s">
        <v>446</v>
      </c>
      <c r="S2310" t="s">
        <v>446</v>
      </c>
      <c r="T2310" t="s">
        <v>1965</v>
      </c>
      <c r="U2310" t="b">
        <v>0</v>
      </c>
      <c r="V2310" t="s">
        <v>446</v>
      </c>
    </row>
    <row r="2311" spans="1:22" x14ac:dyDescent="0.25">
      <c r="A2311" t="s">
        <v>42</v>
      </c>
      <c r="B2311">
        <v>272</v>
      </c>
      <c r="C2311" t="s">
        <v>1052</v>
      </c>
      <c r="D2311" t="s">
        <v>5660</v>
      </c>
      <c r="E2311" t="s">
        <v>1051</v>
      </c>
      <c r="F2311" t="s">
        <v>3218</v>
      </c>
      <c r="G2311" t="s">
        <v>24</v>
      </c>
      <c r="H2311" t="s">
        <v>26</v>
      </c>
      <c r="I2311" t="s">
        <v>3167</v>
      </c>
      <c r="J2311" t="s">
        <v>1055</v>
      </c>
      <c r="K2311" t="s">
        <v>3199</v>
      </c>
      <c r="L2311" t="s">
        <v>1055</v>
      </c>
      <c r="M2311" t="s">
        <v>980</v>
      </c>
      <c r="N2311" t="s">
        <v>1053</v>
      </c>
      <c r="O2311" t="s">
        <v>1053</v>
      </c>
      <c r="P2311" t="s">
        <v>1746</v>
      </c>
      <c r="Q2311" t="s">
        <v>3771</v>
      </c>
      <c r="R2311" t="s">
        <v>446</v>
      </c>
      <c r="S2311" t="s">
        <v>446</v>
      </c>
      <c r="T2311" t="s">
        <v>1965</v>
      </c>
      <c r="U2311" t="b">
        <v>0</v>
      </c>
      <c r="V2311" t="s">
        <v>446</v>
      </c>
    </row>
    <row r="2312" spans="1:22" x14ac:dyDescent="0.25">
      <c r="A2312" t="s">
        <v>42</v>
      </c>
      <c r="B2312">
        <v>273</v>
      </c>
      <c r="C2312" t="s">
        <v>1007</v>
      </c>
      <c r="D2312" t="s">
        <v>5661</v>
      </c>
      <c r="E2312" t="s">
        <v>1006</v>
      </c>
      <c r="F2312" t="s">
        <v>5662</v>
      </c>
      <c r="G2312" t="s">
        <v>24</v>
      </c>
      <c r="H2312" t="s">
        <v>26</v>
      </c>
      <c r="I2312" t="s">
        <v>3167</v>
      </c>
      <c r="J2312" t="s">
        <v>1011</v>
      </c>
      <c r="K2312" t="s">
        <v>3179</v>
      </c>
      <c r="L2312" t="s">
        <v>1011</v>
      </c>
      <c r="M2312" t="s">
        <v>1008</v>
      </c>
      <c r="N2312" t="s">
        <v>1009</v>
      </c>
      <c r="O2312" t="s">
        <v>1009</v>
      </c>
      <c r="P2312" t="s">
        <v>1746</v>
      </c>
      <c r="Q2312" t="s">
        <v>3771</v>
      </c>
      <c r="R2312" t="s">
        <v>446</v>
      </c>
      <c r="S2312" t="s">
        <v>446</v>
      </c>
      <c r="T2312" t="s">
        <v>1965</v>
      </c>
      <c r="U2312" t="b">
        <v>0</v>
      </c>
      <c r="V2312" t="s">
        <v>446</v>
      </c>
    </row>
    <row r="2313" spans="1:22" x14ac:dyDescent="0.25">
      <c r="A2313" t="s">
        <v>42</v>
      </c>
      <c r="B2313">
        <v>273</v>
      </c>
      <c r="C2313" t="s">
        <v>1014</v>
      </c>
      <c r="D2313" t="s">
        <v>5663</v>
      </c>
      <c r="E2313" t="s">
        <v>1013</v>
      </c>
      <c r="F2313" t="s">
        <v>5664</v>
      </c>
      <c r="G2313" t="s">
        <v>24</v>
      </c>
      <c r="H2313" t="s">
        <v>26</v>
      </c>
      <c r="I2313" t="s">
        <v>3167</v>
      </c>
      <c r="J2313" t="s">
        <v>1016</v>
      </c>
      <c r="K2313" t="s">
        <v>3181</v>
      </c>
      <c r="L2313" t="s">
        <v>1016</v>
      </c>
      <c r="M2313" t="s">
        <v>980</v>
      </c>
      <c r="N2313" t="s">
        <v>1015</v>
      </c>
      <c r="O2313" t="s">
        <v>1015</v>
      </c>
      <c r="P2313" t="s">
        <v>1746</v>
      </c>
      <c r="Q2313" t="s">
        <v>3771</v>
      </c>
      <c r="R2313" t="s">
        <v>446</v>
      </c>
      <c r="S2313" t="s">
        <v>446</v>
      </c>
      <c r="T2313" t="s">
        <v>1965</v>
      </c>
      <c r="U2313" t="b">
        <v>0</v>
      </c>
      <c r="V2313" t="s">
        <v>446</v>
      </c>
    </row>
    <row r="2314" spans="1:22" x14ac:dyDescent="0.25">
      <c r="A2314" t="s">
        <v>42</v>
      </c>
      <c r="B2314">
        <v>273</v>
      </c>
      <c r="C2314" t="s">
        <v>1019</v>
      </c>
      <c r="D2314" t="s">
        <v>5665</v>
      </c>
      <c r="E2314" t="s">
        <v>1018</v>
      </c>
      <c r="F2314" t="s">
        <v>5666</v>
      </c>
      <c r="G2314" t="s">
        <v>24</v>
      </c>
      <c r="H2314" t="s">
        <v>26</v>
      </c>
      <c r="I2314" t="s">
        <v>3167</v>
      </c>
      <c r="J2314" t="s">
        <v>1021</v>
      </c>
      <c r="K2314" t="s">
        <v>3183</v>
      </c>
      <c r="L2314" t="s">
        <v>1021</v>
      </c>
      <c r="M2314" t="s">
        <v>980</v>
      </c>
      <c r="N2314" t="s">
        <v>1020</v>
      </c>
      <c r="O2314" t="s">
        <v>1020</v>
      </c>
      <c r="P2314" t="s">
        <v>1746</v>
      </c>
      <c r="Q2314" t="s">
        <v>3771</v>
      </c>
      <c r="R2314" t="s">
        <v>446</v>
      </c>
      <c r="S2314" t="s">
        <v>446</v>
      </c>
      <c r="T2314" t="s">
        <v>1965</v>
      </c>
      <c r="U2314" t="b">
        <v>0</v>
      </c>
      <c r="V2314" t="s">
        <v>446</v>
      </c>
    </row>
    <row r="2315" spans="1:22" x14ac:dyDescent="0.25">
      <c r="A2315" t="s">
        <v>42</v>
      </c>
      <c r="B2315">
        <v>273</v>
      </c>
      <c r="C2315" t="s">
        <v>1024</v>
      </c>
      <c r="D2315" t="s">
        <v>5667</v>
      </c>
      <c r="E2315" t="s">
        <v>1023</v>
      </c>
      <c r="F2315" t="s">
        <v>5668</v>
      </c>
      <c r="G2315" t="s">
        <v>24</v>
      </c>
      <c r="H2315" t="s">
        <v>26</v>
      </c>
      <c r="I2315" t="s">
        <v>3167</v>
      </c>
      <c r="J2315" t="s">
        <v>1026</v>
      </c>
      <c r="K2315" t="s">
        <v>3185</v>
      </c>
      <c r="L2315" t="s">
        <v>1026</v>
      </c>
      <c r="M2315" t="s">
        <v>1000</v>
      </c>
      <c r="N2315" t="s">
        <v>1025</v>
      </c>
      <c r="O2315" t="s">
        <v>1025</v>
      </c>
      <c r="P2315" t="s">
        <v>1746</v>
      </c>
      <c r="Q2315" t="s">
        <v>3771</v>
      </c>
      <c r="R2315" t="s">
        <v>446</v>
      </c>
      <c r="S2315" t="s">
        <v>446</v>
      </c>
      <c r="T2315" t="s">
        <v>1965</v>
      </c>
      <c r="U2315" t="b">
        <v>0</v>
      </c>
      <c r="V2315" t="s">
        <v>446</v>
      </c>
    </row>
    <row r="2316" spans="1:22" x14ac:dyDescent="0.25">
      <c r="A2316" t="s">
        <v>42</v>
      </c>
      <c r="B2316">
        <v>273</v>
      </c>
      <c r="C2316" t="s">
        <v>1028</v>
      </c>
      <c r="D2316" t="s">
        <v>5669</v>
      </c>
      <c r="E2316" t="s">
        <v>1010</v>
      </c>
      <c r="F2316" t="s">
        <v>5670</v>
      </c>
      <c r="G2316" t="s">
        <v>24</v>
      </c>
      <c r="H2316" t="s">
        <v>26</v>
      </c>
      <c r="I2316" t="s">
        <v>3167</v>
      </c>
      <c r="J2316" t="s">
        <v>1026</v>
      </c>
      <c r="K2316" t="s">
        <v>3185</v>
      </c>
      <c r="L2316" t="s">
        <v>1026</v>
      </c>
      <c r="M2316" t="s">
        <v>1000</v>
      </c>
      <c r="N2316" t="s">
        <v>1025</v>
      </c>
      <c r="O2316" t="s">
        <v>1025</v>
      </c>
      <c r="P2316" t="s">
        <v>1746</v>
      </c>
      <c r="Q2316" t="s">
        <v>3771</v>
      </c>
      <c r="R2316" t="s">
        <v>446</v>
      </c>
      <c r="S2316" t="s">
        <v>446</v>
      </c>
      <c r="T2316" t="s">
        <v>1965</v>
      </c>
      <c r="U2316" t="b">
        <v>0</v>
      </c>
      <c r="V2316" t="s">
        <v>446</v>
      </c>
    </row>
    <row r="2317" spans="1:22" x14ac:dyDescent="0.25">
      <c r="A2317" t="s">
        <v>42</v>
      </c>
      <c r="B2317">
        <v>273</v>
      </c>
      <c r="C2317" t="s">
        <v>1030</v>
      </c>
      <c r="D2317" t="s">
        <v>5671</v>
      </c>
      <c r="E2317" t="s">
        <v>1029</v>
      </c>
      <c r="F2317" t="s">
        <v>5672</v>
      </c>
      <c r="G2317" t="s">
        <v>24</v>
      </c>
      <c r="H2317" t="s">
        <v>26</v>
      </c>
      <c r="I2317" t="s">
        <v>3167</v>
      </c>
      <c r="J2317" t="s">
        <v>1033</v>
      </c>
      <c r="K2317" t="s">
        <v>3189</v>
      </c>
      <c r="L2317" t="s">
        <v>1033</v>
      </c>
      <c r="M2317" t="s">
        <v>980</v>
      </c>
      <c r="N2317" t="s">
        <v>1031</v>
      </c>
      <c r="O2317" t="s">
        <v>1031</v>
      </c>
      <c r="P2317" t="s">
        <v>1746</v>
      </c>
      <c r="Q2317" t="s">
        <v>3771</v>
      </c>
      <c r="R2317" t="s">
        <v>446</v>
      </c>
      <c r="S2317" t="s">
        <v>446</v>
      </c>
      <c r="T2317" t="s">
        <v>1965</v>
      </c>
      <c r="U2317" t="b">
        <v>0</v>
      </c>
      <c r="V2317" t="s">
        <v>446</v>
      </c>
    </row>
    <row r="2318" spans="1:22" x14ac:dyDescent="0.25">
      <c r="A2318" t="s">
        <v>42</v>
      </c>
      <c r="B2318">
        <v>273</v>
      </c>
      <c r="C2318" t="s">
        <v>1036</v>
      </c>
      <c r="D2318" t="s">
        <v>5673</v>
      </c>
      <c r="E2318" t="s">
        <v>1035</v>
      </c>
      <c r="F2318" t="s">
        <v>5674</v>
      </c>
      <c r="G2318" t="s">
        <v>24</v>
      </c>
      <c r="H2318" t="s">
        <v>26</v>
      </c>
      <c r="I2318" t="s">
        <v>3167</v>
      </c>
      <c r="J2318" t="s">
        <v>1038</v>
      </c>
      <c r="K2318" t="s">
        <v>3191</v>
      </c>
      <c r="L2318" t="s">
        <v>1038</v>
      </c>
      <c r="M2318" t="s">
        <v>980</v>
      </c>
      <c r="N2318" t="s">
        <v>1037</v>
      </c>
      <c r="O2318" t="s">
        <v>1037</v>
      </c>
      <c r="P2318" t="s">
        <v>1746</v>
      </c>
      <c r="Q2318" t="s">
        <v>3771</v>
      </c>
      <c r="R2318" t="s">
        <v>446</v>
      </c>
      <c r="S2318" t="s">
        <v>446</v>
      </c>
      <c r="T2318" t="s">
        <v>1965</v>
      </c>
      <c r="U2318" t="b">
        <v>0</v>
      </c>
      <c r="V2318" t="s">
        <v>446</v>
      </c>
    </row>
    <row r="2319" spans="1:22" x14ac:dyDescent="0.25">
      <c r="A2319" t="s">
        <v>42</v>
      </c>
      <c r="B2319">
        <v>273</v>
      </c>
      <c r="C2319" t="s">
        <v>1041</v>
      </c>
      <c r="D2319" t="s">
        <v>5675</v>
      </c>
      <c r="E2319" t="s">
        <v>1040</v>
      </c>
      <c r="F2319" t="s">
        <v>5676</v>
      </c>
      <c r="G2319" t="s">
        <v>24</v>
      </c>
      <c r="H2319" t="s">
        <v>26</v>
      </c>
      <c r="I2319" t="s">
        <v>3167</v>
      </c>
      <c r="J2319" t="s">
        <v>1043</v>
      </c>
      <c r="K2319" t="s">
        <v>3193</v>
      </c>
      <c r="L2319" t="s">
        <v>1043</v>
      </c>
      <c r="M2319" t="s">
        <v>980</v>
      </c>
      <c r="N2319" t="s">
        <v>1042</v>
      </c>
      <c r="O2319" t="s">
        <v>1042</v>
      </c>
      <c r="P2319" t="s">
        <v>1746</v>
      </c>
      <c r="Q2319" t="s">
        <v>3771</v>
      </c>
      <c r="R2319" t="s">
        <v>446</v>
      </c>
      <c r="S2319" t="s">
        <v>446</v>
      </c>
      <c r="T2319" t="s">
        <v>1965</v>
      </c>
      <c r="U2319" t="b">
        <v>0</v>
      </c>
      <c r="V2319" t="s">
        <v>446</v>
      </c>
    </row>
    <row r="2320" spans="1:22" x14ac:dyDescent="0.25">
      <c r="A2320" t="s">
        <v>42</v>
      </c>
      <c r="B2320">
        <v>273</v>
      </c>
      <c r="C2320" t="s">
        <v>1046</v>
      </c>
      <c r="D2320" t="s">
        <v>5677</v>
      </c>
      <c r="E2320" t="s">
        <v>1045</v>
      </c>
      <c r="F2320" t="s">
        <v>5678</v>
      </c>
      <c r="G2320" t="s">
        <v>24</v>
      </c>
      <c r="H2320" t="s">
        <v>26</v>
      </c>
      <c r="I2320" t="s">
        <v>3167</v>
      </c>
      <c r="J2320" t="s">
        <v>1048</v>
      </c>
      <c r="K2320" t="s">
        <v>3195</v>
      </c>
      <c r="L2320" t="s">
        <v>1048</v>
      </c>
      <c r="M2320" t="s">
        <v>1000</v>
      </c>
      <c r="N2320" t="s">
        <v>1047</v>
      </c>
      <c r="O2320" t="s">
        <v>1047</v>
      </c>
      <c r="P2320" t="s">
        <v>1746</v>
      </c>
      <c r="Q2320" t="s">
        <v>3771</v>
      </c>
      <c r="R2320" t="s">
        <v>446</v>
      </c>
      <c r="S2320" t="s">
        <v>446</v>
      </c>
      <c r="T2320" t="s">
        <v>1965</v>
      </c>
      <c r="U2320" t="b">
        <v>0</v>
      </c>
      <c r="V2320" t="s">
        <v>446</v>
      </c>
    </row>
    <row r="2321" spans="1:22" x14ac:dyDescent="0.25">
      <c r="A2321" t="s">
        <v>42</v>
      </c>
      <c r="B2321">
        <v>273</v>
      </c>
      <c r="C2321" t="s">
        <v>1050</v>
      </c>
      <c r="D2321" t="s">
        <v>5679</v>
      </c>
      <c r="E2321" t="s">
        <v>1032</v>
      </c>
      <c r="F2321" t="s">
        <v>5680</v>
      </c>
      <c r="G2321" t="s">
        <v>24</v>
      </c>
      <c r="H2321" t="s">
        <v>26</v>
      </c>
      <c r="I2321" t="s">
        <v>3167</v>
      </c>
      <c r="J2321" t="s">
        <v>1048</v>
      </c>
      <c r="K2321" t="s">
        <v>3195</v>
      </c>
      <c r="L2321" t="s">
        <v>1048</v>
      </c>
      <c r="M2321" t="s">
        <v>1000</v>
      </c>
      <c r="N2321" t="s">
        <v>1047</v>
      </c>
      <c r="O2321" t="s">
        <v>1047</v>
      </c>
      <c r="P2321" t="s">
        <v>1746</v>
      </c>
      <c r="Q2321" t="s">
        <v>3771</v>
      </c>
      <c r="R2321" t="s">
        <v>446</v>
      </c>
      <c r="S2321" t="s">
        <v>446</v>
      </c>
      <c r="T2321" t="s">
        <v>1965</v>
      </c>
      <c r="U2321" t="b">
        <v>0</v>
      </c>
      <c r="V2321" t="s">
        <v>446</v>
      </c>
    </row>
    <row r="2322" spans="1:22" x14ac:dyDescent="0.25">
      <c r="A2322" t="s">
        <v>42</v>
      </c>
      <c r="B2322">
        <v>273</v>
      </c>
      <c r="C2322" t="s">
        <v>1052</v>
      </c>
      <c r="D2322" t="s">
        <v>5681</v>
      </c>
      <c r="E2322" t="s">
        <v>1051</v>
      </c>
      <c r="F2322" t="s">
        <v>5682</v>
      </c>
      <c r="G2322" t="s">
        <v>24</v>
      </c>
      <c r="H2322" t="s">
        <v>26</v>
      </c>
      <c r="I2322" t="s">
        <v>3167</v>
      </c>
      <c r="J2322" t="s">
        <v>1055</v>
      </c>
      <c r="K2322" t="s">
        <v>3199</v>
      </c>
      <c r="L2322" t="s">
        <v>1055</v>
      </c>
      <c r="M2322" t="s">
        <v>980</v>
      </c>
      <c r="N2322" t="s">
        <v>1053</v>
      </c>
      <c r="O2322" t="s">
        <v>1053</v>
      </c>
      <c r="P2322" t="s">
        <v>1746</v>
      </c>
      <c r="Q2322" t="s">
        <v>3771</v>
      </c>
      <c r="R2322" t="s">
        <v>446</v>
      </c>
      <c r="S2322" t="s">
        <v>446</v>
      </c>
      <c r="T2322" t="s">
        <v>1965</v>
      </c>
      <c r="U2322" t="b">
        <v>0</v>
      </c>
      <c r="V2322" t="s">
        <v>446</v>
      </c>
    </row>
    <row r="2323" spans="1:22" x14ac:dyDescent="0.25">
      <c r="A2323" t="s">
        <v>42</v>
      </c>
      <c r="B2323">
        <v>275</v>
      </c>
      <c r="C2323" t="s">
        <v>979</v>
      </c>
      <c r="D2323" t="s">
        <v>5683</v>
      </c>
      <c r="E2323" t="s">
        <v>978</v>
      </c>
      <c r="F2323" t="s">
        <v>3218</v>
      </c>
      <c r="G2323" t="s">
        <v>24</v>
      </c>
      <c r="H2323" t="s">
        <v>26</v>
      </c>
      <c r="I2323" t="s">
        <v>3167</v>
      </c>
      <c r="J2323" t="s">
        <v>984</v>
      </c>
      <c r="K2323" t="s">
        <v>3168</v>
      </c>
      <c r="L2323" t="s">
        <v>984</v>
      </c>
      <c r="M2323" t="s">
        <v>980</v>
      </c>
      <c r="N2323" t="s">
        <v>981</v>
      </c>
      <c r="O2323" t="s">
        <v>981</v>
      </c>
      <c r="P2323" t="s">
        <v>1746</v>
      </c>
      <c r="Q2323" t="s">
        <v>3771</v>
      </c>
      <c r="R2323" t="s">
        <v>446</v>
      </c>
      <c r="S2323" t="s">
        <v>446</v>
      </c>
      <c r="T2323" t="s">
        <v>1965</v>
      </c>
      <c r="U2323" t="b">
        <v>0</v>
      </c>
      <c r="V2323" t="s">
        <v>446</v>
      </c>
    </row>
    <row r="2324" spans="1:22" x14ac:dyDescent="0.25">
      <c r="A2324" t="s">
        <v>42</v>
      </c>
      <c r="B2324">
        <v>275</v>
      </c>
      <c r="C2324" t="s">
        <v>987</v>
      </c>
      <c r="D2324" t="s">
        <v>5684</v>
      </c>
      <c r="E2324" t="s">
        <v>986</v>
      </c>
      <c r="F2324" t="s">
        <v>3218</v>
      </c>
      <c r="G2324" t="s">
        <v>24</v>
      </c>
      <c r="H2324" t="s">
        <v>26</v>
      </c>
      <c r="I2324" t="s">
        <v>3167</v>
      </c>
      <c r="J2324" t="s">
        <v>990</v>
      </c>
      <c r="K2324" t="s">
        <v>3171</v>
      </c>
      <c r="L2324" t="s">
        <v>990</v>
      </c>
      <c r="M2324" t="s">
        <v>980</v>
      </c>
      <c r="N2324" t="s">
        <v>988</v>
      </c>
      <c r="O2324" t="s">
        <v>988</v>
      </c>
      <c r="P2324" t="s">
        <v>1746</v>
      </c>
      <c r="Q2324" t="s">
        <v>3771</v>
      </c>
      <c r="R2324" t="s">
        <v>446</v>
      </c>
      <c r="S2324" t="s">
        <v>446</v>
      </c>
      <c r="T2324" t="s">
        <v>1965</v>
      </c>
      <c r="U2324" t="b">
        <v>0</v>
      </c>
      <c r="V2324" t="s">
        <v>446</v>
      </c>
    </row>
    <row r="2325" spans="1:22" x14ac:dyDescent="0.25">
      <c r="A2325" t="s">
        <v>42</v>
      </c>
      <c r="B2325">
        <v>275</v>
      </c>
      <c r="C2325" t="s">
        <v>993</v>
      </c>
      <c r="D2325" t="s">
        <v>5685</v>
      </c>
      <c r="E2325" t="s">
        <v>992</v>
      </c>
      <c r="F2325" t="s">
        <v>3218</v>
      </c>
      <c r="G2325" t="s">
        <v>24</v>
      </c>
      <c r="H2325" t="s">
        <v>26</v>
      </c>
      <c r="I2325" t="s">
        <v>3167</v>
      </c>
      <c r="J2325" t="s">
        <v>996</v>
      </c>
      <c r="K2325" t="s">
        <v>3173</v>
      </c>
      <c r="L2325" t="s">
        <v>996</v>
      </c>
      <c r="M2325" t="s">
        <v>980</v>
      </c>
      <c r="N2325" t="s">
        <v>994</v>
      </c>
      <c r="O2325" t="s">
        <v>994</v>
      </c>
      <c r="P2325" t="s">
        <v>1746</v>
      </c>
      <c r="Q2325" t="s">
        <v>3771</v>
      </c>
      <c r="R2325" t="s">
        <v>446</v>
      </c>
      <c r="S2325" t="s">
        <v>446</v>
      </c>
      <c r="T2325" t="s">
        <v>1965</v>
      </c>
      <c r="U2325" t="b">
        <v>0</v>
      </c>
      <c r="V2325" t="s">
        <v>446</v>
      </c>
    </row>
    <row r="2326" spans="1:22" x14ac:dyDescent="0.25">
      <c r="A2326" t="s">
        <v>42</v>
      </c>
      <c r="B2326">
        <v>275</v>
      </c>
      <c r="C2326" t="s">
        <v>999</v>
      </c>
      <c r="D2326" t="s">
        <v>5686</v>
      </c>
      <c r="E2326" t="s">
        <v>998</v>
      </c>
      <c r="F2326" t="s">
        <v>3218</v>
      </c>
      <c r="G2326" t="s">
        <v>24</v>
      </c>
      <c r="H2326" t="s">
        <v>26</v>
      </c>
      <c r="I2326" t="s">
        <v>3167</v>
      </c>
      <c r="J2326" t="s">
        <v>1003</v>
      </c>
      <c r="K2326" t="s">
        <v>3175</v>
      </c>
      <c r="L2326" t="s">
        <v>1003</v>
      </c>
      <c r="M2326" t="s">
        <v>1000</v>
      </c>
      <c r="N2326" t="s">
        <v>1001</v>
      </c>
      <c r="O2326" t="s">
        <v>1001</v>
      </c>
      <c r="P2326" t="s">
        <v>1746</v>
      </c>
      <c r="Q2326" t="s">
        <v>3771</v>
      </c>
      <c r="R2326" t="s">
        <v>446</v>
      </c>
      <c r="S2326" t="s">
        <v>446</v>
      </c>
      <c r="T2326" t="s">
        <v>1965</v>
      </c>
      <c r="U2326" t="b">
        <v>0</v>
      </c>
      <c r="V2326" t="s">
        <v>446</v>
      </c>
    </row>
    <row r="2327" spans="1:22" x14ac:dyDescent="0.25">
      <c r="A2327" t="s">
        <v>42</v>
      </c>
      <c r="B2327">
        <v>275</v>
      </c>
      <c r="C2327" t="s">
        <v>1005</v>
      </c>
      <c r="D2327" t="s">
        <v>5687</v>
      </c>
      <c r="E2327" t="s">
        <v>982</v>
      </c>
      <c r="F2327" t="s">
        <v>3166</v>
      </c>
      <c r="G2327" t="s">
        <v>24</v>
      </c>
      <c r="H2327" t="s">
        <v>26</v>
      </c>
      <c r="I2327" t="s">
        <v>3167</v>
      </c>
      <c r="J2327" t="s">
        <v>1003</v>
      </c>
      <c r="K2327" t="s">
        <v>3175</v>
      </c>
      <c r="L2327" t="s">
        <v>1003</v>
      </c>
      <c r="M2327" t="s">
        <v>1000</v>
      </c>
      <c r="N2327" t="s">
        <v>1001</v>
      </c>
      <c r="O2327" t="s">
        <v>1001</v>
      </c>
      <c r="P2327" t="s">
        <v>1746</v>
      </c>
      <c r="Q2327" t="s">
        <v>3771</v>
      </c>
      <c r="R2327" t="s">
        <v>446</v>
      </c>
      <c r="S2327" t="s">
        <v>446</v>
      </c>
      <c r="T2327" t="s">
        <v>1965</v>
      </c>
      <c r="U2327" t="b">
        <v>0</v>
      </c>
      <c r="V2327" t="s">
        <v>446</v>
      </c>
    </row>
    <row r="2328" spans="1:22" x14ac:dyDescent="0.25">
      <c r="A2328" t="s">
        <v>42</v>
      </c>
      <c r="B2328">
        <v>275</v>
      </c>
      <c r="C2328" t="s">
        <v>1007</v>
      </c>
      <c r="D2328" t="s">
        <v>5688</v>
      </c>
      <c r="E2328" t="s">
        <v>1006</v>
      </c>
      <c r="F2328" t="s">
        <v>3218</v>
      </c>
      <c r="G2328" t="s">
        <v>24</v>
      </c>
      <c r="H2328" t="s">
        <v>26</v>
      </c>
      <c r="I2328" t="s">
        <v>3167</v>
      </c>
      <c r="J2328" t="s">
        <v>1011</v>
      </c>
      <c r="K2328" t="s">
        <v>3179</v>
      </c>
      <c r="L2328" t="s">
        <v>1011</v>
      </c>
      <c r="M2328" t="s">
        <v>1008</v>
      </c>
      <c r="N2328" t="s">
        <v>1009</v>
      </c>
      <c r="O2328" t="s">
        <v>1009</v>
      </c>
      <c r="P2328" t="s">
        <v>1746</v>
      </c>
      <c r="Q2328" t="s">
        <v>3771</v>
      </c>
      <c r="R2328" t="s">
        <v>446</v>
      </c>
      <c r="S2328" t="s">
        <v>446</v>
      </c>
      <c r="T2328" t="s">
        <v>1965</v>
      </c>
      <c r="U2328" t="b">
        <v>0</v>
      </c>
      <c r="V2328" t="s">
        <v>446</v>
      </c>
    </row>
    <row r="2329" spans="1:22" x14ac:dyDescent="0.25">
      <c r="A2329" t="s">
        <v>42</v>
      </c>
      <c r="B2329">
        <v>275</v>
      </c>
      <c r="C2329" t="s">
        <v>1014</v>
      </c>
      <c r="D2329" t="s">
        <v>5689</v>
      </c>
      <c r="E2329" t="s">
        <v>1013</v>
      </c>
      <c r="F2329" t="s">
        <v>3218</v>
      </c>
      <c r="G2329" t="s">
        <v>24</v>
      </c>
      <c r="H2329" t="s">
        <v>26</v>
      </c>
      <c r="I2329" t="s">
        <v>3167</v>
      </c>
      <c r="J2329" t="s">
        <v>1016</v>
      </c>
      <c r="K2329" t="s">
        <v>3181</v>
      </c>
      <c r="L2329" t="s">
        <v>1016</v>
      </c>
      <c r="M2329" t="s">
        <v>980</v>
      </c>
      <c r="N2329" t="s">
        <v>1015</v>
      </c>
      <c r="O2329" t="s">
        <v>1015</v>
      </c>
      <c r="P2329" t="s">
        <v>1746</v>
      </c>
      <c r="Q2329" t="s">
        <v>3771</v>
      </c>
      <c r="R2329" t="s">
        <v>446</v>
      </c>
      <c r="S2329" t="s">
        <v>446</v>
      </c>
      <c r="T2329" t="s">
        <v>1965</v>
      </c>
      <c r="U2329" t="b">
        <v>0</v>
      </c>
      <c r="V2329" t="s">
        <v>446</v>
      </c>
    </row>
    <row r="2330" spans="1:22" x14ac:dyDescent="0.25">
      <c r="A2330" t="s">
        <v>42</v>
      </c>
      <c r="B2330">
        <v>275</v>
      </c>
      <c r="C2330" t="s">
        <v>1019</v>
      </c>
      <c r="D2330" t="s">
        <v>5690</v>
      </c>
      <c r="E2330" t="s">
        <v>1018</v>
      </c>
      <c r="F2330" t="s">
        <v>3218</v>
      </c>
      <c r="G2330" t="s">
        <v>24</v>
      </c>
      <c r="H2330" t="s">
        <v>26</v>
      </c>
      <c r="I2330" t="s">
        <v>3167</v>
      </c>
      <c r="J2330" t="s">
        <v>1021</v>
      </c>
      <c r="K2330" t="s">
        <v>3183</v>
      </c>
      <c r="L2330" t="s">
        <v>1021</v>
      </c>
      <c r="M2330" t="s">
        <v>980</v>
      </c>
      <c r="N2330" t="s">
        <v>1020</v>
      </c>
      <c r="O2330" t="s">
        <v>1020</v>
      </c>
      <c r="P2330" t="s">
        <v>1746</v>
      </c>
      <c r="Q2330" t="s">
        <v>3771</v>
      </c>
      <c r="R2330" t="s">
        <v>446</v>
      </c>
      <c r="S2330" t="s">
        <v>446</v>
      </c>
      <c r="T2330" t="s">
        <v>1965</v>
      </c>
      <c r="U2330" t="b">
        <v>0</v>
      </c>
      <c r="V2330" t="s">
        <v>446</v>
      </c>
    </row>
    <row r="2331" spans="1:22" x14ac:dyDescent="0.25">
      <c r="A2331" t="s">
        <v>42</v>
      </c>
      <c r="B2331">
        <v>275</v>
      </c>
      <c r="C2331" t="s">
        <v>1024</v>
      </c>
      <c r="D2331" t="s">
        <v>5691</v>
      </c>
      <c r="E2331" t="s">
        <v>1023</v>
      </c>
      <c r="F2331" t="s">
        <v>3218</v>
      </c>
      <c r="G2331" t="s">
        <v>24</v>
      </c>
      <c r="H2331" t="s">
        <v>26</v>
      </c>
      <c r="I2331" t="s">
        <v>3167</v>
      </c>
      <c r="J2331" t="s">
        <v>1026</v>
      </c>
      <c r="K2331" t="s">
        <v>3185</v>
      </c>
      <c r="L2331" t="s">
        <v>1026</v>
      </c>
      <c r="M2331" t="s">
        <v>1000</v>
      </c>
      <c r="N2331" t="s">
        <v>1025</v>
      </c>
      <c r="O2331" t="s">
        <v>1025</v>
      </c>
      <c r="P2331" t="s">
        <v>1746</v>
      </c>
      <c r="Q2331" t="s">
        <v>3771</v>
      </c>
      <c r="R2331" t="s">
        <v>446</v>
      </c>
      <c r="S2331" t="s">
        <v>446</v>
      </c>
      <c r="T2331" t="s">
        <v>1965</v>
      </c>
      <c r="U2331" t="b">
        <v>0</v>
      </c>
      <c r="V2331" t="s">
        <v>446</v>
      </c>
    </row>
    <row r="2332" spans="1:22" x14ac:dyDescent="0.25">
      <c r="A2332" t="s">
        <v>42</v>
      </c>
      <c r="B2332">
        <v>275</v>
      </c>
      <c r="C2332" t="s">
        <v>1028</v>
      </c>
      <c r="D2332" t="s">
        <v>5692</v>
      </c>
      <c r="E2332" t="s">
        <v>1010</v>
      </c>
      <c r="F2332" t="s">
        <v>3178</v>
      </c>
      <c r="G2332" t="s">
        <v>24</v>
      </c>
      <c r="H2332" t="s">
        <v>26</v>
      </c>
      <c r="I2332" t="s">
        <v>3167</v>
      </c>
      <c r="J2332" t="s">
        <v>1026</v>
      </c>
      <c r="K2332" t="s">
        <v>3185</v>
      </c>
      <c r="L2332" t="s">
        <v>1026</v>
      </c>
      <c r="M2332" t="s">
        <v>1000</v>
      </c>
      <c r="N2332" t="s">
        <v>1025</v>
      </c>
      <c r="O2332" t="s">
        <v>1025</v>
      </c>
      <c r="P2332" t="s">
        <v>1746</v>
      </c>
      <c r="Q2332" t="s">
        <v>3771</v>
      </c>
      <c r="R2332" t="s">
        <v>446</v>
      </c>
      <c r="S2332" t="s">
        <v>446</v>
      </c>
      <c r="T2332" t="s">
        <v>1965</v>
      </c>
      <c r="U2332" t="b">
        <v>0</v>
      </c>
      <c r="V2332" t="s">
        <v>446</v>
      </c>
    </row>
    <row r="2333" spans="1:22" x14ac:dyDescent="0.25">
      <c r="A2333" t="s">
        <v>42</v>
      </c>
      <c r="B2333">
        <v>275</v>
      </c>
      <c r="C2333" t="s">
        <v>1030</v>
      </c>
      <c r="D2333" t="s">
        <v>5693</v>
      </c>
      <c r="E2333" t="s">
        <v>1029</v>
      </c>
      <c r="F2333" t="s">
        <v>3218</v>
      </c>
      <c r="G2333" t="s">
        <v>24</v>
      </c>
      <c r="H2333" t="s">
        <v>26</v>
      </c>
      <c r="I2333" t="s">
        <v>3167</v>
      </c>
      <c r="J2333" t="s">
        <v>1033</v>
      </c>
      <c r="K2333" t="s">
        <v>3189</v>
      </c>
      <c r="L2333" t="s">
        <v>1033</v>
      </c>
      <c r="M2333" t="s">
        <v>980</v>
      </c>
      <c r="N2333" t="s">
        <v>1031</v>
      </c>
      <c r="O2333" t="s">
        <v>1031</v>
      </c>
      <c r="P2333" t="s">
        <v>1746</v>
      </c>
      <c r="Q2333" t="s">
        <v>3771</v>
      </c>
      <c r="R2333" t="s">
        <v>446</v>
      </c>
      <c r="S2333" t="s">
        <v>446</v>
      </c>
      <c r="T2333" t="s">
        <v>1965</v>
      </c>
      <c r="U2333" t="b">
        <v>0</v>
      </c>
      <c r="V2333" t="s">
        <v>446</v>
      </c>
    </row>
    <row r="2334" spans="1:22" x14ac:dyDescent="0.25">
      <c r="A2334" t="s">
        <v>42</v>
      </c>
      <c r="B2334">
        <v>275</v>
      </c>
      <c r="C2334" t="s">
        <v>1036</v>
      </c>
      <c r="D2334" t="s">
        <v>5694</v>
      </c>
      <c r="E2334" t="s">
        <v>1035</v>
      </c>
      <c r="F2334" t="s">
        <v>3218</v>
      </c>
      <c r="G2334" t="s">
        <v>24</v>
      </c>
      <c r="H2334" t="s">
        <v>26</v>
      </c>
      <c r="I2334" t="s">
        <v>3167</v>
      </c>
      <c r="J2334" t="s">
        <v>1038</v>
      </c>
      <c r="K2334" t="s">
        <v>3191</v>
      </c>
      <c r="L2334" t="s">
        <v>1038</v>
      </c>
      <c r="M2334" t="s">
        <v>980</v>
      </c>
      <c r="N2334" t="s">
        <v>1037</v>
      </c>
      <c r="O2334" t="s">
        <v>1037</v>
      </c>
      <c r="P2334" t="s">
        <v>1746</v>
      </c>
      <c r="Q2334" t="s">
        <v>3771</v>
      </c>
      <c r="R2334" t="s">
        <v>446</v>
      </c>
      <c r="S2334" t="s">
        <v>446</v>
      </c>
      <c r="T2334" t="s">
        <v>1965</v>
      </c>
      <c r="U2334" t="b">
        <v>0</v>
      </c>
      <c r="V2334" t="s">
        <v>446</v>
      </c>
    </row>
    <row r="2335" spans="1:22" x14ac:dyDescent="0.25">
      <c r="A2335" t="s">
        <v>42</v>
      </c>
      <c r="B2335">
        <v>275</v>
      </c>
      <c r="C2335" t="s">
        <v>1041</v>
      </c>
      <c r="D2335" t="s">
        <v>5695</v>
      </c>
      <c r="E2335" t="s">
        <v>1040</v>
      </c>
      <c r="F2335" t="s">
        <v>3218</v>
      </c>
      <c r="G2335" t="s">
        <v>24</v>
      </c>
      <c r="H2335" t="s">
        <v>26</v>
      </c>
      <c r="I2335" t="s">
        <v>3167</v>
      </c>
      <c r="J2335" t="s">
        <v>1043</v>
      </c>
      <c r="K2335" t="s">
        <v>3193</v>
      </c>
      <c r="L2335" t="s">
        <v>1043</v>
      </c>
      <c r="M2335" t="s">
        <v>980</v>
      </c>
      <c r="N2335" t="s">
        <v>1042</v>
      </c>
      <c r="O2335" t="s">
        <v>1042</v>
      </c>
      <c r="P2335" t="s">
        <v>1746</v>
      </c>
      <c r="Q2335" t="s">
        <v>3771</v>
      </c>
      <c r="R2335" t="s">
        <v>446</v>
      </c>
      <c r="S2335" t="s">
        <v>446</v>
      </c>
      <c r="T2335" t="s">
        <v>1965</v>
      </c>
      <c r="U2335" t="b">
        <v>0</v>
      </c>
      <c r="V2335" t="s">
        <v>446</v>
      </c>
    </row>
    <row r="2336" spans="1:22" x14ac:dyDescent="0.25">
      <c r="A2336" t="s">
        <v>42</v>
      </c>
      <c r="B2336">
        <v>275</v>
      </c>
      <c r="C2336" t="s">
        <v>1046</v>
      </c>
      <c r="D2336" t="s">
        <v>5696</v>
      </c>
      <c r="E2336" t="s">
        <v>1045</v>
      </c>
      <c r="F2336" t="s">
        <v>3218</v>
      </c>
      <c r="G2336" t="s">
        <v>24</v>
      </c>
      <c r="H2336" t="s">
        <v>26</v>
      </c>
      <c r="I2336" t="s">
        <v>3167</v>
      </c>
      <c r="J2336" t="s">
        <v>1048</v>
      </c>
      <c r="K2336" t="s">
        <v>3195</v>
      </c>
      <c r="L2336" t="s">
        <v>1048</v>
      </c>
      <c r="M2336" t="s">
        <v>1000</v>
      </c>
      <c r="N2336" t="s">
        <v>1047</v>
      </c>
      <c r="O2336" t="s">
        <v>1047</v>
      </c>
      <c r="P2336" t="s">
        <v>1746</v>
      </c>
      <c r="Q2336" t="s">
        <v>3771</v>
      </c>
      <c r="R2336" t="s">
        <v>446</v>
      </c>
      <c r="S2336" t="s">
        <v>446</v>
      </c>
      <c r="T2336" t="s">
        <v>1965</v>
      </c>
      <c r="U2336" t="b">
        <v>0</v>
      </c>
      <c r="V2336" t="s">
        <v>446</v>
      </c>
    </row>
    <row r="2337" spans="1:22" x14ac:dyDescent="0.25">
      <c r="A2337" t="s">
        <v>42</v>
      </c>
      <c r="B2337">
        <v>275</v>
      </c>
      <c r="C2337" t="s">
        <v>1050</v>
      </c>
      <c r="D2337" t="s">
        <v>5697</v>
      </c>
      <c r="E2337" t="s">
        <v>1032</v>
      </c>
      <c r="F2337" t="s">
        <v>3188</v>
      </c>
      <c r="G2337" t="s">
        <v>24</v>
      </c>
      <c r="H2337" t="s">
        <v>26</v>
      </c>
      <c r="I2337" t="s">
        <v>3167</v>
      </c>
      <c r="J2337" t="s">
        <v>1048</v>
      </c>
      <c r="K2337" t="s">
        <v>3195</v>
      </c>
      <c r="L2337" t="s">
        <v>1048</v>
      </c>
      <c r="M2337" t="s">
        <v>1000</v>
      </c>
      <c r="N2337" t="s">
        <v>1047</v>
      </c>
      <c r="O2337" t="s">
        <v>1047</v>
      </c>
      <c r="P2337" t="s">
        <v>1746</v>
      </c>
      <c r="Q2337" t="s">
        <v>3771</v>
      </c>
      <c r="R2337" t="s">
        <v>446</v>
      </c>
      <c r="S2337" t="s">
        <v>446</v>
      </c>
      <c r="T2337" t="s">
        <v>1965</v>
      </c>
      <c r="U2337" t="b">
        <v>0</v>
      </c>
      <c r="V2337" t="s">
        <v>446</v>
      </c>
    </row>
    <row r="2338" spans="1:22" x14ac:dyDescent="0.25">
      <c r="A2338" t="s">
        <v>42</v>
      </c>
      <c r="B2338">
        <v>275</v>
      </c>
      <c r="C2338" t="s">
        <v>1052</v>
      </c>
      <c r="D2338" t="s">
        <v>5698</v>
      </c>
      <c r="E2338" t="s">
        <v>1051</v>
      </c>
      <c r="F2338" t="s">
        <v>3218</v>
      </c>
      <c r="G2338" t="s">
        <v>24</v>
      </c>
      <c r="H2338" t="s">
        <v>26</v>
      </c>
      <c r="I2338" t="s">
        <v>3167</v>
      </c>
      <c r="J2338" t="s">
        <v>1055</v>
      </c>
      <c r="K2338" t="s">
        <v>3199</v>
      </c>
      <c r="L2338" t="s">
        <v>1055</v>
      </c>
      <c r="M2338" t="s">
        <v>980</v>
      </c>
      <c r="N2338" t="s">
        <v>1053</v>
      </c>
      <c r="O2338" t="s">
        <v>1053</v>
      </c>
      <c r="P2338" t="s">
        <v>1746</v>
      </c>
      <c r="Q2338" t="s">
        <v>3771</v>
      </c>
      <c r="R2338" t="s">
        <v>446</v>
      </c>
      <c r="S2338" t="s">
        <v>446</v>
      </c>
      <c r="T2338" t="s">
        <v>1965</v>
      </c>
      <c r="U2338" t="b">
        <v>0</v>
      </c>
      <c r="V2338" t="s">
        <v>446</v>
      </c>
    </row>
    <row r="2339" spans="1:22" x14ac:dyDescent="0.25">
      <c r="A2339" t="s">
        <v>42</v>
      </c>
      <c r="B2339">
        <v>280</v>
      </c>
      <c r="C2339" t="s">
        <v>979</v>
      </c>
      <c r="D2339" t="s">
        <v>1883</v>
      </c>
      <c r="E2339" t="s">
        <v>978</v>
      </c>
      <c r="G2339" t="s">
        <v>24</v>
      </c>
      <c r="H2339" t="s">
        <v>26</v>
      </c>
      <c r="I2339" t="s">
        <v>3167</v>
      </c>
      <c r="J2339" t="s">
        <v>984</v>
      </c>
      <c r="K2339" t="s">
        <v>3168</v>
      </c>
      <c r="L2339" t="s">
        <v>984</v>
      </c>
      <c r="M2339" t="s">
        <v>980</v>
      </c>
      <c r="N2339" t="s">
        <v>981</v>
      </c>
      <c r="O2339" t="s">
        <v>981</v>
      </c>
      <c r="P2339" t="s">
        <v>1746</v>
      </c>
      <c r="Q2339" t="s">
        <v>3771</v>
      </c>
      <c r="R2339" t="s">
        <v>446</v>
      </c>
      <c r="S2339" t="s">
        <v>446</v>
      </c>
      <c r="T2339" t="s">
        <v>3216</v>
      </c>
      <c r="U2339" t="b">
        <v>0</v>
      </c>
      <c r="V2339" t="s">
        <v>1094</v>
      </c>
    </row>
    <row r="2340" spans="1:22" x14ac:dyDescent="0.25">
      <c r="A2340" t="s">
        <v>42</v>
      </c>
      <c r="B2340">
        <v>280</v>
      </c>
      <c r="C2340" t="s">
        <v>987</v>
      </c>
      <c r="D2340" t="s">
        <v>1885</v>
      </c>
      <c r="E2340" t="s">
        <v>986</v>
      </c>
      <c r="G2340" t="s">
        <v>24</v>
      </c>
      <c r="H2340" t="s">
        <v>26</v>
      </c>
      <c r="I2340" t="s">
        <v>3167</v>
      </c>
      <c r="J2340" t="s">
        <v>990</v>
      </c>
      <c r="K2340" t="s">
        <v>3171</v>
      </c>
      <c r="L2340" t="s">
        <v>990</v>
      </c>
      <c r="M2340" t="s">
        <v>980</v>
      </c>
      <c r="N2340" t="s">
        <v>988</v>
      </c>
      <c r="O2340" t="s">
        <v>988</v>
      </c>
      <c r="P2340" t="s">
        <v>1746</v>
      </c>
      <c r="Q2340" t="s">
        <v>3771</v>
      </c>
      <c r="R2340" t="s">
        <v>446</v>
      </c>
      <c r="S2340" t="s">
        <v>446</v>
      </c>
      <c r="T2340" t="s">
        <v>3216</v>
      </c>
      <c r="U2340" t="b">
        <v>0</v>
      </c>
      <c r="V2340" t="s">
        <v>1094</v>
      </c>
    </row>
    <row r="2341" spans="1:22" x14ac:dyDescent="0.25">
      <c r="A2341" t="s">
        <v>42</v>
      </c>
      <c r="B2341">
        <v>280</v>
      </c>
      <c r="C2341" t="s">
        <v>993</v>
      </c>
      <c r="D2341" t="s">
        <v>1887</v>
      </c>
      <c r="E2341" t="s">
        <v>992</v>
      </c>
      <c r="G2341" t="s">
        <v>24</v>
      </c>
      <c r="H2341" t="s">
        <v>26</v>
      </c>
      <c r="I2341" t="s">
        <v>3167</v>
      </c>
      <c r="J2341" t="s">
        <v>996</v>
      </c>
      <c r="K2341" t="s">
        <v>3173</v>
      </c>
      <c r="L2341" t="s">
        <v>996</v>
      </c>
      <c r="M2341" t="s">
        <v>980</v>
      </c>
      <c r="N2341" t="s">
        <v>994</v>
      </c>
      <c r="O2341" t="s">
        <v>994</v>
      </c>
      <c r="P2341" t="s">
        <v>1746</v>
      </c>
      <c r="Q2341" t="s">
        <v>3771</v>
      </c>
      <c r="R2341" t="s">
        <v>446</v>
      </c>
      <c r="S2341" t="s">
        <v>446</v>
      </c>
      <c r="T2341" t="s">
        <v>3216</v>
      </c>
      <c r="U2341" t="b">
        <v>0</v>
      </c>
      <c r="V2341" t="s">
        <v>1094</v>
      </c>
    </row>
    <row r="2342" spans="1:22" x14ac:dyDescent="0.25">
      <c r="A2342" t="s">
        <v>42</v>
      </c>
      <c r="B2342">
        <v>280</v>
      </c>
      <c r="C2342" t="s">
        <v>999</v>
      </c>
      <c r="D2342" t="s">
        <v>5699</v>
      </c>
      <c r="E2342" t="s">
        <v>998</v>
      </c>
      <c r="F2342" t="s">
        <v>3218</v>
      </c>
      <c r="G2342" t="s">
        <v>24</v>
      </c>
      <c r="H2342" t="s">
        <v>26</v>
      </c>
      <c r="I2342" t="s">
        <v>3167</v>
      </c>
      <c r="J2342" t="s">
        <v>1003</v>
      </c>
      <c r="K2342" t="s">
        <v>3175</v>
      </c>
      <c r="L2342" t="s">
        <v>1003</v>
      </c>
      <c r="M2342" t="s">
        <v>1000</v>
      </c>
      <c r="N2342" t="s">
        <v>1001</v>
      </c>
      <c r="O2342" t="s">
        <v>1001</v>
      </c>
      <c r="P2342" t="s">
        <v>1746</v>
      </c>
      <c r="Q2342" t="s">
        <v>3771</v>
      </c>
      <c r="R2342" t="s">
        <v>446</v>
      </c>
      <c r="S2342" t="s">
        <v>446</v>
      </c>
      <c r="T2342" t="s">
        <v>1965</v>
      </c>
      <c r="U2342" t="b">
        <v>0</v>
      </c>
      <c r="V2342" t="s">
        <v>446</v>
      </c>
    </row>
    <row r="2343" spans="1:22" x14ac:dyDescent="0.25">
      <c r="A2343" t="s">
        <v>42</v>
      </c>
      <c r="B2343">
        <v>280</v>
      </c>
      <c r="C2343" t="s">
        <v>1005</v>
      </c>
      <c r="D2343" t="s">
        <v>1889</v>
      </c>
      <c r="E2343" t="s">
        <v>982</v>
      </c>
      <c r="G2343" t="s">
        <v>24</v>
      </c>
      <c r="H2343" t="s">
        <v>26</v>
      </c>
      <c r="I2343" t="s">
        <v>3167</v>
      </c>
      <c r="J2343" t="s">
        <v>1003</v>
      </c>
      <c r="K2343" t="s">
        <v>3175</v>
      </c>
      <c r="L2343" t="s">
        <v>1003</v>
      </c>
      <c r="M2343" t="s">
        <v>1000</v>
      </c>
      <c r="N2343" t="s">
        <v>1001</v>
      </c>
      <c r="O2343" t="s">
        <v>1001</v>
      </c>
      <c r="P2343" t="s">
        <v>1746</v>
      </c>
      <c r="Q2343" t="s">
        <v>3771</v>
      </c>
      <c r="R2343" t="s">
        <v>446</v>
      </c>
      <c r="S2343" t="s">
        <v>446</v>
      </c>
      <c r="T2343" t="s">
        <v>3216</v>
      </c>
      <c r="U2343" t="b">
        <v>0</v>
      </c>
      <c r="V2343" t="s">
        <v>1094</v>
      </c>
    </row>
    <row r="2344" spans="1:22" x14ac:dyDescent="0.25">
      <c r="A2344" t="s">
        <v>42</v>
      </c>
      <c r="B2344">
        <v>280</v>
      </c>
      <c r="C2344" t="s">
        <v>1007</v>
      </c>
      <c r="D2344" t="s">
        <v>1891</v>
      </c>
      <c r="E2344" t="s">
        <v>1006</v>
      </c>
      <c r="G2344" t="s">
        <v>24</v>
      </c>
      <c r="H2344" t="s">
        <v>26</v>
      </c>
      <c r="I2344" t="s">
        <v>3167</v>
      </c>
      <c r="J2344" t="s">
        <v>1011</v>
      </c>
      <c r="K2344" t="s">
        <v>3179</v>
      </c>
      <c r="L2344" t="s">
        <v>1011</v>
      </c>
      <c r="M2344" t="s">
        <v>1008</v>
      </c>
      <c r="N2344" t="s">
        <v>1009</v>
      </c>
      <c r="O2344" t="s">
        <v>1009</v>
      </c>
      <c r="P2344" t="s">
        <v>1746</v>
      </c>
      <c r="Q2344" t="s">
        <v>3771</v>
      </c>
      <c r="R2344" t="s">
        <v>446</v>
      </c>
      <c r="S2344" t="s">
        <v>446</v>
      </c>
      <c r="T2344" t="s">
        <v>3216</v>
      </c>
      <c r="U2344" t="b">
        <v>0</v>
      </c>
      <c r="V2344" t="s">
        <v>1094</v>
      </c>
    </row>
    <row r="2345" spans="1:22" x14ac:dyDescent="0.25">
      <c r="A2345" t="s">
        <v>42</v>
      </c>
      <c r="B2345">
        <v>280</v>
      </c>
      <c r="C2345" t="s">
        <v>1014</v>
      </c>
      <c r="D2345" t="s">
        <v>1892</v>
      </c>
      <c r="E2345" t="s">
        <v>1013</v>
      </c>
      <c r="G2345" t="s">
        <v>24</v>
      </c>
      <c r="H2345" t="s">
        <v>26</v>
      </c>
      <c r="I2345" t="s">
        <v>3167</v>
      </c>
      <c r="J2345" t="s">
        <v>1016</v>
      </c>
      <c r="K2345" t="s">
        <v>3181</v>
      </c>
      <c r="L2345" t="s">
        <v>1016</v>
      </c>
      <c r="M2345" t="s">
        <v>980</v>
      </c>
      <c r="N2345" t="s">
        <v>1015</v>
      </c>
      <c r="O2345" t="s">
        <v>1015</v>
      </c>
      <c r="P2345" t="s">
        <v>1746</v>
      </c>
      <c r="Q2345" t="s">
        <v>3771</v>
      </c>
      <c r="R2345" t="s">
        <v>446</v>
      </c>
      <c r="S2345" t="s">
        <v>446</v>
      </c>
      <c r="T2345" t="s">
        <v>3216</v>
      </c>
      <c r="U2345" t="b">
        <v>0</v>
      </c>
      <c r="V2345" t="s">
        <v>1094</v>
      </c>
    </row>
    <row r="2346" spans="1:22" x14ac:dyDescent="0.25">
      <c r="A2346" t="s">
        <v>42</v>
      </c>
      <c r="B2346">
        <v>280</v>
      </c>
      <c r="C2346" t="s">
        <v>1019</v>
      </c>
      <c r="D2346" t="s">
        <v>1893</v>
      </c>
      <c r="E2346" t="s">
        <v>1018</v>
      </c>
      <c r="G2346" t="s">
        <v>24</v>
      </c>
      <c r="H2346" t="s">
        <v>26</v>
      </c>
      <c r="I2346" t="s">
        <v>3167</v>
      </c>
      <c r="J2346" t="s">
        <v>1021</v>
      </c>
      <c r="K2346" t="s">
        <v>3183</v>
      </c>
      <c r="L2346" t="s">
        <v>1021</v>
      </c>
      <c r="M2346" t="s">
        <v>980</v>
      </c>
      <c r="N2346" t="s">
        <v>1020</v>
      </c>
      <c r="O2346" t="s">
        <v>1020</v>
      </c>
      <c r="P2346" t="s">
        <v>1746</v>
      </c>
      <c r="Q2346" t="s">
        <v>3771</v>
      </c>
      <c r="R2346" t="s">
        <v>446</v>
      </c>
      <c r="S2346" t="s">
        <v>446</v>
      </c>
      <c r="T2346" t="s">
        <v>3216</v>
      </c>
      <c r="U2346" t="b">
        <v>0</v>
      </c>
      <c r="V2346" t="s">
        <v>1094</v>
      </c>
    </row>
    <row r="2347" spans="1:22" x14ac:dyDescent="0.25">
      <c r="A2347" t="s">
        <v>42</v>
      </c>
      <c r="B2347">
        <v>280</v>
      </c>
      <c r="C2347" t="s">
        <v>1024</v>
      </c>
      <c r="D2347" t="s">
        <v>5700</v>
      </c>
      <c r="E2347" t="s">
        <v>1023</v>
      </c>
      <c r="F2347" t="s">
        <v>3218</v>
      </c>
      <c r="G2347" t="s">
        <v>24</v>
      </c>
      <c r="H2347" t="s">
        <v>26</v>
      </c>
      <c r="I2347" t="s">
        <v>3167</v>
      </c>
      <c r="J2347" t="s">
        <v>1026</v>
      </c>
      <c r="K2347" t="s">
        <v>3185</v>
      </c>
      <c r="L2347" t="s">
        <v>1026</v>
      </c>
      <c r="M2347" t="s">
        <v>1000</v>
      </c>
      <c r="N2347" t="s">
        <v>1025</v>
      </c>
      <c r="O2347" t="s">
        <v>1025</v>
      </c>
      <c r="P2347" t="s">
        <v>1746</v>
      </c>
      <c r="Q2347" t="s">
        <v>3771</v>
      </c>
      <c r="R2347" t="s">
        <v>446</v>
      </c>
      <c r="S2347" t="s">
        <v>446</v>
      </c>
      <c r="T2347" t="s">
        <v>1965</v>
      </c>
      <c r="U2347" t="b">
        <v>0</v>
      </c>
      <c r="V2347" t="s">
        <v>446</v>
      </c>
    </row>
    <row r="2348" spans="1:22" x14ac:dyDescent="0.25">
      <c r="A2348" t="s">
        <v>42</v>
      </c>
      <c r="B2348">
        <v>280</v>
      </c>
      <c r="C2348" t="s">
        <v>1028</v>
      </c>
      <c r="D2348" t="s">
        <v>1894</v>
      </c>
      <c r="E2348" t="s">
        <v>1010</v>
      </c>
      <c r="G2348" t="s">
        <v>24</v>
      </c>
      <c r="H2348" t="s">
        <v>26</v>
      </c>
      <c r="I2348" t="s">
        <v>3167</v>
      </c>
      <c r="J2348" t="s">
        <v>1026</v>
      </c>
      <c r="K2348" t="s">
        <v>3185</v>
      </c>
      <c r="L2348" t="s">
        <v>1026</v>
      </c>
      <c r="M2348" t="s">
        <v>1000</v>
      </c>
      <c r="N2348" t="s">
        <v>1025</v>
      </c>
      <c r="O2348" t="s">
        <v>1025</v>
      </c>
      <c r="P2348" t="s">
        <v>1746</v>
      </c>
      <c r="Q2348" t="s">
        <v>3771</v>
      </c>
      <c r="R2348" t="s">
        <v>446</v>
      </c>
      <c r="S2348" t="s">
        <v>446</v>
      </c>
      <c r="T2348" t="s">
        <v>3216</v>
      </c>
      <c r="U2348" t="b">
        <v>0</v>
      </c>
      <c r="V2348" t="s">
        <v>1094</v>
      </c>
    </row>
    <row r="2349" spans="1:22" x14ac:dyDescent="0.25">
      <c r="A2349" t="s">
        <v>42</v>
      </c>
      <c r="B2349">
        <v>280</v>
      </c>
      <c r="C2349" t="s">
        <v>1030</v>
      </c>
      <c r="D2349" t="s">
        <v>1896</v>
      </c>
      <c r="E2349" t="s">
        <v>1029</v>
      </c>
      <c r="G2349" t="s">
        <v>24</v>
      </c>
      <c r="H2349" t="s">
        <v>26</v>
      </c>
      <c r="I2349" t="s">
        <v>3167</v>
      </c>
      <c r="J2349" t="s">
        <v>1033</v>
      </c>
      <c r="K2349" t="s">
        <v>3189</v>
      </c>
      <c r="L2349" t="s">
        <v>1033</v>
      </c>
      <c r="M2349" t="s">
        <v>980</v>
      </c>
      <c r="N2349" t="s">
        <v>1031</v>
      </c>
      <c r="O2349" t="s">
        <v>1031</v>
      </c>
      <c r="P2349" t="s">
        <v>1746</v>
      </c>
      <c r="Q2349" t="s">
        <v>3771</v>
      </c>
      <c r="R2349" t="s">
        <v>446</v>
      </c>
      <c r="S2349" t="s">
        <v>446</v>
      </c>
      <c r="T2349" t="s">
        <v>3216</v>
      </c>
      <c r="U2349" t="b">
        <v>0</v>
      </c>
      <c r="V2349" t="s">
        <v>1094</v>
      </c>
    </row>
    <row r="2350" spans="1:22" x14ac:dyDescent="0.25">
      <c r="A2350" t="s">
        <v>42</v>
      </c>
      <c r="B2350">
        <v>280</v>
      </c>
      <c r="C2350" t="s">
        <v>1036</v>
      </c>
      <c r="D2350" t="s">
        <v>1898</v>
      </c>
      <c r="E2350" t="s">
        <v>1035</v>
      </c>
      <c r="G2350" t="s">
        <v>24</v>
      </c>
      <c r="H2350" t="s">
        <v>26</v>
      </c>
      <c r="I2350" t="s">
        <v>3167</v>
      </c>
      <c r="J2350" t="s">
        <v>1038</v>
      </c>
      <c r="K2350" t="s">
        <v>3191</v>
      </c>
      <c r="L2350" t="s">
        <v>1038</v>
      </c>
      <c r="M2350" t="s">
        <v>980</v>
      </c>
      <c r="N2350" t="s">
        <v>1037</v>
      </c>
      <c r="O2350" t="s">
        <v>1037</v>
      </c>
      <c r="P2350" t="s">
        <v>1746</v>
      </c>
      <c r="Q2350" t="s">
        <v>3771</v>
      </c>
      <c r="R2350" t="s">
        <v>446</v>
      </c>
      <c r="S2350" t="s">
        <v>446</v>
      </c>
      <c r="T2350" t="s">
        <v>3216</v>
      </c>
      <c r="U2350" t="b">
        <v>0</v>
      </c>
      <c r="V2350" t="s">
        <v>1094</v>
      </c>
    </row>
    <row r="2351" spans="1:22" x14ac:dyDescent="0.25">
      <c r="A2351" t="s">
        <v>42</v>
      </c>
      <c r="B2351">
        <v>280</v>
      </c>
      <c r="C2351" t="s">
        <v>1041</v>
      </c>
      <c r="D2351" t="s">
        <v>1900</v>
      </c>
      <c r="E2351" t="s">
        <v>1040</v>
      </c>
      <c r="G2351" t="s">
        <v>24</v>
      </c>
      <c r="H2351" t="s">
        <v>26</v>
      </c>
      <c r="I2351" t="s">
        <v>3167</v>
      </c>
      <c r="J2351" t="s">
        <v>1043</v>
      </c>
      <c r="K2351" t="s">
        <v>3193</v>
      </c>
      <c r="L2351" t="s">
        <v>1043</v>
      </c>
      <c r="M2351" t="s">
        <v>980</v>
      </c>
      <c r="N2351" t="s">
        <v>1042</v>
      </c>
      <c r="O2351" t="s">
        <v>1042</v>
      </c>
      <c r="P2351" t="s">
        <v>1746</v>
      </c>
      <c r="Q2351" t="s">
        <v>3771</v>
      </c>
      <c r="R2351" t="s">
        <v>446</v>
      </c>
      <c r="S2351" t="s">
        <v>446</v>
      </c>
      <c r="T2351" t="s">
        <v>3216</v>
      </c>
      <c r="U2351" t="b">
        <v>0</v>
      </c>
      <c r="V2351" t="s">
        <v>1094</v>
      </c>
    </row>
    <row r="2352" spans="1:22" x14ac:dyDescent="0.25">
      <c r="A2352" t="s">
        <v>42</v>
      </c>
      <c r="B2352">
        <v>280</v>
      </c>
      <c r="C2352" t="s">
        <v>1046</v>
      </c>
      <c r="D2352" t="s">
        <v>1902</v>
      </c>
      <c r="E2352" t="s">
        <v>1045</v>
      </c>
      <c r="G2352" t="s">
        <v>24</v>
      </c>
      <c r="H2352" t="s">
        <v>26</v>
      </c>
      <c r="I2352" t="s">
        <v>3167</v>
      </c>
      <c r="J2352" t="s">
        <v>1048</v>
      </c>
      <c r="K2352" t="s">
        <v>3195</v>
      </c>
      <c r="L2352" t="s">
        <v>1048</v>
      </c>
      <c r="M2352" t="s">
        <v>1000</v>
      </c>
      <c r="N2352" t="s">
        <v>1047</v>
      </c>
      <c r="O2352" t="s">
        <v>1047</v>
      </c>
      <c r="P2352" t="s">
        <v>1746</v>
      </c>
      <c r="Q2352" t="s">
        <v>3771</v>
      </c>
      <c r="R2352" t="s">
        <v>446</v>
      </c>
      <c r="S2352" t="s">
        <v>446</v>
      </c>
      <c r="T2352" t="s">
        <v>3216</v>
      </c>
      <c r="U2352" t="b">
        <v>0</v>
      </c>
      <c r="V2352" t="s">
        <v>1094</v>
      </c>
    </row>
    <row r="2353" spans="1:22" x14ac:dyDescent="0.25">
      <c r="A2353" t="s">
        <v>42</v>
      </c>
      <c r="B2353">
        <v>280</v>
      </c>
      <c r="C2353" t="s">
        <v>1050</v>
      </c>
      <c r="D2353" t="s">
        <v>5701</v>
      </c>
      <c r="E2353" t="s">
        <v>1032</v>
      </c>
      <c r="F2353" t="s">
        <v>3218</v>
      </c>
      <c r="G2353" t="s">
        <v>24</v>
      </c>
      <c r="H2353" t="s">
        <v>26</v>
      </c>
      <c r="I2353" t="s">
        <v>3167</v>
      </c>
      <c r="J2353" t="s">
        <v>1048</v>
      </c>
      <c r="K2353" t="s">
        <v>3195</v>
      </c>
      <c r="L2353" t="s">
        <v>1048</v>
      </c>
      <c r="M2353" t="s">
        <v>1000</v>
      </c>
      <c r="N2353" t="s">
        <v>1047</v>
      </c>
      <c r="O2353" t="s">
        <v>1047</v>
      </c>
      <c r="P2353" t="s">
        <v>1746</v>
      </c>
      <c r="Q2353" t="s">
        <v>3771</v>
      </c>
      <c r="R2353" t="s">
        <v>446</v>
      </c>
      <c r="S2353" t="s">
        <v>446</v>
      </c>
      <c r="T2353" t="s">
        <v>1965</v>
      </c>
      <c r="U2353" t="b">
        <v>0</v>
      </c>
      <c r="V2353" t="s">
        <v>446</v>
      </c>
    </row>
    <row r="2354" spans="1:22" x14ac:dyDescent="0.25">
      <c r="A2354" t="s">
        <v>42</v>
      </c>
      <c r="B2354">
        <v>280</v>
      </c>
      <c r="C2354" t="s">
        <v>1052</v>
      </c>
      <c r="D2354" t="s">
        <v>1904</v>
      </c>
      <c r="E2354" t="s">
        <v>1051</v>
      </c>
      <c r="G2354" t="s">
        <v>24</v>
      </c>
      <c r="H2354" t="s">
        <v>26</v>
      </c>
      <c r="I2354" t="s">
        <v>3167</v>
      </c>
      <c r="J2354" t="s">
        <v>1055</v>
      </c>
      <c r="K2354" t="s">
        <v>3199</v>
      </c>
      <c r="L2354" t="s">
        <v>1055</v>
      </c>
      <c r="M2354" t="s">
        <v>980</v>
      </c>
      <c r="N2354" t="s">
        <v>1053</v>
      </c>
      <c r="O2354" t="s">
        <v>1053</v>
      </c>
      <c r="P2354" t="s">
        <v>1746</v>
      </c>
      <c r="Q2354" t="s">
        <v>3771</v>
      </c>
      <c r="R2354" t="s">
        <v>446</v>
      </c>
      <c r="S2354" t="s">
        <v>446</v>
      </c>
      <c r="T2354" t="s">
        <v>3216</v>
      </c>
      <c r="U2354" t="b">
        <v>0</v>
      </c>
      <c r="V2354" t="s">
        <v>1094</v>
      </c>
    </row>
    <row r="2355" spans="1:22" x14ac:dyDescent="0.25">
      <c r="A2355" t="s">
        <v>42</v>
      </c>
      <c r="B2355">
        <v>282</v>
      </c>
      <c r="C2355" t="s">
        <v>979</v>
      </c>
      <c r="D2355" t="s">
        <v>1906</v>
      </c>
      <c r="E2355" t="s">
        <v>978</v>
      </c>
      <c r="G2355" t="s">
        <v>24</v>
      </c>
      <c r="H2355" t="s">
        <v>26</v>
      </c>
      <c r="I2355" t="s">
        <v>3167</v>
      </c>
      <c r="J2355" t="s">
        <v>984</v>
      </c>
      <c r="K2355" t="s">
        <v>3168</v>
      </c>
      <c r="L2355" t="s">
        <v>984</v>
      </c>
      <c r="M2355" t="s">
        <v>980</v>
      </c>
      <c r="N2355" t="s">
        <v>981</v>
      </c>
      <c r="O2355" t="s">
        <v>981</v>
      </c>
      <c r="P2355" t="s">
        <v>1746</v>
      </c>
      <c r="Q2355" t="s">
        <v>3771</v>
      </c>
      <c r="R2355" t="s">
        <v>446</v>
      </c>
      <c r="S2355" t="s">
        <v>446</v>
      </c>
      <c r="T2355" t="s">
        <v>3216</v>
      </c>
      <c r="U2355" t="b">
        <v>0</v>
      </c>
      <c r="V2355" t="s">
        <v>1094</v>
      </c>
    </row>
    <row r="2356" spans="1:22" x14ac:dyDescent="0.25">
      <c r="A2356" t="s">
        <v>42</v>
      </c>
      <c r="B2356">
        <v>282</v>
      </c>
      <c r="C2356" t="s">
        <v>987</v>
      </c>
      <c r="D2356" t="s">
        <v>1908</v>
      </c>
      <c r="E2356" t="s">
        <v>986</v>
      </c>
      <c r="G2356" t="s">
        <v>24</v>
      </c>
      <c r="H2356" t="s">
        <v>26</v>
      </c>
      <c r="I2356" t="s">
        <v>3167</v>
      </c>
      <c r="J2356" t="s">
        <v>990</v>
      </c>
      <c r="K2356" t="s">
        <v>3171</v>
      </c>
      <c r="L2356" t="s">
        <v>990</v>
      </c>
      <c r="M2356" t="s">
        <v>980</v>
      </c>
      <c r="N2356" t="s">
        <v>988</v>
      </c>
      <c r="O2356" t="s">
        <v>988</v>
      </c>
      <c r="P2356" t="s">
        <v>1746</v>
      </c>
      <c r="Q2356" t="s">
        <v>3771</v>
      </c>
      <c r="R2356" t="s">
        <v>446</v>
      </c>
      <c r="S2356" t="s">
        <v>446</v>
      </c>
      <c r="T2356" t="s">
        <v>3216</v>
      </c>
      <c r="U2356" t="b">
        <v>0</v>
      </c>
      <c r="V2356" t="s">
        <v>1094</v>
      </c>
    </row>
    <row r="2357" spans="1:22" x14ac:dyDescent="0.25">
      <c r="A2357" t="s">
        <v>42</v>
      </c>
      <c r="B2357">
        <v>282</v>
      </c>
      <c r="C2357" t="s">
        <v>993</v>
      </c>
      <c r="D2357" t="s">
        <v>1910</v>
      </c>
      <c r="E2357" t="s">
        <v>992</v>
      </c>
      <c r="G2357" t="s">
        <v>24</v>
      </c>
      <c r="H2357" t="s">
        <v>26</v>
      </c>
      <c r="I2357" t="s">
        <v>3167</v>
      </c>
      <c r="J2357" t="s">
        <v>996</v>
      </c>
      <c r="K2357" t="s">
        <v>3173</v>
      </c>
      <c r="L2357" t="s">
        <v>996</v>
      </c>
      <c r="M2357" t="s">
        <v>980</v>
      </c>
      <c r="N2357" t="s">
        <v>994</v>
      </c>
      <c r="O2357" t="s">
        <v>994</v>
      </c>
      <c r="P2357" t="s">
        <v>1746</v>
      </c>
      <c r="Q2357" t="s">
        <v>3771</v>
      </c>
      <c r="R2357" t="s">
        <v>446</v>
      </c>
      <c r="S2357" t="s">
        <v>446</v>
      </c>
      <c r="T2357" t="s">
        <v>3216</v>
      </c>
      <c r="U2357" t="b">
        <v>0</v>
      </c>
      <c r="V2357" t="s">
        <v>1094</v>
      </c>
    </row>
    <row r="2358" spans="1:22" x14ac:dyDescent="0.25">
      <c r="A2358" t="s">
        <v>42</v>
      </c>
      <c r="B2358">
        <v>282</v>
      </c>
      <c r="C2358" t="s">
        <v>999</v>
      </c>
      <c r="D2358" t="s">
        <v>1911</v>
      </c>
      <c r="E2358" t="s">
        <v>998</v>
      </c>
      <c r="G2358" t="s">
        <v>24</v>
      </c>
      <c r="H2358" t="s">
        <v>26</v>
      </c>
      <c r="I2358" t="s">
        <v>3167</v>
      </c>
      <c r="J2358" t="s">
        <v>1003</v>
      </c>
      <c r="K2358" t="s">
        <v>3175</v>
      </c>
      <c r="L2358" t="s">
        <v>1003</v>
      </c>
      <c r="M2358" t="s">
        <v>1000</v>
      </c>
      <c r="N2358" t="s">
        <v>1001</v>
      </c>
      <c r="O2358" t="s">
        <v>1001</v>
      </c>
      <c r="P2358" t="s">
        <v>1746</v>
      </c>
      <c r="Q2358" t="s">
        <v>3771</v>
      </c>
      <c r="R2358" t="s">
        <v>446</v>
      </c>
      <c r="S2358" t="s">
        <v>446</v>
      </c>
      <c r="T2358" t="s">
        <v>3216</v>
      </c>
      <c r="U2358" t="b">
        <v>0</v>
      </c>
      <c r="V2358" t="s">
        <v>1094</v>
      </c>
    </row>
    <row r="2359" spans="1:22" x14ac:dyDescent="0.25">
      <c r="A2359" t="s">
        <v>42</v>
      </c>
      <c r="B2359">
        <v>282</v>
      </c>
      <c r="C2359" t="s">
        <v>1005</v>
      </c>
      <c r="D2359" t="s">
        <v>5702</v>
      </c>
      <c r="E2359" t="s">
        <v>982</v>
      </c>
      <c r="F2359" t="s">
        <v>3218</v>
      </c>
      <c r="G2359" t="s">
        <v>24</v>
      </c>
      <c r="H2359" t="s">
        <v>26</v>
      </c>
      <c r="I2359" t="s">
        <v>3167</v>
      </c>
      <c r="J2359" t="s">
        <v>1003</v>
      </c>
      <c r="K2359" t="s">
        <v>3175</v>
      </c>
      <c r="L2359" t="s">
        <v>1003</v>
      </c>
      <c r="M2359" t="s">
        <v>1000</v>
      </c>
      <c r="N2359" t="s">
        <v>1001</v>
      </c>
      <c r="O2359" t="s">
        <v>1001</v>
      </c>
      <c r="P2359" t="s">
        <v>1746</v>
      </c>
      <c r="Q2359" t="s">
        <v>3771</v>
      </c>
      <c r="R2359" t="s">
        <v>446</v>
      </c>
      <c r="S2359" t="s">
        <v>446</v>
      </c>
      <c r="T2359" t="s">
        <v>1965</v>
      </c>
      <c r="U2359" t="b">
        <v>0</v>
      </c>
      <c r="V2359" t="s">
        <v>446</v>
      </c>
    </row>
    <row r="2360" spans="1:22" x14ac:dyDescent="0.25">
      <c r="A2360" t="s">
        <v>42</v>
      </c>
      <c r="B2360">
        <v>282</v>
      </c>
      <c r="C2360" t="s">
        <v>1007</v>
      </c>
      <c r="D2360" t="s">
        <v>1913</v>
      </c>
      <c r="E2360" t="s">
        <v>1006</v>
      </c>
      <c r="G2360" t="s">
        <v>24</v>
      </c>
      <c r="H2360" t="s">
        <v>26</v>
      </c>
      <c r="I2360" t="s">
        <v>3167</v>
      </c>
      <c r="J2360" t="s">
        <v>1011</v>
      </c>
      <c r="K2360" t="s">
        <v>3179</v>
      </c>
      <c r="L2360" t="s">
        <v>1011</v>
      </c>
      <c r="M2360" t="s">
        <v>1008</v>
      </c>
      <c r="N2360" t="s">
        <v>1009</v>
      </c>
      <c r="O2360" t="s">
        <v>1009</v>
      </c>
      <c r="P2360" t="s">
        <v>1746</v>
      </c>
      <c r="Q2360" t="s">
        <v>3771</v>
      </c>
      <c r="R2360" t="s">
        <v>446</v>
      </c>
      <c r="S2360" t="s">
        <v>446</v>
      </c>
      <c r="T2360" t="s">
        <v>3216</v>
      </c>
      <c r="U2360" t="b">
        <v>0</v>
      </c>
      <c r="V2360" t="s">
        <v>1094</v>
      </c>
    </row>
    <row r="2361" spans="1:22" x14ac:dyDescent="0.25">
      <c r="A2361" t="s">
        <v>42</v>
      </c>
      <c r="B2361">
        <v>282</v>
      </c>
      <c r="C2361" t="s">
        <v>1014</v>
      </c>
      <c r="D2361" t="s">
        <v>1914</v>
      </c>
      <c r="E2361" t="s">
        <v>1013</v>
      </c>
      <c r="G2361" t="s">
        <v>24</v>
      </c>
      <c r="H2361" t="s">
        <v>26</v>
      </c>
      <c r="I2361" t="s">
        <v>3167</v>
      </c>
      <c r="J2361" t="s">
        <v>1016</v>
      </c>
      <c r="K2361" t="s">
        <v>3181</v>
      </c>
      <c r="L2361" t="s">
        <v>1016</v>
      </c>
      <c r="M2361" t="s">
        <v>980</v>
      </c>
      <c r="N2361" t="s">
        <v>1015</v>
      </c>
      <c r="O2361" t="s">
        <v>1015</v>
      </c>
      <c r="P2361" t="s">
        <v>1746</v>
      </c>
      <c r="Q2361" t="s">
        <v>3771</v>
      </c>
      <c r="R2361" t="s">
        <v>446</v>
      </c>
      <c r="S2361" t="s">
        <v>446</v>
      </c>
      <c r="T2361" t="s">
        <v>3216</v>
      </c>
      <c r="U2361" t="b">
        <v>0</v>
      </c>
      <c r="V2361" t="s">
        <v>1094</v>
      </c>
    </row>
    <row r="2362" spans="1:22" x14ac:dyDescent="0.25">
      <c r="A2362" t="s">
        <v>42</v>
      </c>
      <c r="B2362">
        <v>282</v>
      </c>
      <c r="C2362" t="s">
        <v>1019</v>
      </c>
      <c r="D2362" t="s">
        <v>1915</v>
      </c>
      <c r="E2362" t="s">
        <v>1018</v>
      </c>
      <c r="G2362" t="s">
        <v>24</v>
      </c>
      <c r="H2362" t="s">
        <v>26</v>
      </c>
      <c r="I2362" t="s">
        <v>3167</v>
      </c>
      <c r="J2362" t="s">
        <v>1021</v>
      </c>
      <c r="K2362" t="s">
        <v>3183</v>
      </c>
      <c r="L2362" t="s">
        <v>1021</v>
      </c>
      <c r="M2362" t="s">
        <v>980</v>
      </c>
      <c r="N2362" t="s">
        <v>1020</v>
      </c>
      <c r="O2362" t="s">
        <v>1020</v>
      </c>
      <c r="P2362" t="s">
        <v>1746</v>
      </c>
      <c r="Q2362" t="s">
        <v>3771</v>
      </c>
      <c r="R2362" t="s">
        <v>446</v>
      </c>
      <c r="S2362" t="s">
        <v>446</v>
      </c>
      <c r="T2362" t="s">
        <v>3216</v>
      </c>
      <c r="U2362" t="b">
        <v>0</v>
      </c>
      <c r="V2362" t="s">
        <v>1094</v>
      </c>
    </row>
    <row r="2363" spans="1:22" x14ac:dyDescent="0.25">
      <c r="A2363" t="s">
        <v>42</v>
      </c>
      <c r="B2363">
        <v>282</v>
      </c>
      <c r="C2363" t="s">
        <v>1024</v>
      </c>
      <c r="D2363" t="s">
        <v>1916</v>
      </c>
      <c r="E2363" t="s">
        <v>1023</v>
      </c>
      <c r="G2363" t="s">
        <v>24</v>
      </c>
      <c r="H2363" t="s">
        <v>26</v>
      </c>
      <c r="I2363" t="s">
        <v>3167</v>
      </c>
      <c r="J2363" t="s">
        <v>1026</v>
      </c>
      <c r="K2363" t="s">
        <v>3185</v>
      </c>
      <c r="L2363" t="s">
        <v>1026</v>
      </c>
      <c r="M2363" t="s">
        <v>1000</v>
      </c>
      <c r="N2363" t="s">
        <v>1025</v>
      </c>
      <c r="O2363" t="s">
        <v>1025</v>
      </c>
      <c r="P2363" t="s">
        <v>1746</v>
      </c>
      <c r="Q2363" t="s">
        <v>3771</v>
      </c>
      <c r="R2363" t="s">
        <v>446</v>
      </c>
      <c r="S2363" t="s">
        <v>446</v>
      </c>
      <c r="T2363" t="s">
        <v>3216</v>
      </c>
      <c r="U2363" t="b">
        <v>0</v>
      </c>
      <c r="V2363" t="s">
        <v>1094</v>
      </c>
    </row>
    <row r="2364" spans="1:22" x14ac:dyDescent="0.25">
      <c r="A2364" t="s">
        <v>42</v>
      </c>
      <c r="B2364">
        <v>282</v>
      </c>
      <c r="C2364" t="s">
        <v>1028</v>
      </c>
      <c r="D2364" t="s">
        <v>5703</v>
      </c>
      <c r="E2364" t="s">
        <v>1010</v>
      </c>
      <c r="F2364" t="s">
        <v>3218</v>
      </c>
      <c r="G2364" t="s">
        <v>24</v>
      </c>
      <c r="H2364" t="s">
        <v>26</v>
      </c>
      <c r="I2364" t="s">
        <v>3167</v>
      </c>
      <c r="J2364" t="s">
        <v>1026</v>
      </c>
      <c r="K2364" t="s">
        <v>3185</v>
      </c>
      <c r="L2364" t="s">
        <v>1026</v>
      </c>
      <c r="M2364" t="s">
        <v>1000</v>
      </c>
      <c r="N2364" t="s">
        <v>1025</v>
      </c>
      <c r="O2364" t="s">
        <v>1025</v>
      </c>
      <c r="P2364" t="s">
        <v>1746</v>
      </c>
      <c r="Q2364" t="s">
        <v>3771</v>
      </c>
      <c r="R2364" t="s">
        <v>446</v>
      </c>
      <c r="S2364" t="s">
        <v>446</v>
      </c>
      <c r="T2364" t="s">
        <v>1965</v>
      </c>
      <c r="U2364" t="b">
        <v>0</v>
      </c>
      <c r="V2364" t="s">
        <v>446</v>
      </c>
    </row>
    <row r="2365" spans="1:22" x14ac:dyDescent="0.25">
      <c r="A2365" t="s">
        <v>42</v>
      </c>
      <c r="B2365">
        <v>282</v>
      </c>
      <c r="C2365" t="s">
        <v>1030</v>
      </c>
      <c r="D2365" t="s">
        <v>1917</v>
      </c>
      <c r="E2365" t="s">
        <v>1029</v>
      </c>
      <c r="G2365" t="s">
        <v>24</v>
      </c>
      <c r="H2365" t="s">
        <v>26</v>
      </c>
      <c r="I2365" t="s">
        <v>3167</v>
      </c>
      <c r="J2365" t="s">
        <v>1033</v>
      </c>
      <c r="K2365" t="s">
        <v>3189</v>
      </c>
      <c r="L2365" t="s">
        <v>1033</v>
      </c>
      <c r="M2365" t="s">
        <v>980</v>
      </c>
      <c r="N2365" t="s">
        <v>1031</v>
      </c>
      <c r="O2365" t="s">
        <v>1031</v>
      </c>
      <c r="P2365" t="s">
        <v>1746</v>
      </c>
      <c r="Q2365" t="s">
        <v>3771</v>
      </c>
      <c r="R2365" t="s">
        <v>446</v>
      </c>
      <c r="S2365" t="s">
        <v>446</v>
      </c>
      <c r="T2365" t="s">
        <v>3216</v>
      </c>
      <c r="U2365" t="b">
        <v>0</v>
      </c>
      <c r="V2365" t="s">
        <v>1094</v>
      </c>
    </row>
    <row r="2366" spans="1:22" x14ac:dyDescent="0.25">
      <c r="A2366" t="s">
        <v>42</v>
      </c>
      <c r="B2366">
        <v>282</v>
      </c>
      <c r="C2366" t="s">
        <v>1036</v>
      </c>
      <c r="D2366" t="s">
        <v>1918</v>
      </c>
      <c r="E2366" t="s">
        <v>1035</v>
      </c>
      <c r="G2366" t="s">
        <v>24</v>
      </c>
      <c r="H2366" t="s">
        <v>26</v>
      </c>
      <c r="I2366" t="s">
        <v>3167</v>
      </c>
      <c r="J2366" t="s">
        <v>1038</v>
      </c>
      <c r="K2366" t="s">
        <v>3191</v>
      </c>
      <c r="L2366" t="s">
        <v>1038</v>
      </c>
      <c r="M2366" t="s">
        <v>980</v>
      </c>
      <c r="N2366" t="s">
        <v>1037</v>
      </c>
      <c r="O2366" t="s">
        <v>1037</v>
      </c>
      <c r="P2366" t="s">
        <v>1746</v>
      </c>
      <c r="Q2366" t="s">
        <v>3771</v>
      </c>
      <c r="R2366" t="s">
        <v>446</v>
      </c>
      <c r="S2366" t="s">
        <v>446</v>
      </c>
      <c r="T2366" t="s">
        <v>3216</v>
      </c>
      <c r="U2366" t="b">
        <v>0</v>
      </c>
      <c r="V2366" t="s">
        <v>1094</v>
      </c>
    </row>
    <row r="2367" spans="1:22" x14ac:dyDescent="0.25">
      <c r="A2367" t="s">
        <v>42</v>
      </c>
      <c r="B2367">
        <v>282</v>
      </c>
      <c r="C2367" t="s">
        <v>1041</v>
      </c>
      <c r="D2367" t="s">
        <v>1920</v>
      </c>
      <c r="E2367" t="s">
        <v>1040</v>
      </c>
      <c r="G2367" t="s">
        <v>24</v>
      </c>
      <c r="H2367" t="s">
        <v>26</v>
      </c>
      <c r="I2367" t="s">
        <v>3167</v>
      </c>
      <c r="J2367" t="s">
        <v>1043</v>
      </c>
      <c r="K2367" t="s">
        <v>3193</v>
      </c>
      <c r="L2367" t="s">
        <v>1043</v>
      </c>
      <c r="M2367" t="s">
        <v>980</v>
      </c>
      <c r="N2367" t="s">
        <v>1042</v>
      </c>
      <c r="O2367" t="s">
        <v>1042</v>
      </c>
      <c r="P2367" t="s">
        <v>1746</v>
      </c>
      <c r="Q2367" t="s">
        <v>3771</v>
      </c>
      <c r="R2367" t="s">
        <v>446</v>
      </c>
      <c r="S2367" t="s">
        <v>446</v>
      </c>
      <c r="T2367" t="s">
        <v>3216</v>
      </c>
      <c r="U2367" t="b">
        <v>0</v>
      </c>
      <c r="V2367" t="s">
        <v>1094</v>
      </c>
    </row>
    <row r="2368" spans="1:22" x14ac:dyDescent="0.25">
      <c r="A2368" t="s">
        <v>42</v>
      </c>
      <c r="B2368">
        <v>282</v>
      </c>
      <c r="C2368" t="s">
        <v>1046</v>
      </c>
      <c r="D2368" t="s">
        <v>1921</v>
      </c>
      <c r="E2368" t="s">
        <v>1045</v>
      </c>
      <c r="G2368" t="s">
        <v>24</v>
      </c>
      <c r="H2368" t="s">
        <v>26</v>
      </c>
      <c r="I2368" t="s">
        <v>3167</v>
      </c>
      <c r="J2368" t="s">
        <v>1048</v>
      </c>
      <c r="K2368" t="s">
        <v>3195</v>
      </c>
      <c r="L2368" t="s">
        <v>1048</v>
      </c>
      <c r="M2368" t="s">
        <v>1000</v>
      </c>
      <c r="N2368" t="s">
        <v>1047</v>
      </c>
      <c r="O2368" t="s">
        <v>1047</v>
      </c>
      <c r="P2368" t="s">
        <v>1746</v>
      </c>
      <c r="Q2368" t="s">
        <v>3771</v>
      </c>
      <c r="R2368" t="s">
        <v>446</v>
      </c>
      <c r="S2368" t="s">
        <v>446</v>
      </c>
      <c r="T2368" t="s">
        <v>3216</v>
      </c>
      <c r="U2368" t="b">
        <v>0</v>
      </c>
      <c r="V2368" t="s">
        <v>1094</v>
      </c>
    </row>
    <row r="2369" spans="1:22" x14ac:dyDescent="0.25">
      <c r="A2369" t="s">
        <v>42</v>
      </c>
      <c r="B2369">
        <v>282</v>
      </c>
      <c r="C2369" t="s">
        <v>1050</v>
      </c>
      <c r="D2369" t="s">
        <v>5704</v>
      </c>
      <c r="E2369" t="s">
        <v>1032</v>
      </c>
      <c r="F2369" t="s">
        <v>3218</v>
      </c>
      <c r="G2369" t="s">
        <v>24</v>
      </c>
      <c r="H2369" t="s">
        <v>26</v>
      </c>
      <c r="I2369" t="s">
        <v>3167</v>
      </c>
      <c r="J2369" t="s">
        <v>1048</v>
      </c>
      <c r="K2369" t="s">
        <v>3195</v>
      </c>
      <c r="L2369" t="s">
        <v>1048</v>
      </c>
      <c r="M2369" t="s">
        <v>1000</v>
      </c>
      <c r="N2369" t="s">
        <v>1047</v>
      </c>
      <c r="O2369" t="s">
        <v>1047</v>
      </c>
      <c r="P2369" t="s">
        <v>1746</v>
      </c>
      <c r="Q2369" t="s">
        <v>3771</v>
      </c>
      <c r="R2369" t="s">
        <v>446</v>
      </c>
      <c r="S2369" t="s">
        <v>446</v>
      </c>
      <c r="T2369" t="s">
        <v>1965</v>
      </c>
      <c r="U2369" t="b">
        <v>0</v>
      </c>
      <c r="V2369" t="s">
        <v>446</v>
      </c>
    </row>
    <row r="2370" spans="1:22" x14ac:dyDescent="0.25">
      <c r="A2370" t="s">
        <v>42</v>
      </c>
      <c r="B2370">
        <v>282</v>
      </c>
      <c r="C2370" t="s">
        <v>1052</v>
      </c>
      <c r="D2370" t="s">
        <v>1923</v>
      </c>
      <c r="E2370" t="s">
        <v>1051</v>
      </c>
      <c r="G2370" t="s">
        <v>24</v>
      </c>
      <c r="H2370" t="s">
        <v>26</v>
      </c>
      <c r="I2370" t="s">
        <v>3167</v>
      </c>
      <c r="J2370" t="s">
        <v>1055</v>
      </c>
      <c r="K2370" t="s">
        <v>3199</v>
      </c>
      <c r="L2370" t="s">
        <v>1055</v>
      </c>
      <c r="M2370" t="s">
        <v>980</v>
      </c>
      <c r="N2370" t="s">
        <v>1053</v>
      </c>
      <c r="O2370" t="s">
        <v>1053</v>
      </c>
      <c r="P2370" t="s">
        <v>1746</v>
      </c>
      <c r="Q2370" t="s">
        <v>3771</v>
      </c>
      <c r="R2370" t="s">
        <v>446</v>
      </c>
      <c r="S2370" t="s">
        <v>446</v>
      </c>
      <c r="T2370" t="s">
        <v>3216</v>
      </c>
      <c r="U2370" t="b">
        <v>0</v>
      </c>
      <c r="V2370" t="s">
        <v>1094</v>
      </c>
    </row>
    <row r="2371" spans="1:22" x14ac:dyDescent="0.25">
      <c r="A2371" t="s">
        <v>42</v>
      </c>
      <c r="B2371">
        <v>283</v>
      </c>
      <c r="C2371" t="s">
        <v>979</v>
      </c>
      <c r="D2371" t="s">
        <v>5705</v>
      </c>
      <c r="E2371" t="s">
        <v>978</v>
      </c>
      <c r="F2371" t="s">
        <v>3218</v>
      </c>
      <c r="G2371" t="s">
        <v>24</v>
      </c>
      <c r="H2371" t="s">
        <v>26</v>
      </c>
      <c r="I2371" t="s">
        <v>3167</v>
      </c>
      <c r="J2371" t="s">
        <v>984</v>
      </c>
      <c r="K2371" t="s">
        <v>3168</v>
      </c>
      <c r="L2371" t="s">
        <v>984</v>
      </c>
      <c r="M2371" t="s">
        <v>980</v>
      </c>
      <c r="N2371" t="s">
        <v>981</v>
      </c>
      <c r="O2371" t="s">
        <v>981</v>
      </c>
      <c r="P2371" t="s">
        <v>1746</v>
      </c>
      <c r="Q2371" t="s">
        <v>3771</v>
      </c>
      <c r="R2371" t="s">
        <v>446</v>
      </c>
      <c r="S2371" t="s">
        <v>446</v>
      </c>
      <c r="T2371" t="s">
        <v>1965</v>
      </c>
      <c r="U2371" t="b">
        <v>0</v>
      </c>
      <c r="V2371" t="s">
        <v>446</v>
      </c>
    </row>
    <row r="2372" spans="1:22" x14ac:dyDescent="0.25">
      <c r="A2372" t="s">
        <v>42</v>
      </c>
      <c r="B2372">
        <v>283</v>
      </c>
      <c r="C2372" t="s">
        <v>987</v>
      </c>
      <c r="D2372" t="s">
        <v>5706</v>
      </c>
      <c r="E2372" t="s">
        <v>986</v>
      </c>
      <c r="F2372" t="s">
        <v>3218</v>
      </c>
      <c r="G2372" t="s">
        <v>24</v>
      </c>
      <c r="H2372" t="s">
        <v>26</v>
      </c>
      <c r="I2372" t="s">
        <v>3167</v>
      </c>
      <c r="J2372" t="s">
        <v>990</v>
      </c>
      <c r="K2372" t="s">
        <v>3171</v>
      </c>
      <c r="L2372" t="s">
        <v>990</v>
      </c>
      <c r="M2372" t="s">
        <v>980</v>
      </c>
      <c r="N2372" t="s">
        <v>988</v>
      </c>
      <c r="O2372" t="s">
        <v>988</v>
      </c>
      <c r="P2372" t="s">
        <v>1746</v>
      </c>
      <c r="Q2372" t="s">
        <v>3771</v>
      </c>
      <c r="R2372" t="s">
        <v>446</v>
      </c>
      <c r="S2372" t="s">
        <v>446</v>
      </c>
      <c r="T2372" t="s">
        <v>1965</v>
      </c>
      <c r="U2372" t="b">
        <v>0</v>
      </c>
      <c r="V2372" t="s">
        <v>446</v>
      </c>
    </row>
    <row r="2373" spans="1:22" x14ac:dyDescent="0.25">
      <c r="A2373" t="s">
        <v>42</v>
      </c>
      <c r="B2373">
        <v>283</v>
      </c>
      <c r="C2373" t="s">
        <v>993</v>
      </c>
      <c r="D2373" t="s">
        <v>5707</v>
      </c>
      <c r="E2373" t="s">
        <v>992</v>
      </c>
      <c r="F2373" t="s">
        <v>3218</v>
      </c>
      <c r="G2373" t="s">
        <v>24</v>
      </c>
      <c r="H2373" t="s">
        <v>26</v>
      </c>
      <c r="I2373" t="s">
        <v>3167</v>
      </c>
      <c r="J2373" t="s">
        <v>996</v>
      </c>
      <c r="K2373" t="s">
        <v>3173</v>
      </c>
      <c r="L2373" t="s">
        <v>996</v>
      </c>
      <c r="M2373" t="s">
        <v>980</v>
      </c>
      <c r="N2373" t="s">
        <v>994</v>
      </c>
      <c r="O2373" t="s">
        <v>994</v>
      </c>
      <c r="P2373" t="s">
        <v>1746</v>
      </c>
      <c r="Q2373" t="s">
        <v>3771</v>
      </c>
      <c r="R2373" t="s">
        <v>446</v>
      </c>
      <c r="S2373" t="s">
        <v>446</v>
      </c>
      <c r="T2373" t="s">
        <v>1965</v>
      </c>
      <c r="U2373" t="b">
        <v>0</v>
      </c>
      <c r="V2373" t="s">
        <v>446</v>
      </c>
    </row>
    <row r="2374" spans="1:22" x14ac:dyDescent="0.25">
      <c r="A2374" t="s">
        <v>42</v>
      </c>
      <c r="B2374">
        <v>283</v>
      </c>
      <c r="C2374" t="s">
        <v>999</v>
      </c>
      <c r="D2374" t="s">
        <v>5708</v>
      </c>
      <c r="E2374" t="s">
        <v>998</v>
      </c>
      <c r="F2374" t="s">
        <v>3218</v>
      </c>
      <c r="G2374" t="s">
        <v>24</v>
      </c>
      <c r="H2374" t="s">
        <v>26</v>
      </c>
      <c r="I2374" t="s">
        <v>3167</v>
      </c>
      <c r="J2374" t="s">
        <v>1003</v>
      </c>
      <c r="K2374" t="s">
        <v>3175</v>
      </c>
      <c r="L2374" t="s">
        <v>1003</v>
      </c>
      <c r="M2374" t="s">
        <v>1000</v>
      </c>
      <c r="N2374" t="s">
        <v>1001</v>
      </c>
      <c r="O2374" t="s">
        <v>1001</v>
      </c>
      <c r="P2374" t="s">
        <v>1746</v>
      </c>
      <c r="Q2374" t="s">
        <v>3771</v>
      </c>
      <c r="R2374" t="s">
        <v>446</v>
      </c>
      <c r="S2374" t="s">
        <v>446</v>
      </c>
      <c r="T2374" t="s">
        <v>1965</v>
      </c>
      <c r="U2374" t="b">
        <v>0</v>
      </c>
      <c r="V2374" t="s">
        <v>446</v>
      </c>
    </row>
    <row r="2375" spans="1:22" x14ac:dyDescent="0.25">
      <c r="A2375" t="s">
        <v>42</v>
      </c>
      <c r="B2375">
        <v>283</v>
      </c>
      <c r="C2375" t="s">
        <v>1005</v>
      </c>
      <c r="D2375" t="s">
        <v>5709</v>
      </c>
      <c r="E2375" t="s">
        <v>982</v>
      </c>
      <c r="F2375" t="s">
        <v>3218</v>
      </c>
      <c r="G2375" t="s">
        <v>24</v>
      </c>
      <c r="H2375" t="s">
        <v>26</v>
      </c>
      <c r="I2375" t="s">
        <v>3167</v>
      </c>
      <c r="J2375" t="s">
        <v>1003</v>
      </c>
      <c r="K2375" t="s">
        <v>3175</v>
      </c>
      <c r="L2375" t="s">
        <v>1003</v>
      </c>
      <c r="M2375" t="s">
        <v>1000</v>
      </c>
      <c r="N2375" t="s">
        <v>1001</v>
      </c>
      <c r="O2375" t="s">
        <v>1001</v>
      </c>
      <c r="P2375" t="s">
        <v>1746</v>
      </c>
      <c r="Q2375" t="s">
        <v>3771</v>
      </c>
      <c r="R2375" t="s">
        <v>446</v>
      </c>
      <c r="S2375" t="s">
        <v>446</v>
      </c>
      <c r="T2375" t="s">
        <v>1965</v>
      </c>
      <c r="U2375" t="b">
        <v>0</v>
      </c>
      <c r="V2375" t="s">
        <v>446</v>
      </c>
    </row>
    <row r="2376" spans="1:22" x14ac:dyDescent="0.25">
      <c r="A2376" t="s">
        <v>42</v>
      </c>
      <c r="B2376">
        <v>283</v>
      </c>
      <c r="C2376" t="s">
        <v>1007</v>
      </c>
      <c r="D2376" t="s">
        <v>5710</v>
      </c>
      <c r="E2376" t="s">
        <v>1006</v>
      </c>
      <c r="F2376" t="s">
        <v>3218</v>
      </c>
      <c r="G2376" t="s">
        <v>24</v>
      </c>
      <c r="H2376" t="s">
        <v>26</v>
      </c>
      <c r="I2376" t="s">
        <v>3167</v>
      </c>
      <c r="J2376" t="s">
        <v>1011</v>
      </c>
      <c r="K2376" t="s">
        <v>3179</v>
      </c>
      <c r="L2376" t="s">
        <v>1011</v>
      </c>
      <c r="M2376" t="s">
        <v>1008</v>
      </c>
      <c r="N2376" t="s">
        <v>1009</v>
      </c>
      <c r="O2376" t="s">
        <v>1009</v>
      </c>
      <c r="P2376" t="s">
        <v>1746</v>
      </c>
      <c r="Q2376" t="s">
        <v>3771</v>
      </c>
      <c r="R2376" t="s">
        <v>446</v>
      </c>
      <c r="S2376" t="s">
        <v>446</v>
      </c>
      <c r="T2376" t="s">
        <v>1965</v>
      </c>
      <c r="U2376" t="b">
        <v>0</v>
      </c>
      <c r="V2376" t="s">
        <v>446</v>
      </c>
    </row>
    <row r="2377" spans="1:22" x14ac:dyDescent="0.25">
      <c r="A2377" t="s">
        <v>42</v>
      </c>
      <c r="B2377">
        <v>283</v>
      </c>
      <c r="C2377" t="s">
        <v>1014</v>
      </c>
      <c r="D2377" t="s">
        <v>5711</v>
      </c>
      <c r="E2377" t="s">
        <v>1013</v>
      </c>
      <c r="F2377" t="s">
        <v>3218</v>
      </c>
      <c r="G2377" t="s">
        <v>24</v>
      </c>
      <c r="H2377" t="s">
        <v>26</v>
      </c>
      <c r="I2377" t="s">
        <v>3167</v>
      </c>
      <c r="J2377" t="s">
        <v>1016</v>
      </c>
      <c r="K2377" t="s">
        <v>3181</v>
      </c>
      <c r="L2377" t="s">
        <v>1016</v>
      </c>
      <c r="M2377" t="s">
        <v>980</v>
      </c>
      <c r="N2377" t="s">
        <v>1015</v>
      </c>
      <c r="O2377" t="s">
        <v>1015</v>
      </c>
      <c r="P2377" t="s">
        <v>1746</v>
      </c>
      <c r="Q2377" t="s">
        <v>3771</v>
      </c>
      <c r="R2377" t="s">
        <v>446</v>
      </c>
      <c r="S2377" t="s">
        <v>446</v>
      </c>
      <c r="T2377" t="s">
        <v>1965</v>
      </c>
      <c r="U2377" t="b">
        <v>0</v>
      </c>
      <c r="V2377" t="s">
        <v>446</v>
      </c>
    </row>
    <row r="2378" spans="1:22" x14ac:dyDescent="0.25">
      <c r="A2378" t="s">
        <v>42</v>
      </c>
      <c r="B2378">
        <v>283</v>
      </c>
      <c r="C2378" t="s">
        <v>1019</v>
      </c>
      <c r="D2378" t="s">
        <v>5712</v>
      </c>
      <c r="E2378" t="s">
        <v>1018</v>
      </c>
      <c r="F2378" t="s">
        <v>3218</v>
      </c>
      <c r="G2378" t="s">
        <v>24</v>
      </c>
      <c r="H2378" t="s">
        <v>26</v>
      </c>
      <c r="I2378" t="s">
        <v>3167</v>
      </c>
      <c r="J2378" t="s">
        <v>1021</v>
      </c>
      <c r="K2378" t="s">
        <v>3183</v>
      </c>
      <c r="L2378" t="s">
        <v>1021</v>
      </c>
      <c r="M2378" t="s">
        <v>980</v>
      </c>
      <c r="N2378" t="s">
        <v>1020</v>
      </c>
      <c r="O2378" t="s">
        <v>1020</v>
      </c>
      <c r="P2378" t="s">
        <v>1746</v>
      </c>
      <c r="Q2378" t="s">
        <v>3771</v>
      </c>
      <c r="R2378" t="s">
        <v>446</v>
      </c>
      <c r="S2378" t="s">
        <v>446</v>
      </c>
      <c r="T2378" t="s">
        <v>1965</v>
      </c>
      <c r="U2378" t="b">
        <v>0</v>
      </c>
      <c r="V2378" t="s">
        <v>446</v>
      </c>
    </row>
    <row r="2379" spans="1:22" x14ac:dyDescent="0.25">
      <c r="A2379" t="s">
        <v>42</v>
      </c>
      <c r="B2379">
        <v>283</v>
      </c>
      <c r="C2379" t="s">
        <v>1024</v>
      </c>
      <c r="D2379" t="s">
        <v>5713</v>
      </c>
      <c r="E2379" t="s">
        <v>1023</v>
      </c>
      <c r="F2379" t="s">
        <v>3218</v>
      </c>
      <c r="G2379" t="s">
        <v>24</v>
      </c>
      <c r="H2379" t="s">
        <v>26</v>
      </c>
      <c r="I2379" t="s">
        <v>3167</v>
      </c>
      <c r="J2379" t="s">
        <v>1026</v>
      </c>
      <c r="K2379" t="s">
        <v>3185</v>
      </c>
      <c r="L2379" t="s">
        <v>1026</v>
      </c>
      <c r="M2379" t="s">
        <v>1000</v>
      </c>
      <c r="N2379" t="s">
        <v>1025</v>
      </c>
      <c r="O2379" t="s">
        <v>1025</v>
      </c>
      <c r="P2379" t="s">
        <v>1746</v>
      </c>
      <c r="Q2379" t="s">
        <v>3771</v>
      </c>
      <c r="R2379" t="s">
        <v>446</v>
      </c>
      <c r="S2379" t="s">
        <v>446</v>
      </c>
      <c r="T2379" t="s">
        <v>1965</v>
      </c>
      <c r="U2379" t="b">
        <v>0</v>
      </c>
      <c r="V2379" t="s">
        <v>446</v>
      </c>
    </row>
    <row r="2380" spans="1:22" x14ac:dyDescent="0.25">
      <c r="A2380" t="s">
        <v>42</v>
      </c>
      <c r="B2380">
        <v>283</v>
      </c>
      <c r="C2380" t="s">
        <v>1028</v>
      </c>
      <c r="D2380" t="s">
        <v>5714</v>
      </c>
      <c r="E2380" t="s">
        <v>1010</v>
      </c>
      <c r="F2380" t="s">
        <v>3218</v>
      </c>
      <c r="G2380" t="s">
        <v>24</v>
      </c>
      <c r="H2380" t="s">
        <v>26</v>
      </c>
      <c r="I2380" t="s">
        <v>3167</v>
      </c>
      <c r="J2380" t="s">
        <v>1026</v>
      </c>
      <c r="K2380" t="s">
        <v>3185</v>
      </c>
      <c r="L2380" t="s">
        <v>1026</v>
      </c>
      <c r="M2380" t="s">
        <v>1000</v>
      </c>
      <c r="N2380" t="s">
        <v>1025</v>
      </c>
      <c r="O2380" t="s">
        <v>1025</v>
      </c>
      <c r="P2380" t="s">
        <v>1746</v>
      </c>
      <c r="Q2380" t="s">
        <v>3771</v>
      </c>
      <c r="R2380" t="s">
        <v>446</v>
      </c>
      <c r="S2380" t="s">
        <v>446</v>
      </c>
      <c r="T2380" t="s">
        <v>1965</v>
      </c>
      <c r="U2380" t="b">
        <v>0</v>
      </c>
      <c r="V2380" t="s">
        <v>446</v>
      </c>
    </row>
    <row r="2381" spans="1:22" x14ac:dyDescent="0.25">
      <c r="A2381" t="s">
        <v>42</v>
      </c>
      <c r="B2381">
        <v>283</v>
      </c>
      <c r="C2381" t="s">
        <v>1030</v>
      </c>
      <c r="D2381" t="s">
        <v>5715</v>
      </c>
      <c r="E2381" t="s">
        <v>1029</v>
      </c>
      <c r="F2381" t="s">
        <v>3218</v>
      </c>
      <c r="G2381" t="s">
        <v>24</v>
      </c>
      <c r="H2381" t="s">
        <v>26</v>
      </c>
      <c r="I2381" t="s">
        <v>3167</v>
      </c>
      <c r="J2381" t="s">
        <v>1033</v>
      </c>
      <c r="K2381" t="s">
        <v>3189</v>
      </c>
      <c r="L2381" t="s">
        <v>1033</v>
      </c>
      <c r="M2381" t="s">
        <v>980</v>
      </c>
      <c r="N2381" t="s">
        <v>1031</v>
      </c>
      <c r="O2381" t="s">
        <v>1031</v>
      </c>
      <c r="P2381" t="s">
        <v>1746</v>
      </c>
      <c r="Q2381" t="s">
        <v>3771</v>
      </c>
      <c r="R2381" t="s">
        <v>446</v>
      </c>
      <c r="S2381" t="s">
        <v>446</v>
      </c>
      <c r="T2381" t="s">
        <v>1965</v>
      </c>
      <c r="U2381" t="b">
        <v>0</v>
      </c>
      <c r="V2381" t="s">
        <v>446</v>
      </c>
    </row>
    <row r="2382" spans="1:22" x14ac:dyDescent="0.25">
      <c r="A2382" t="s">
        <v>42</v>
      </c>
      <c r="B2382">
        <v>283</v>
      </c>
      <c r="C2382" t="s">
        <v>1036</v>
      </c>
      <c r="D2382" t="s">
        <v>5716</v>
      </c>
      <c r="E2382" t="s">
        <v>1035</v>
      </c>
      <c r="F2382" t="s">
        <v>3218</v>
      </c>
      <c r="G2382" t="s">
        <v>24</v>
      </c>
      <c r="H2382" t="s">
        <v>26</v>
      </c>
      <c r="I2382" t="s">
        <v>3167</v>
      </c>
      <c r="J2382" t="s">
        <v>1038</v>
      </c>
      <c r="K2382" t="s">
        <v>3191</v>
      </c>
      <c r="L2382" t="s">
        <v>1038</v>
      </c>
      <c r="M2382" t="s">
        <v>980</v>
      </c>
      <c r="N2382" t="s">
        <v>1037</v>
      </c>
      <c r="O2382" t="s">
        <v>1037</v>
      </c>
      <c r="P2382" t="s">
        <v>1746</v>
      </c>
      <c r="Q2382" t="s">
        <v>3771</v>
      </c>
      <c r="R2382" t="s">
        <v>446</v>
      </c>
      <c r="S2382" t="s">
        <v>446</v>
      </c>
      <c r="T2382" t="s">
        <v>1965</v>
      </c>
      <c r="U2382" t="b">
        <v>0</v>
      </c>
      <c r="V2382" t="s">
        <v>446</v>
      </c>
    </row>
    <row r="2383" spans="1:22" x14ac:dyDescent="0.25">
      <c r="A2383" t="s">
        <v>42</v>
      </c>
      <c r="B2383">
        <v>283</v>
      </c>
      <c r="C2383" t="s">
        <v>1041</v>
      </c>
      <c r="D2383" t="s">
        <v>5717</v>
      </c>
      <c r="E2383" t="s">
        <v>1040</v>
      </c>
      <c r="F2383" t="s">
        <v>3218</v>
      </c>
      <c r="G2383" t="s">
        <v>24</v>
      </c>
      <c r="H2383" t="s">
        <v>26</v>
      </c>
      <c r="I2383" t="s">
        <v>3167</v>
      </c>
      <c r="J2383" t="s">
        <v>1043</v>
      </c>
      <c r="K2383" t="s">
        <v>3193</v>
      </c>
      <c r="L2383" t="s">
        <v>1043</v>
      </c>
      <c r="M2383" t="s">
        <v>980</v>
      </c>
      <c r="N2383" t="s">
        <v>1042</v>
      </c>
      <c r="O2383" t="s">
        <v>1042</v>
      </c>
      <c r="P2383" t="s">
        <v>1746</v>
      </c>
      <c r="Q2383" t="s">
        <v>3771</v>
      </c>
      <c r="R2383" t="s">
        <v>446</v>
      </c>
      <c r="S2383" t="s">
        <v>446</v>
      </c>
      <c r="T2383" t="s">
        <v>1965</v>
      </c>
      <c r="U2383" t="b">
        <v>0</v>
      </c>
      <c r="V2383" t="s">
        <v>446</v>
      </c>
    </row>
    <row r="2384" spans="1:22" x14ac:dyDescent="0.25">
      <c r="A2384" t="s">
        <v>42</v>
      </c>
      <c r="B2384">
        <v>283</v>
      </c>
      <c r="C2384" t="s">
        <v>1046</v>
      </c>
      <c r="D2384" t="s">
        <v>5718</v>
      </c>
      <c r="E2384" t="s">
        <v>1045</v>
      </c>
      <c r="F2384" t="s">
        <v>3218</v>
      </c>
      <c r="G2384" t="s">
        <v>24</v>
      </c>
      <c r="H2384" t="s">
        <v>26</v>
      </c>
      <c r="I2384" t="s">
        <v>3167</v>
      </c>
      <c r="J2384" t="s">
        <v>1048</v>
      </c>
      <c r="K2384" t="s">
        <v>3195</v>
      </c>
      <c r="L2384" t="s">
        <v>1048</v>
      </c>
      <c r="M2384" t="s">
        <v>1000</v>
      </c>
      <c r="N2384" t="s">
        <v>1047</v>
      </c>
      <c r="O2384" t="s">
        <v>1047</v>
      </c>
      <c r="P2384" t="s">
        <v>1746</v>
      </c>
      <c r="Q2384" t="s">
        <v>3771</v>
      </c>
      <c r="R2384" t="s">
        <v>446</v>
      </c>
      <c r="S2384" t="s">
        <v>446</v>
      </c>
      <c r="T2384" t="s">
        <v>1965</v>
      </c>
      <c r="U2384" t="b">
        <v>0</v>
      </c>
      <c r="V2384" t="s">
        <v>446</v>
      </c>
    </row>
    <row r="2385" spans="1:22" x14ac:dyDescent="0.25">
      <c r="A2385" t="s">
        <v>42</v>
      </c>
      <c r="B2385">
        <v>283</v>
      </c>
      <c r="C2385" t="s">
        <v>1050</v>
      </c>
      <c r="D2385" t="s">
        <v>5719</v>
      </c>
      <c r="E2385" t="s">
        <v>1032</v>
      </c>
      <c r="F2385" t="s">
        <v>3218</v>
      </c>
      <c r="G2385" t="s">
        <v>24</v>
      </c>
      <c r="H2385" t="s">
        <v>26</v>
      </c>
      <c r="I2385" t="s">
        <v>3167</v>
      </c>
      <c r="J2385" t="s">
        <v>1048</v>
      </c>
      <c r="K2385" t="s">
        <v>3195</v>
      </c>
      <c r="L2385" t="s">
        <v>1048</v>
      </c>
      <c r="M2385" t="s">
        <v>1000</v>
      </c>
      <c r="N2385" t="s">
        <v>1047</v>
      </c>
      <c r="O2385" t="s">
        <v>1047</v>
      </c>
      <c r="P2385" t="s">
        <v>1746</v>
      </c>
      <c r="Q2385" t="s">
        <v>3771</v>
      </c>
      <c r="R2385" t="s">
        <v>446</v>
      </c>
      <c r="S2385" t="s">
        <v>446</v>
      </c>
      <c r="T2385" t="s">
        <v>1965</v>
      </c>
      <c r="U2385" t="b">
        <v>0</v>
      </c>
      <c r="V2385" t="s">
        <v>446</v>
      </c>
    </row>
    <row r="2386" spans="1:22" x14ac:dyDescent="0.25">
      <c r="A2386" t="s">
        <v>42</v>
      </c>
      <c r="B2386">
        <v>283</v>
      </c>
      <c r="C2386" t="s">
        <v>1052</v>
      </c>
      <c r="D2386" t="s">
        <v>5720</v>
      </c>
      <c r="E2386" t="s">
        <v>1051</v>
      </c>
      <c r="F2386" t="s">
        <v>3218</v>
      </c>
      <c r="G2386" t="s">
        <v>24</v>
      </c>
      <c r="H2386" t="s">
        <v>26</v>
      </c>
      <c r="I2386" t="s">
        <v>3167</v>
      </c>
      <c r="J2386" t="s">
        <v>1055</v>
      </c>
      <c r="K2386" t="s">
        <v>3199</v>
      </c>
      <c r="L2386" t="s">
        <v>1055</v>
      </c>
      <c r="M2386" t="s">
        <v>980</v>
      </c>
      <c r="N2386" t="s">
        <v>1053</v>
      </c>
      <c r="O2386" t="s">
        <v>1053</v>
      </c>
      <c r="P2386" t="s">
        <v>1746</v>
      </c>
      <c r="Q2386" t="s">
        <v>3771</v>
      </c>
      <c r="R2386" t="s">
        <v>446</v>
      </c>
      <c r="S2386" t="s">
        <v>446</v>
      </c>
      <c r="T2386" t="s">
        <v>1965</v>
      </c>
      <c r="U2386" t="b">
        <v>0</v>
      </c>
      <c r="V2386" t="s">
        <v>446</v>
      </c>
    </row>
    <row r="2387" spans="1:22" x14ac:dyDescent="0.25">
      <c r="A2387" t="s">
        <v>42</v>
      </c>
      <c r="B2387">
        <v>284</v>
      </c>
      <c r="C2387" t="s">
        <v>979</v>
      </c>
      <c r="D2387" t="s">
        <v>1925</v>
      </c>
      <c r="E2387" t="s">
        <v>978</v>
      </c>
      <c r="G2387" t="s">
        <v>24</v>
      </c>
      <c r="H2387" t="s">
        <v>26</v>
      </c>
      <c r="I2387" t="s">
        <v>3167</v>
      </c>
      <c r="J2387" t="s">
        <v>984</v>
      </c>
      <c r="K2387" t="s">
        <v>3168</v>
      </c>
      <c r="L2387" t="s">
        <v>984</v>
      </c>
      <c r="M2387" t="s">
        <v>980</v>
      </c>
      <c r="N2387" t="s">
        <v>981</v>
      </c>
      <c r="O2387" t="s">
        <v>981</v>
      </c>
      <c r="P2387" t="s">
        <v>1089</v>
      </c>
      <c r="Q2387" t="s">
        <v>3169</v>
      </c>
      <c r="R2387" t="s">
        <v>446</v>
      </c>
      <c r="S2387" t="s">
        <v>446</v>
      </c>
      <c r="T2387" t="s">
        <v>3216</v>
      </c>
      <c r="U2387" t="b">
        <v>0</v>
      </c>
      <c r="V2387" t="s">
        <v>1094</v>
      </c>
    </row>
    <row r="2388" spans="1:22" x14ac:dyDescent="0.25">
      <c r="A2388" t="s">
        <v>42</v>
      </c>
      <c r="B2388">
        <v>284</v>
      </c>
      <c r="C2388" t="s">
        <v>987</v>
      </c>
      <c r="D2388" t="s">
        <v>1926</v>
      </c>
      <c r="E2388" t="s">
        <v>986</v>
      </c>
      <c r="G2388" t="s">
        <v>24</v>
      </c>
      <c r="H2388" t="s">
        <v>26</v>
      </c>
      <c r="I2388" t="s">
        <v>3167</v>
      </c>
      <c r="J2388" t="s">
        <v>990</v>
      </c>
      <c r="K2388" t="s">
        <v>3171</v>
      </c>
      <c r="L2388" t="s">
        <v>990</v>
      </c>
      <c r="M2388" t="s">
        <v>980</v>
      </c>
      <c r="N2388" t="s">
        <v>988</v>
      </c>
      <c r="O2388" t="s">
        <v>988</v>
      </c>
      <c r="P2388" t="s">
        <v>1089</v>
      </c>
      <c r="Q2388" t="s">
        <v>3169</v>
      </c>
      <c r="R2388" t="s">
        <v>446</v>
      </c>
      <c r="S2388" t="s">
        <v>446</v>
      </c>
      <c r="T2388" t="s">
        <v>3216</v>
      </c>
      <c r="U2388" t="b">
        <v>0</v>
      </c>
      <c r="V2388" t="s">
        <v>1094</v>
      </c>
    </row>
    <row r="2389" spans="1:22" x14ac:dyDescent="0.25">
      <c r="A2389" t="s">
        <v>42</v>
      </c>
      <c r="B2389">
        <v>284</v>
      </c>
      <c r="C2389" t="s">
        <v>993</v>
      </c>
      <c r="D2389" t="s">
        <v>1928</v>
      </c>
      <c r="E2389" t="s">
        <v>992</v>
      </c>
      <c r="G2389" t="s">
        <v>24</v>
      </c>
      <c r="H2389" t="s">
        <v>26</v>
      </c>
      <c r="I2389" t="s">
        <v>3167</v>
      </c>
      <c r="J2389" t="s">
        <v>996</v>
      </c>
      <c r="K2389" t="s">
        <v>3173</v>
      </c>
      <c r="L2389" t="s">
        <v>996</v>
      </c>
      <c r="M2389" t="s">
        <v>980</v>
      </c>
      <c r="N2389" t="s">
        <v>994</v>
      </c>
      <c r="O2389" t="s">
        <v>994</v>
      </c>
      <c r="P2389" t="s">
        <v>1089</v>
      </c>
      <c r="Q2389" t="s">
        <v>3169</v>
      </c>
      <c r="R2389" t="s">
        <v>446</v>
      </c>
      <c r="S2389" t="s">
        <v>446</v>
      </c>
      <c r="T2389" t="s">
        <v>3216</v>
      </c>
      <c r="U2389" t="b">
        <v>0</v>
      </c>
      <c r="V2389" t="s">
        <v>1094</v>
      </c>
    </row>
    <row r="2390" spans="1:22" x14ac:dyDescent="0.25">
      <c r="A2390" t="s">
        <v>42</v>
      </c>
      <c r="B2390">
        <v>284</v>
      </c>
      <c r="C2390" t="s">
        <v>999</v>
      </c>
      <c r="D2390" t="s">
        <v>1930</v>
      </c>
      <c r="E2390" t="s">
        <v>998</v>
      </c>
      <c r="G2390" t="s">
        <v>24</v>
      </c>
      <c r="H2390" t="s">
        <v>26</v>
      </c>
      <c r="I2390" t="s">
        <v>3167</v>
      </c>
      <c r="J2390" t="s">
        <v>1003</v>
      </c>
      <c r="K2390" t="s">
        <v>3175</v>
      </c>
      <c r="L2390" t="s">
        <v>1003</v>
      </c>
      <c r="M2390" t="s">
        <v>1000</v>
      </c>
      <c r="N2390" t="s">
        <v>1001</v>
      </c>
      <c r="O2390" t="s">
        <v>1001</v>
      </c>
      <c r="P2390" t="s">
        <v>1089</v>
      </c>
      <c r="Q2390" t="s">
        <v>3169</v>
      </c>
      <c r="R2390" t="s">
        <v>446</v>
      </c>
      <c r="S2390" t="s">
        <v>446</v>
      </c>
      <c r="T2390" t="s">
        <v>3216</v>
      </c>
      <c r="U2390" t="b">
        <v>0</v>
      </c>
      <c r="V2390" t="s">
        <v>1094</v>
      </c>
    </row>
    <row r="2391" spans="1:22" x14ac:dyDescent="0.25">
      <c r="A2391" t="s">
        <v>42</v>
      </c>
      <c r="B2391">
        <v>284</v>
      </c>
      <c r="C2391" t="s">
        <v>1005</v>
      </c>
      <c r="D2391" t="s">
        <v>5721</v>
      </c>
      <c r="E2391" t="s">
        <v>982</v>
      </c>
      <c r="F2391" t="s">
        <v>3218</v>
      </c>
      <c r="G2391" t="s">
        <v>24</v>
      </c>
      <c r="H2391" t="s">
        <v>26</v>
      </c>
      <c r="I2391" t="s">
        <v>3167</v>
      </c>
      <c r="J2391" t="s">
        <v>1003</v>
      </c>
      <c r="K2391" t="s">
        <v>3175</v>
      </c>
      <c r="L2391" t="s">
        <v>1003</v>
      </c>
      <c r="M2391" t="s">
        <v>1000</v>
      </c>
      <c r="N2391" t="s">
        <v>1001</v>
      </c>
      <c r="O2391" t="s">
        <v>1001</v>
      </c>
      <c r="P2391" t="s">
        <v>1089</v>
      </c>
      <c r="Q2391" t="s">
        <v>3169</v>
      </c>
      <c r="R2391" t="s">
        <v>446</v>
      </c>
      <c r="S2391" t="s">
        <v>446</v>
      </c>
      <c r="T2391" t="s">
        <v>1965</v>
      </c>
      <c r="U2391" t="b">
        <v>0</v>
      </c>
      <c r="V2391" t="s">
        <v>446</v>
      </c>
    </row>
    <row r="2392" spans="1:22" x14ac:dyDescent="0.25">
      <c r="A2392" t="s">
        <v>42</v>
      </c>
      <c r="B2392">
        <v>284</v>
      </c>
      <c r="C2392" t="s">
        <v>1007</v>
      </c>
      <c r="D2392" t="s">
        <v>1931</v>
      </c>
      <c r="E2392" t="s">
        <v>1006</v>
      </c>
      <c r="G2392" t="s">
        <v>24</v>
      </c>
      <c r="H2392" t="s">
        <v>26</v>
      </c>
      <c r="I2392" t="s">
        <v>3167</v>
      </c>
      <c r="J2392" t="s">
        <v>1011</v>
      </c>
      <c r="K2392" t="s">
        <v>3179</v>
      </c>
      <c r="L2392" t="s">
        <v>1011</v>
      </c>
      <c r="M2392" t="s">
        <v>1008</v>
      </c>
      <c r="N2392" t="s">
        <v>1009</v>
      </c>
      <c r="O2392" t="s">
        <v>1009</v>
      </c>
      <c r="P2392" t="s">
        <v>1089</v>
      </c>
      <c r="Q2392" t="s">
        <v>3169</v>
      </c>
      <c r="R2392" t="s">
        <v>446</v>
      </c>
      <c r="S2392" t="s">
        <v>446</v>
      </c>
      <c r="T2392" t="s">
        <v>3216</v>
      </c>
      <c r="U2392" t="b">
        <v>0</v>
      </c>
      <c r="V2392" t="s">
        <v>1094</v>
      </c>
    </row>
    <row r="2393" spans="1:22" x14ac:dyDescent="0.25">
      <c r="A2393" t="s">
        <v>42</v>
      </c>
      <c r="B2393">
        <v>284</v>
      </c>
      <c r="C2393" t="s">
        <v>1014</v>
      </c>
      <c r="D2393" t="s">
        <v>1932</v>
      </c>
      <c r="E2393" t="s">
        <v>1013</v>
      </c>
      <c r="G2393" t="s">
        <v>24</v>
      </c>
      <c r="H2393" t="s">
        <v>26</v>
      </c>
      <c r="I2393" t="s">
        <v>3167</v>
      </c>
      <c r="J2393" t="s">
        <v>1016</v>
      </c>
      <c r="K2393" t="s">
        <v>3181</v>
      </c>
      <c r="L2393" t="s">
        <v>1016</v>
      </c>
      <c r="M2393" t="s">
        <v>980</v>
      </c>
      <c r="N2393" t="s">
        <v>1015</v>
      </c>
      <c r="O2393" t="s">
        <v>1015</v>
      </c>
      <c r="P2393" t="s">
        <v>1089</v>
      </c>
      <c r="Q2393" t="s">
        <v>3169</v>
      </c>
      <c r="R2393" t="s">
        <v>446</v>
      </c>
      <c r="S2393" t="s">
        <v>446</v>
      </c>
      <c r="T2393" t="s">
        <v>3216</v>
      </c>
      <c r="U2393" t="b">
        <v>0</v>
      </c>
      <c r="V2393" t="s">
        <v>1094</v>
      </c>
    </row>
    <row r="2394" spans="1:22" x14ac:dyDescent="0.25">
      <c r="A2394" t="s">
        <v>42</v>
      </c>
      <c r="B2394">
        <v>284</v>
      </c>
      <c r="C2394" t="s">
        <v>1019</v>
      </c>
      <c r="D2394" t="s">
        <v>1933</v>
      </c>
      <c r="E2394" t="s">
        <v>1018</v>
      </c>
      <c r="G2394" t="s">
        <v>24</v>
      </c>
      <c r="H2394" t="s">
        <v>26</v>
      </c>
      <c r="I2394" t="s">
        <v>3167</v>
      </c>
      <c r="J2394" t="s">
        <v>1021</v>
      </c>
      <c r="K2394" t="s">
        <v>3183</v>
      </c>
      <c r="L2394" t="s">
        <v>1021</v>
      </c>
      <c r="M2394" t="s">
        <v>980</v>
      </c>
      <c r="N2394" t="s">
        <v>1020</v>
      </c>
      <c r="O2394" t="s">
        <v>1020</v>
      </c>
      <c r="P2394" t="s">
        <v>1089</v>
      </c>
      <c r="Q2394" t="s">
        <v>3169</v>
      </c>
      <c r="R2394" t="s">
        <v>446</v>
      </c>
      <c r="S2394" t="s">
        <v>446</v>
      </c>
      <c r="T2394" t="s">
        <v>3216</v>
      </c>
      <c r="U2394" t="b">
        <v>0</v>
      </c>
      <c r="V2394" t="s">
        <v>1094</v>
      </c>
    </row>
    <row r="2395" spans="1:22" x14ac:dyDescent="0.25">
      <c r="A2395" t="s">
        <v>42</v>
      </c>
      <c r="B2395">
        <v>284</v>
      </c>
      <c r="C2395" t="s">
        <v>1024</v>
      </c>
      <c r="D2395" t="s">
        <v>1934</v>
      </c>
      <c r="E2395" t="s">
        <v>1023</v>
      </c>
      <c r="G2395" t="s">
        <v>24</v>
      </c>
      <c r="H2395" t="s">
        <v>26</v>
      </c>
      <c r="I2395" t="s">
        <v>3167</v>
      </c>
      <c r="J2395" t="s">
        <v>1026</v>
      </c>
      <c r="K2395" t="s">
        <v>3185</v>
      </c>
      <c r="L2395" t="s">
        <v>1026</v>
      </c>
      <c r="M2395" t="s">
        <v>1000</v>
      </c>
      <c r="N2395" t="s">
        <v>1025</v>
      </c>
      <c r="O2395" t="s">
        <v>1025</v>
      </c>
      <c r="P2395" t="s">
        <v>1089</v>
      </c>
      <c r="Q2395" t="s">
        <v>3169</v>
      </c>
      <c r="R2395" t="s">
        <v>446</v>
      </c>
      <c r="S2395" t="s">
        <v>446</v>
      </c>
      <c r="T2395" t="s">
        <v>3216</v>
      </c>
      <c r="U2395" t="b">
        <v>0</v>
      </c>
      <c r="V2395" t="s">
        <v>1094</v>
      </c>
    </row>
    <row r="2396" spans="1:22" x14ac:dyDescent="0.25">
      <c r="A2396" t="s">
        <v>42</v>
      </c>
      <c r="B2396">
        <v>284</v>
      </c>
      <c r="C2396" t="s">
        <v>1028</v>
      </c>
      <c r="D2396" t="s">
        <v>5722</v>
      </c>
      <c r="E2396" t="s">
        <v>1010</v>
      </c>
      <c r="F2396" t="s">
        <v>3218</v>
      </c>
      <c r="G2396" t="s">
        <v>24</v>
      </c>
      <c r="H2396" t="s">
        <v>26</v>
      </c>
      <c r="I2396" t="s">
        <v>3167</v>
      </c>
      <c r="J2396" t="s">
        <v>1026</v>
      </c>
      <c r="K2396" t="s">
        <v>3185</v>
      </c>
      <c r="L2396" t="s">
        <v>1026</v>
      </c>
      <c r="M2396" t="s">
        <v>1000</v>
      </c>
      <c r="N2396" t="s">
        <v>1025</v>
      </c>
      <c r="O2396" t="s">
        <v>1025</v>
      </c>
      <c r="P2396" t="s">
        <v>1089</v>
      </c>
      <c r="Q2396" t="s">
        <v>3169</v>
      </c>
      <c r="R2396" t="s">
        <v>446</v>
      </c>
      <c r="S2396" t="s">
        <v>446</v>
      </c>
      <c r="T2396" t="s">
        <v>1965</v>
      </c>
      <c r="U2396" t="b">
        <v>0</v>
      </c>
      <c r="V2396" t="s">
        <v>446</v>
      </c>
    </row>
    <row r="2397" spans="1:22" x14ac:dyDescent="0.25">
      <c r="A2397" t="s">
        <v>42</v>
      </c>
      <c r="B2397">
        <v>284</v>
      </c>
      <c r="C2397" t="s">
        <v>1030</v>
      </c>
      <c r="D2397" t="s">
        <v>1935</v>
      </c>
      <c r="E2397" t="s">
        <v>1029</v>
      </c>
      <c r="G2397" t="s">
        <v>24</v>
      </c>
      <c r="H2397" t="s">
        <v>26</v>
      </c>
      <c r="I2397" t="s">
        <v>3167</v>
      </c>
      <c r="J2397" t="s">
        <v>1033</v>
      </c>
      <c r="K2397" t="s">
        <v>3189</v>
      </c>
      <c r="L2397" t="s">
        <v>1033</v>
      </c>
      <c r="M2397" t="s">
        <v>980</v>
      </c>
      <c r="N2397" t="s">
        <v>1031</v>
      </c>
      <c r="O2397" t="s">
        <v>1031</v>
      </c>
      <c r="P2397" t="s">
        <v>1089</v>
      </c>
      <c r="Q2397" t="s">
        <v>3169</v>
      </c>
      <c r="R2397" t="s">
        <v>446</v>
      </c>
      <c r="S2397" t="s">
        <v>446</v>
      </c>
      <c r="T2397" t="s">
        <v>3216</v>
      </c>
      <c r="U2397" t="b">
        <v>0</v>
      </c>
      <c r="V2397" t="s">
        <v>1094</v>
      </c>
    </row>
    <row r="2398" spans="1:22" x14ac:dyDescent="0.25">
      <c r="A2398" t="s">
        <v>42</v>
      </c>
      <c r="B2398">
        <v>284</v>
      </c>
      <c r="C2398" t="s">
        <v>1036</v>
      </c>
      <c r="D2398" t="s">
        <v>1937</v>
      </c>
      <c r="E2398" t="s">
        <v>1035</v>
      </c>
      <c r="G2398" t="s">
        <v>24</v>
      </c>
      <c r="H2398" t="s">
        <v>26</v>
      </c>
      <c r="I2398" t="s">
        <v>3167</v>
      </c>
      <c r="J2398" t="s">
        <v>1038</v>
      </c>
      <c r="K2398" t="s">
        <v>3191</v>
      </c>
      <c r="L2398" t="s">
        <v>1038</v>
      </c>
      <c r="M2398" t="s">
        <v>980</v>
      </c>
      <c r="N2398" t="s">
        <v>1037</v>
      </c>
      <c r="O2398" t="s">
        <v>1037</v>
      </c>
      <c r="P2398" t="s">
        <v>1089</v>
      </c>
      <c r="Q2398" t="s">
        <v>3169</v>
      </c>
      <c r="R2398" t="s">
        <v>446</v>
      </c>
      <c r="S2398" t="s">
        <v>446</v>
      </c>
      <c r="T2398" t="s">
        <v>3216</v>
      </c>
      <c r="U2398" t="b">
        <v>0</v>
      </c>
      <c r="V2398" t="s">
        <v>1094</v>
      </c>
    </row>
    <row r="2399" spans="1:22" x14ac:dyDescent="0.25">
      <c r="A2399" t="s">
        <v>42</v>
      </c>
      <c r="B2399">
        <v>284</v>
      </c>
      <c r="C2399" t="s">
        <v>1041</v>
      </c>
      <c r="D2399" t="s">
        <v>1939</v>
      </c>
      <c r="E2399" t="s">
        <v>1040</v>
      </c>
      <c r="G2399" t="s">
        <v>24</v>
      </c>
      <c r="H2399" t="s">
        <v>26</v>
      </c>
      <c r="I2399" t="s">
        <v>3167</v>
      </c>
      <c r="J2399" t="s">
        <v>1043</v>
      </c>
      <c r="K2399" t="s">
        <v>3193</v>
      </c>
      <c r="L2399" t="s">
        <v>1043</v>
      </c>
      <c r="M2399" t="s">
        <v>980</v>
      </c>
      <c r="N2399" t="s">
        <v>1042</v>
      </c>
      <c r="O2399" t="s">
        <v>1042</v>
      </c>
      <c r="P2399" t="s">
        <v>1089</v>
      </c>
      <c r="Q2399" t="s">
        <v>3169</v>
      </c>
      <c r="R2399" t="s">
        <v>446</v>
      </c>
      <c r="S2399" t="s">
        <v>446</v>
      </c>
      <c r="T2399" t="s">
        <v>3216</v>
      </c>
      <c r="U2399" t="b">
        <v>0</v>
      </c>
      <c r="V2399" t="s">
        <v>1094</v>
      </c>
    </row>
    <row r="2400" spans="1:22" x14ac:dyDescent="0.25">
      <c r="A2400" t="s">
        <v>42</v>
      </c>
      <c r="B2400">
        <v>284</v>
      </c>
      <c r="C2400" t="s">
        <v>1046</v>
      </c>
      <c r="D2400" t="s">
        <v>1941</v>
      </c>
      <c r="E2400" t="s">
        <v>1045</v>
      </c>
      <c r="G2400" t="s">
        <v>24</v>
      </c>
      <c r="H2400" t="s">
        <v>26</v>
      </c>
      <c r="I2400" t="s">
        <v>3167</v>
      </c>
      <c r="J2400" t="s">
        <v>1048</v>
      </c>
      <c r="K2400" t="s">
        <v>3195</v>
      </c>
      <c r="L2400" t="s">
        <v>1048</v>
      </c>
      <c r="M2400" t="s">
        <v>1000</v>
      </c>
      <c r="N2400" t="s">
        <v>1047</v>
      </c>
      <c r="O2400" t="s">
        <v>1047</v>
      </c>
      <c r="P2400" t="s">
        <v>1089</v>
      </c>
      <c r="Q2400" t="s">
        <v>3169</v>
      </c>
      <c r="R2400" t="s">
        <v>446</v>
      </c>
      <c r="S2400" t="s">
        <v>446</v>
      </c>
      <c r="T2400" t="s">
        <v>3216</v>
      </c>
      <c r="U2400" t="b">
        <v>0</v>
      </c>
      <c r="V2400" t="s">
        <v>1094</v>
      </c>
    </row>
    <row r="2401" spans="1:22" x14ac:dyDescent="0.25">
      <c r="A2401" t="s">
        <v>42</v>
      </c>
      <c r="B2401">
        <v>284</v>
      </c>
      <c r="C2401" t="s">
        <v>1050</v>
      </c>
      <c r="D2401" t="s">
        <v>5723</v>
      </c>
      <c r="E2401" t="s">
        <v>1032</v>
      </c>
      <c r="F2401" t="s">
        <v>3218</v>
      </c>
      <c r="G2401" t="s">
        <v>24</v>
      </c>
      <c r="H2401" t="s">
        <v>26</v>
      </c>
      <c r="I2401" t="s">
        <v>3167</v>
      </c>
      <c r="J2401" t="s">
        <v>1048</v>
      </c>
      <c r="K2401" t="s">
        <v>3195</v>
      </c>
      <c r="L2401" t="s">
        <v>1048</v>
      </c>
      <c r="M2401" t="s">
        <v>1000</v>
      </c>
      <c r="N2401" t="s">
        <v>1047</v>
      </c>
      <c r="O2401" t="s">
        <v>1047</v>
      </c>
      <c r="P2401" t="s">
        <v>1089</v>
      </c>
      <c r="Q2401" t="s">
        <v>3169</v>
      </c>
      <c r="R2401" t="s">
        <v>446</v>
      </c>
      <c r="S2401" t="s">
        <v>446</v>
      </c>
      <c r="T2401" t="s">
        <v>1965</v>
      </c>
      <c r="U2401" t="b">
        <v>0</v>
      </c>
      <c r="V2401" t="s">
        <v>446</v>
      </c>
    </row>
    <row r="2402" spans="1:22" x14ac:dyDescent="0.25">
      <c r="A2402" t="s">
        <v>42</v>
      </c>
      <c r="B2402">
        <v>284</v>
      </c>
      <c r="C2402" t="s">
        <v>1052</v>
      </c>
      <c r="D2402" t="s">
        <v>1943</v>
      </c>
      <c r="E2402" t="s">
        <v>1051</v>
      </c>
      <c r="G2402" t="s">
        <v>24</v>
      </c>
      <c r="H2402" t="s">
        <v>26</v>
      </c>
      <c r="I2402" t="s">
        <v>3167</v>
      </c>
      <c r="J2402" t="s">
        <v>1055</v>
      </c>
      <c r="K2402" t="s">
        <v>3199</v>
      </c>
      <c r="L2402" t="s">
        <v>1055</v>
      </c>
      <c r="M2402" t="s">
        <v>980</v>
      </c>
      <c r="N2402" t="s">
        <v>1053</v>
      </c>
      <c r="O2402" t="s">
        <v>1053</v>
      </c>
      <c r="P2402" t="s">
        <v>1089</v>
      </c>
      <c r="Q2402" t="s">
        <v>3169</v>
      </c>
      <c r="R2402" t="s">
        <v>446</v>
      </c>
      <c r="S2402" t="s">
        <v>446</v>
      </c>
      <c r="T2402" t="s">
        <v>3216</v>
      </c>
      <c r="U2402" t="b">
        <v>0</v>
      </c>
      <c r="V2402" t="s">
        <v>1094</v>
      </c>
    </row>
    <row r="2403" spans="1:22" x14ac:dyDescent="0.25">
      <c r="A2403" t="s">
        <v>42</v>
      </c>
      <c r="B2403">
        <v>286</v>
      </c>
      <c r="C2403" t="s">
        <v>979</v>
      </c>
      <c r="D2403" t="s">
        <v>5724</v>
      </c>
      <c r="E2403" t="s">
        <v>978</v>
      </c>
      <c r="F2403" t="s">
        <v>3218</v>
      </c>
      <c r="G2403" t="s">
        <v>24</v>
      </c>
      <c r="H2403" t="s">
        <v>26</v>
      </c>
      <c r="I2403" t="s">
        <v>3167</v>
      </c>
      <c r="J2403" t="s">
        <v>984</v>
      </c>
      <c r="K2403" t="s">
        <v>3168</v>
      </c>
      <c r="L2403" t="s">
        <v>984</v>
      </c>
      <c r="M2403" t="s">
        <v>980</v>
      </c>
      <c r="N2403" t="s">
        <v>981</v>
      </c>
      <c r="O2403" t="s">
        <v>981</v>
      </c>
      <c r="P2403" t="s">
        <v>1089</v>
      </c>
      <c r="Q2403" t="s">
        <v>3169</v>
      </c>
      <c r="R2403" t="s">
        <v>446</v>
      </c>
      <c r="S2403" t="s">
        <v>446</v>
      </c>
      <c r="T2403" t="s">
        <v>1965</v>
      </c>
      <c r="U2403" t="b">
        <v>0</v>
      </c>
      <c r="V2403" t="s">
        <v>446</v>
      </c>
    </row>
    <row r="2404" spans="1:22" x14ac:dyDescent="0.25">
      <c r="A2404" t="s">
        <v>42</v>
      </c>
      <c r="B2404">
        <v>286</v>
      </c>
      <c r="C2404" t="s">
        <v>987</v>
      </c>
      <c r="D2404" t="s">
        <v>5725</v>
      </c>
      <c r="E2404" t="s">
        <v>986</v>
      </c>
      <c r="F2404" t="s">
        <v>3218</v>
      </c>
      <c r="G2404" t="s">
        <v>24</v>
      </c>
      <c r="H2404" t="s">
        <v>26</v>
      </c>
      <c r="I2404" t="s">
        <v>3167</v>
      </c>
      <c r="J2404" t="s">
        <v>990</v>
      </c>
      <c r="K2404" t="s">
        <v>3171</v>
      </c>
      <c r="L2404" t="s">
        <v>990</v>
      </c>
      <c r="M2404" t="s">
        <v>980</v>
      </c>
      <c r="N2404" t="s">
        <v>988</v>
      </c>
      <c r="O2404" t="s">
        <v>988</v>
      </c>
      <c r="P2404" t="s">
        <v>1089</v>
      </c>
      <c r="Q2404" t="s">
        <v>3169</v>
      </c>
      <c r="R2404" t="s">
        <v>446</v>
      </c>
      <c r="S2404" t="s">
        <v>446</v>
      </c>
      <c r="T2404" t="s">
        <v>1965</v>
      </c>
      <c r="U2404" t="b">
        <v>0</v>
      </c>
      <c r="V2404" t="s">
        <v>446</v>
      </c>
    </row>
    <row r="2405" spans="1:22" x14ac:dyDescent="0.25">
      <c r="A2405" t="s">
        <v>42</v>
      </c>
      <c r="B2405">
        <v>286</v>
      </c>
      <c r="C2405" t="s">
        <v>993</v>
      </c>
      <c r="D2405" t="s">
        <v>5726</v>
      </c>
      <c r="E2405" t="s">
        <v>992</v>
      </c>
      <c r="F2405" t="s">
        <v>3218</v>
      </c>
      <c r="G2405" t="s">
        <v>24</v>
      </c>
      <c r="H2405" t="s">
        <v>26</v>
      </c>
      <c r="I2405" t="s">
        <v>3167</v>
      </c>
      <c r="J2405" t="s">
        <v>996</v>
      </c>
      <c r="K2405" t="s">
        <v>3173</v>
      </c>
      <c r="L2405" t="s">
        <v>996</v>
      </c>
      <c r="M2405" t="s">
        <v>980</v>
      </c>
      <c r="N2405" t="s">
        <v>994</v>
      </c>
      <c r="O2405" t="s">
        <v>994</v>
      </c>
      <c r="P2405" t="s">
        <v>1089</v>
      </c>
      <c r="Q2405" t="s">
        <v>3169</v>
      </c>
      <c r="R2405" t="s">
        <v>446</v>
      </c>
      <c r="S2405" t="s">
        <v>446</v>
      </c>
      <c r="T2405" t="s">
        <v>1965</v>
      </c>
      <c r="U2405" t="b">
        <v>0</v>
      </c>
      <c r="V2405" t="s">
        <v>446</v>
      </c>
    </row>
    <row r="2406" spans="1:22" x14ac:dyDescent="0.25">
      <c r="A2406" t="s">
        <v>42</v>
      </c>
      <c r="B2406">
        <v>286</v>
      </c>
      <c r="C2406" t="s">
        <v>999</v>
      </c>
      <c r="D2406" t="s">
        <v>5727</v>
      </c>
      <c r="E2406" t="s">
        <v>998</v>
      </c>
      <c r="F2406" t="s">
        <v>3218</v>
      </c>
      <c r="G2406" t="s">
        <v>24</v>
      </c>
      <c r="H2406" t="s">
        <v>26</v>
      </c>
      <c r="I2406" t="s">
        <v>3167</v>
      </c>
      <c r="J2406" t="s">
        <v>1003</v>
      </c>
      <c r="K2406" t="s">
        <v>3175</v>
      </c>
      <c r="L2406" t="s">
        <v>1003</v>
      </c>
      <c r="M2406" t="s">
        <v>1000</v>
      </c>
      <c r="N2406" t="s">
        <v>1001</v>
      </c>
      <c r="O2406" t="s">
        <v>1001</v>
      </c>
      <c r="P2406" t="s">
        <v>1089</v>
      </c>
      <c r="Q2406" t="s">
        <v>3169</v>
      </c>
      <c r="R2406" t="s">
        <v>446</v>
      </c>
      <c r="S2406" t="s">
        <v>446</v>
      </c>
      <c r="T2406" t="s">
        <v>1965</v>
      </c>
      <c r="U2406" t="b">
        <v>0</v>
      </c>
      <c r="V2406" t="s">
        <v>446</v>
      </c>
    </row>
    <row r="2407" spans="1:22" x14ac:dyDescent="0.25">
      <c r="A2407" t="s">
        <v>42</v>
      </c>
      <c r="B2407">
        <v>286</v>
      </c>
      <c r="C2407" t="s">
        <v>1005</v>
      </c>
      <c r="D2407" t="s">
        <v>5728</v>
      </c>
      <c r="E2407" t="s">
        <v>982</v>
      </c>
      <c r="F2407" t="s">
        <v>3166</v>
      </c>
      <c r="G2407" t="s">
        <v>24</v>
      </c>
      <c r="H2407" t="s">
        <v>26</v>
      </c>
      <c r="I2407" t="s">
        <v>3167</v>
      </c>
      <c r="J2407" t="s">
        <v>1003</v>
      </c>
      <c r="K2407" t="s">
        <v>3175</v>
      </c>
      <c r="L2407" t="s">
        <v>1003</v>
      </c>
      <c r="M2407" t="s">
        <v>1000</v>
      </c>
      <c r="N2407" t="s">
        <v>1001</v>
      </c>
      <c r="O2407" t="s">
        <v>1001</v>
      </c>
      <c r="P2407" t="s">
        <v>1089</v>
      </c>
      <c r="Q2407" t="s">
        <v>3169</v>
      </c>
      <c r="R2407" t="s">
        <v>446</v>
      </c>
      <c r="S2407" t="s">
        <v>446</v>
      </c>
      <c r="T2407" t="s">
        <v>1965</v>
      </c>
      <c r="U2407" t="b">
        <v>0</v>
      </c>
      <c r="V2407" t="s">
        <v>446</v>
      </c>
    </row>
    <row r="2408" spans="1:22" x14ac:dyDescent="0.25">
      <c r="A2408" t="s">
        <v>42</v>
      </c>
      <c r="B2408">
        <v>286</v>
      </c>
      <c r="C2408" t="s">
        <v>1007</v>
      </c>
      <c r="D2408" t="s">
        <v>5729</v>
      </c>
      <c r="E2408" t="s">
        <v>1006</v>
      </c>
      <c r="F2408" t="s">
        <v>3218</v>
      </c>
      <c r="G2408" t="s">
        <v>24</v>
      </c>
      <c r="H2408" t="s">
        <v>26</v>
      </c>
      <c r="I2408" t="s">
        <v>3167</v>
      </c>
      <c r="J2408" t="s">
        <v>1011</v>
      </c>
      <c r="K2408" t="s">
        <v>3179</v>
      </c>
      <c r="L2408" t="s">
        <v>1011</v>
      </c>
      <c r="M2408" t="s">
        <v>1008</v>
      </c>
      <c r="N2408" t="s">
        <v>1009</v>
      </c>
      <c r="O2408" t="s">
        <v>1009</v>
      </c>
      <c r="P2408" t="s">
        <v>1089</v>
      </c>
      <c r="Q2408" t="s">
        <v>3169</v>
      </c>
      <c r="R2408" t="s">
        <v>446</v>
      </c>
      <c r="S2408" t="s">
        <v>446</v>
      </c>
      <c r="T2408" t="s">
        <v>1965</v>
      </c>
      <c r="U2408" t="b">
        <v>0</v>
      </c>
      <c r="V2408" t="s">
        <v>446</v>
      </c>
    </row>
    <row r="2409" spans="1:22" x14ac:dyDescent="0.25">
      <c r="A2409" t="s">
        <v>42</v>
      </c>
      <c r="B2409">
        <v>286</v>
      </c>
      <c r="C2409" t="s">
        <v>1014</v>
      </c>
      <c r="D2409" t="s">
        <v>5730</v>
      </c>
      <c r="E2409" t="s">
        <v>1013</v>
      </c>
      <c r="F2409" t="s">
        <v>3218</v>
      </c>
      <c r="G2409" t="s">
        <v>24</v>
      </c>
      <c r="H2409" t="s">
        <v>26</v>
      </c>
      <c r="I2409" t="s">
        <v>3167</v>
      </c>
      <c r="J2409" t="s">
        <v>1016</v>
      </c>
      <c r="K2409" t="s">
        <v>3181</v>
      </c>
      <c r="L2409" t="s">
        <v>1016</v>
      </c>
      <c r="M2409" t="s">
        <v>980</v>
      </c>
      <c r="N2409" t="s">
        <v>1015</v>
      </c>
      <c r="O2409" t="s">
        <v>1015</v>
      </c>
      <c r="P2409" t="s">
        <v>1089</v>
      </c>
      <c r="Q2409" t="s">
        <v>3169</v>
      </c>
      <c r="R2409" t="s">
        <v>446</v>
      </c>
      <c r="S2409" t="s">
        <v>446</v>
      </c>
      <c r="T2409" t="s">
        <v>1965</v>
      </c>
      <c r="U2409" t="b">
        <v>0</v>
      </c>
      <c r="V2409" t="s">
        <v>446</v>
      </c>
    </row>
    <row r="2410" spans="1:22" x14ac:dyDescent="0.25">
      <c r="A2410" t="s">
        <v>42</v>
      </c>
      <c r="B2410">
        <v>286</v>
      </c>
      <c r="C2410" t="s">
        <v>1019</v>
      </c>
      <c r="D2410" t="s">
        <v>5731</v>
      </c>
      <c r="E2410" t="s">
        <v>1018</v>
      </c>
      <c r="F2410" t="s">
        <v>3218</v>
      </c>
      <c r="G2410" t="s">
        <v>24</v>
      </c>
      <c r="H2410" t="s">
        <v>26</v>
      </c>
      <c r="I2410" t="s">
        <v>3167</v>
      </c>
      <c r="J2410" t="s">
        <v>1021</v>
      </c>
      <c r="K2410" t="s">
        <v>3183</v>
      </c>
      <c r="L2410" t="s">
        <v>1021</v>
      </c>
      <c r="M2410" t="s">
        <v>980</v>
      </c>
      <c r="N2410" t="s">
        <v>1020</v>
      </c>
      <c r="O2410" t="s">
        <v>1020</v>
      </c>
      <c r="P2410" t="s">
        <v>1089</v>
      </c>
      <c r="Q2410" t="s">
        <v>3169</v>
      </c>
      <c r="R2410" t="s">
        <v>446</v>
      </c>
      <c r="S2410" t="s">
        <v>446</v>
      </c>
      <c r="T2410" t="s">
        <v>1965</v>
      </c>
      <c r="U2410" t="b">
        <v>0</v>
      </c>
      <c r="V2410" t="s">
        <v>446</v>
      </c>
    </row>
    <row r="2411" spans="1:22" x14ac:dyDescent="0.25">
      <c r="A2411" t="s">
        <v>42</v>
      </c>
      <c r="B2411">
        <v>286</v>
      </c>
      <c r="C2411" t="s">
        <v>1024</v>
      </c>
      <c r="D2411" t="s">
        <v>5732</v>
      </c>
      <c r="E2411" t="s">
        <v>1023</v>
      </c>
      <c r="F2411" t="s">
        <v>3218</v>
      </c>
      <c r="G2411" t="s">
        <v>24</v>
      </c>
      <c r="H2411" t="s">
        <v>26</v>
      </c>
      <c r="I2411" t="s">
        <v>3167</v>
      </c>
      <c r="J2411" t="s">
        <v>1026</v>
      </c>
      <c r="K2411" t="s">
        <v>3185</v>
      </c>
      <c r="L2411" t="s">
        <v>1026</v>
      </c>
      <c r="M2411" t="s">
        <v>1000</v>
      </c>
      <c r="N2411" t="s">
        <v>1025</v>
      </c>
      <c r="O2411" t="s">
        <v>1025</v>
      </c>
      <c r="P2411" t="s">
        <v>1089</v>
      </c>
      <c r="Q2411" t="s">
        <v>3169</v>
      </c>
      <c r="R2411" t="s">
        <v>446</v>
      </c>
      <c r="S2411" t="s">
        <v>446</v>
      </c>
      <c r="T2411" t="s">
        <v>1965</v>
      </c>
      <c r="U2411" t="b">
        <v>0</v>
      </c>
      <c r="V2411" t="s">
        <v>446</v>
      </c>
    </row>
    <row r="2412" spans="1:22" x14ac:dyDescent="0.25">
      <c r="A2412" t="s">
        <v>42</v>
      </c>
      <c r="B2412">
        <v>286</v>
      </c>
      <c r="C2412" t="s">
        <v>1028</v>
      </c>
      <c r="D2412" t="s">
        <v>5733</v>
      </c>
      <c r="E2412" t="s">
        <v>1010</v>
      </c>
      <c r="F2412" t="s">
        <v>3178</v>
      </c>
      <c r="G2412" t="s">
        <v>24</v>
      </c>
      <c r="H2412" t="s">
        <v>26</v>
      </c>
      <c r="I2412" t="s">
        <v>3167</v>
      </c>
      <c r="J2412" t="s">
        <v>1026</v>
      </c>
      <c r="K2412" t="s">
        <v>3185</v>
      </c>
      <c r="L2412" t="s">
        <v>1026</v>
      </c>
      <c r="M2412" t="s">
        <v>1000</v>
      </c>
      <c r="N2412" t="s">
        <v>1025</v>
      </c>
      <c r="O2412" t="s">
        <v>1025</v>
      </c>
      <c r="P2412" t="s">
        <v>1089</v>
      </c>
      <c r="Q2412" t="s">
        <v>3169</v>
      </c>
      <c r="R2412" t="s">
        <v>446</v>
      </c>
      <c r="S2412" t="s">
        <v>446</v>
      </c>
      <c r="T2412" t="s">
        <v>1965</v>
      </c>
      <c r="U2412" t="b">
        <v>0</v>
      </c>
      <c r="V2412" t="s">
        <v>446</v>
      </c>
    </row>
    <row r="2413" spans="1:22" x14ac:dyDescent="0.25">
      <c r="A2413" t="s">
        <v>42</v>
      </c>
      <c r="B2413">
        <v>286</v>
      </c>
      <c r="C2413" t="s">
        <v>1030</v>
      </c>
      <c r="D2413" t="s">
        <v>5734</v>
      </c>
      <c r="E2413" t="s">
        <v>1029</v>
      </c>
      <c r="F2413" t="s">
        <v>3218</v>
      </c>
      <c r="G2413" t="s">
        <v>24</v>
      </c>
      <c r="H2413" t="s">
        <v>26</v>
      </c>
      <c r="I2413" t="s">
        <v>3167</v>
      </c>
      <c r="J2413" t="s">
        <v>1033</v>
      </c>
      <c r="K2413" t="s">
        <v>3189</v>
      </c>
      <c r="L2413" t="s">
        <v>1033</v>
      </c>
      <c r="M2413" t="s">
        <v>980</v>
      </c>
      <c r="N2413" t="s">
        <v>1031</v>
      </c>
      <c r="O2413" t="s">
        <v>1031</v>
      </c>
      <c r="P2413" t="s">
        <v>1089</v>
      </c>
      <c r="Q2413" t="s">
        <v>3169</v>
      </c>
      <c r="R2413" t="s">
        <v>446</v>
      </c>
      <c r="S2413" t="s">
        <v>446</v>
      </c>
      <c r="T2413" t="s">
        <v>1965</v>
      </c>
      <c r="U2413" t="b">
        <v>0</v>
      </c>
      <c r="V2413" t="s">
        <v>446</v>
      </c>
    </row>
    <row r="2414" spans="1:22" x14ac:dyDescent="0.25">
      <c r="A2414" t="s">
        <v>42</v>
      </c>
      <c r="B2414">
        <v>286</v>
      </c>
      <c r="C2414" t="s">
        <v>1036</v>
      </c>
      <c r="D2414" t="s">
        <v>5735</v>
      </c>
      <c r="E2414" t="s">
        <v>1035</v>
      </c>
      <c r="F2414" t="s">
        <v>3218</v>
      </c>
      <c r="G2414" t="s">
        <v>24</v>
      </c>
      <c r="H2414" t="s">
        <v>26</v>
      </c>
      <c r="I2414" t="s">
        <v>3167</v>
      </c>
      <c r="J2414" t="s">
        <v>1038</v>
      </c>
      <c r="K2414" t="s">
        <v>3191</v>
      </c>
      <c r="L2414" t="s">
        <v>1038</v>
      </c>
      <c r="M2414" t="s">
        <v>980</v>
      </c>
      <c r="N2414" t="s">
        <v>1037</v>
      </c>
      <c r="O2414" t="s">
        <v>1037</v>
      </c>
      <c r="P2414" t="s">
        <v>1089</v>
      </c>
      <c r="Q2414" t="s">
        <v>3169</v>
      </c>
      <c r="R2414" t="s">
        <v>446</v>
      </c>
      <c r="S2414" t="s">
        <v>446</v>
      </c>
      <c r="T2414" t="s">
        <v>1965</v>
      </c>
      <c r="U2414" t="b">
        <v>0</v>
      </c>
      <c r="V2414" t="s">
        <v>446</v>
      </c>
    </row>
    <row r="2415" spans="1:22" x14ac:dyDescent="0.25">
      <c r="A2415" t="s">
        <v>42</v>
      </c>
      <c r="B2415">
        <v>286</v>
      </c>
      <c r="C2415" t="s">
        <v>1041</v>
      </c>
      <c r="D2415" t="s">
        <v>5736</v>
      </c>
      <c r="E2415" t="s">
        <v>1040</v>
      </c>
      <c r="F2415" t="s">
        <v>3218</v>
      </c>
      <c r="G2415" t="s">
        <v>24</v>
      </c>
      <c r="H2415" t="s">
        <v>26</v>
      </c>
      <c r="I2415" t="s">
        <v>3167</v>
      </c>
      <c r="J2415" t="s">
        <v>1043</v>
      </c>
      <c r="K2415" t="s">
        <v>3193</v>
      </c>
      <c r="L2415" t="s">
        <v>1043</v>
      </c>
      <c r="M2415" t="s">
        <v>980</v>
      </c>
      <c r="N2415" t="s">
        <v>1042</v>
      </c>
      <c r="O2415" t="s">
        <v>1042</v>
      </c>
      <c r="P2415" t="s">
        <v>1089</v>
      </c>
      <c r="Q2415" t="s">
        <v>3169</v>
      </c>
      <c r="R2415" t="s">
        <v>446</v>
      </c>
      <c r="S2415" t="s">
        <v>446</v>
      </c>
      <c r="T2415" t="s">
        <v>1965</v>
      </c>
      <c r="U2415" t="b">
        <v>0</v>
      </c>
      <c r="V2415" t="s">
        <v>446</v>
      </c>
    </row>
    <row r="2416" spans="1:22" x14ac:dyDescent="0.25">
      <c r="A2416" t="s">
        <v>42</v>
      </c>
      <c r="B2416">
        <v>286</v>
      </c>
      <c r="C2416" t="s">
        <v>1046</v>
      </c>
      <c r="D2416" t="s">
        <v>5737</v>
      </c>
      <c r="E2416" t="s">
        <v>1045</v>
      </c>
      <c r="F2416" t="s">
        <v>3218</v>
      </c>
      <c r="G2416" t="s">
        <v>24</v>
      </c>
      <c r="H2416" t="s">
        <v>26</v>
      </c>
      <c r="I2416" t="s">
        <v>3167</v>
      </c>
      <c r="J2416" t="s">
        <v>1048</v>
      </c>
      <c r="K2416" t="s">
        <v>3195</v>
      </c>
      <c r="L2416" t="s">
        <v>1048</v>
      </c>
      <c r="M2416" t="s">
        <v>1000</v>
      </c>
      <c r="N2416" t="s">
        <v>1047</v>
      </c>
      <c r="O2416" t="s">
        <v>1047</v>
      </c>
      <c r="P2416" t="s">
        <v>1089</v>
      </c>
      <c r="Q2416" t="s">
        <v>3169</v>
      </c>
      <c r="R2416" t="s">
        <v>446</v>
      </c>
      <c r="S2416" t="s">
        <v>446</v>
      </c>
      <c r="T2416" t="s">
        <v>1965</v>
      </c>
      <c r="U2416" t="b">
        <v>0</v>
      </c>
      <c r="V2416" t="s">
        <v>446</v>
      </c>
    </row>
    <row r="2417" spans="1:22" x14ac:dyDescent="0.25">
      <c r="A2417" t="s">
        <v>42</v>
      </c>
      <c r="B2417">
        <v>286</v>
      </c>
      <c r="C2417" t="s">
        <v>1050</v>
      </c>
      <c r="D2417" t="s">
        <v>5738</v>
      </c>
      <c r="E2417" t="s">
        <v>1032</v>
      </c>
      <c r="F2417" t="s">
        <v>3188</v>
      </c>
      <c r="G2417" t="s">
        <v>24</v>
      </c>
      <c r="H2417" t="s">
        <v>26</v>
      </c>
      <c r="I2417" t="s">
        <v>3167</v>
      </c>
      <c r="J2417" t="s">
        <v>1048</v>
      </c>
      <c r="K2417" t="s">
        <v>3195</v>
      </c>
      <c r="L2417" t="s">
        <v>1048</v>
      </c>
      <c r="M2417" t="s">
        <v>1000</v>
      </c>
      <c r="N2417" t="s">
        <v>1047</v>
      </c>
      <c r="O2417" t="s">
        <v>1047</v>
      </c>
      <c r="P2417" t="s">
        <v>1089</v>
      </c>
      <c r="Q2417" t="s">
        <v>3169</v>
      </c>
      <c r="R2417" t="s">
        <v>446</v>
      </c>
      <c r="S2417" t="s">
        <v>446</v>
      </c>
      <c r="T2417" t="s">
        <v>1965</v>
      </c>
      <c r="U2417" t="b">
        <v>0</v>
      </c>
      <c r="V2417" t="s">
        <v>446</v>
      </c>
    </row>
    <row r="2418" spans="1:22" x14ac:dyDescent="0.25">
      <c r="A2418" t="s">
        <v>42</v>
      </c>
      <c r="B2418">
        <v>286</v>
      </c>
      <c r="C2418" t="s">
        <v>1052</v>
      </c>
      <c r="D2418" t="s">
        <v>5739</v>
      </c>
      <c r="E2418" t="s">
        <v>1051</v>
      </c>
      <c r="F2418" t="s">
        <v>3218</v>
      </c>
      <c r="G2418" t="s">
        <v>24</v>
      </c>
      <c r="H2418" t="s">
        <v>26</v>
      </c>
      <c r="I2418" t="s">
        <v>3167</v>
      </c>
      <c r="J2418" t="s">
        <v>1055</v>
      </c>
      <c r="K2418" t="s">
        <v>3199</v>
      </c>
      <c r="L2418" t="s">
        <v>1055</v>
      </c>
      <c r="M2418" t="s">
        <v>980</v>
      </c>
      <c r="N2418" t="s">
        <v>1053</v>
      </c>
      <c r="O2418" t="s">
        <v>1053</v>
      </c>
      <c r="P2418" t="s">
        <v>1089</v>
      </c>
      <c r="Q2418" t="s">
        <v>3169</v>
      </c>
      <c r="R2418" t="s">
        <v>446</v>
      </c>
      <c r="S2418" t="s">
        <v>446</v>
      </c>
      <c r="T2418" t="s">
        <v>1965</v>
      </c>
      <c r="U2418" t="b">
        <v>0</v>
      </c>
      <c r="V2418" t="s">
        <v>446</v>
      </c>
    </row>
    <row r="2419" spans="1:22" x14ac:dyDescent="0.25">
      <c r="A2419" t="s">
        <v>42</v>
      </c>
      <c r="B2419">
        <v>299</v>
      </c>
      <c r="C2419" t="s">
        <v>979</v>
      </c>
      <c r="D2419" t="s">
        <v>5740</v>
      </c>
      <c r="E2419" t="s">
        <v>978</v>
      </c>
      <c r="F2419" t="s">
        <v>3218</v>
      </c>
      <c r="G2419" t="s">
        <v>24</v>
      </c>
      <c r="H2419" t="s">
        <v>26</v>
      </c>
      <c r="I2419" t="s">
        <v>3167</v>
      </c>
      <c r="J2419" t="s">
        <v>984</v>
      </c>
      <c r="K2419" t="s">
        <v>3168</v>
      </c>
      <c r="L2419" t="s">
        <v>984</v>
      </c>
      <c r="M2419" t="s">
        <v>980</v>
      </c>
      <c r="N2419" t="s">
        <v>981</v>
      </c>
      <c r="O2419" t="s">
        <v>981</v>
      </c>
      <c r="P2419" t="s">
        <v>1746</v>
      </c>
      <c r="Q2419" t="s">
        <v>3771</v>
      </c>
      <c r="R2419" t="s">
        <v>446</v>
      </c>
      <c r="S2419" t="s">
        <v>446</v>
      </c>
      <c r="T2419" t="s">
        <v>1965</v>
      </c>
      <c r="U2419" t="b">
        <v>0</v>
      </c>
      <c r="V2419" t="s">
        <v>446</v>
      </c>
    </row>
    <row r="2420" spans="1:22" x14ac:dyDescent="0.25">
      <c r="A2420" t="s">
        <v>42</v>
      </c>
      <c r="B2420">
        <v>299</v>
      </c>
      <c r="C2420" t="s">
        <v>987</v>
      </c>
      <c r="D2420" t="s">
        <v>5741</v>
      </c>
      <c r="E2420" t="s">
        <v>986</v>
      </c>
      <c r="F2420" t="s">
        <v>5742</v>
      </c>
      <c r="G2420" t="s">
        <v>24</v>
      </c>
      <c r="H2420" t="s">
        <v>26</v>
      </c>
      <c r="I2420" t="s">
        <v>3167</v>
      </c>
      <c r="J2420" t="s">
        <v>990</v>
      </c>
      <c r="K2420" t="s">
        <v>3171</v>
      </c>
      <c r="L2420" t="s">
        <v>990</v>
      </c>
      <c r="M2420" t="s">
        <v>980</v>
      </c>
      <c r="N2420" t="s">
        <v>988</v>
      </c>
      <c r="O2420" t="s">
        <v>988</v>
      </c>
      <c r="P2420" t="s">
        <v>1746</v>
      </c>
      <c r="Q2420" t="s">
        <v>3771</v>
      </c>
      <c r="R2420" t="s">
        <v>446</v>
      </c>
      <c r="S2420" t="s">
        <v>446</v>
      </c>
      <c r="T2420" t="s">
        <v>1965</v>
      </c>
      <c r="U2420" t="b">
        <v>0</v>
      </c>
      <c r="V2420" t="s">
        <v>446</v>
      </c>
    </row>
    <row r="2421" spans="1:22" x14ac:dyDescent="0.25">
      <c r="A2421" t="s">
        <v>42</v>
      </c>
      <c r="B2421">
        <v>299</v>
      </c>
      <c r="C2421" t="s">
        <v>993</v>
      </c>
      <c r="D2421" t="s">
        <v>5743</v>
      </c>
      <c r="E2421" t="s">
        <v>992</v>
      </c>
      <c r="F2421" t="s">
        <v>5744</v>
      </c>
      <c r="G2421" t="s">
        <v>24</v>
      </c>
      <c r="H2421" t="s">
        <v>26</v>
      </c>
      <c r="I2421" t="s">
        <v>3167</v>
      </c>
      <c r="J2421" t="s">
        <v>996</v>
      </c>
      <c r="K2421" t="s">
        <v>3173</v>
      </c>
      <c r="L2421" t="s">
        <v>996</v>
      </c>
      <c r="M2421" t="s">
        <v>980</v>
      </c>
      <c r="N2421" t="s">
        <v>994</v>
      </c>
      <c r="O2421" t="s">
        <v>994</v>
      </c>
      <c r="P2421" t="s">
        <v>1746</v>
      </c>
      <c r="Q2421" t="s">
        <v>3771</v>
      </c>
      <c r="R2421" t="s">
        <v>446</v>
      </c>
      <c r="S2421" t="s">
        <v>446</v>
      </c>
      <c r="T2421" t="s">
        <v>1965</v>
      </c>
      <c r="U2421" t="b">
        <v>0</v>
      </c>
      <c r="V2421" t="s">
        <v>446</v>
      </c>
    </row>
    <row r="2422" spans="1:22" x14ac:dyDescent="0.25">
      <c r="A2422" t="s">
        <v>42</v>
      </c>
      <c r="B2422">
        <v>299</v>
      </c>
      <c r="C2422" t="s">
        <v>999</v>
      </c>
      <c r="D2422" t="s">
        <v>5745</v>
      </c>
      <c r="E2422" t="s">
        <v>998</v>
      </c>
      <c r="F2422" t="s">
        <v>5746</v>
      </c>
      <c r="G2422" t="s">
        <v>24</v>
      </c>
      <c r="H2422" t="s">
        <v>26</v>
      </c>
      <c r="I2422" t="s">
        <v>3167</v>
      </c>
      <c r="J2422" t="s">
        <v>1003</v>
      </c>
      <c r="K2422" t="s">
        <v>3175</v>
      </c>
      <c r="L2422" t="s">
        <v>1003</v>
      </c>
      <c r="M2422" t="s">
        <v>1000</v>
      </c>
      <c r="N2422" t="s">
        <v>1001</v>
      </c>
      <c r="O2422" t="s">
        <v>1001</v>
      </c>
      <c r="P2422" t="s">
        <v>1746</v>
      </c>
      <c r="Q2422" t="s">
        <v>3771</v>
      </c>
      <c r="R2422" t="s">
        <v>446</v>
      </c>
      <c r="S2422" t="s">
        <v>446</v>
      </c>
      <c r="T2422" t="s">
        <v>1965</v>
      </c>
      <c r="U2422" t="b">
        <v>0</v>
      </c>
      <c r="V2422" t="s">
        <v>446</v>
      </c>
    </row>
    <row r="2423" spans="1:22" x14ac:dyDescent="0.25">
      <c r="A2423" t="s">
        <v>42</v>
      </c>
      <c r="B2423">
        <v>299</v>
      </c>
      <c r="C2423" t="s">
        <v>1005</v>
      </c>
      <c r="D2423" t="s">
        <v>5747</v>
      </c>
      <c r="E2423" t="s">
        <v>982</v>
      </c>
      <c r="F2423" t="s">
        <v>3218</v>
      </c>
      <c r="G2423" t="s">
        <v>24</v>
      </c>
      <c r="H2423" t="s">
        <v>26</v>
      </c>
      <c r="I2423" t="s">
        <v>3167</v>
      </c>
      <c r="J2423" t="s">
        <v>1003</v>
      </c>
      <c r="K2423" t="s">
        <v>3175</v>
      </c>
      <c r="L2423" t="s">
        <v>1003</v>
      </c>
      <c r="M2423" t="s">
        <v>1000</v>
      </c>
      <c r="N2423" t="s">
        <v>1001</v>
      </c>
      <c r="O2423" t="s">
        <v>1001</v>
      </c>
      <c r="P2423" t="s">
        <v>1746</v>
      </c>
      <c r="Q2423" t="s">
        <v>3771</v>
      </c>
      <c r="R2423" t="s">
        <v>446</v>
      </c>
      <c r="S2423" t="s">
        <v>446</v>
      </c>
      <c r="T2423" t="s">
        <v>1965</v>
      </c>
      <c r="U2423" t="b">
        <v>0</v>
      </c>
      <c r="V2423" t="s">
        <v>446</v>
      </c>
    </row>
    <row r="2424" spans="1:22" x14ac:dyDescent="0.25">
      <c r="A2424" t="s">
        <v>42</v>
      </c>
      <c r="B2424">
        <v>299</v>
      </c>
      <c r="C2424" t="s">
        <v>1007</v>
      </c>
      <c r="D2424" t="s">
        <v>5748</v>
      </c>
      <c r="E2424" t="s">
        <v>1006</v>
      </c>
      <c r="F2424" t="s">
        <v>5749</v>
      </c>
      <c r="G2424" t="s">
        <v>24</v>
      </c>
      <c r="H2424" t="s">
        <v>26</v>
      </c>
      <c r="I2424" t="s">
        <v>3167</v>
      </c>
      <c r="J2424" t="s">
        <v>1011</v>
      </c>
      <c r="K2424" t="s">
        <v>3179</v>
      </c>
      <c r="L2424" t="s">
        <v>1011</v>
      </c>
      <c r="M2424" t="s">
        <v>1008</v>
      </c>
      <c r="N2424" t="s">
        <v>1009</v>
      </c>
      <c r="O2424" t="s">
        <v>1009</v>
      </c>
      <c r="P2424" t="s">
        <v>1746</v>
      </c>
      <c r="Q2424" t="s">
        <v>3771</v>
      </c>
      <c r="R2424" t="s">
        <v>446</v>
      </c>
      <c r="S2424" t="s">
        <v>446</v>
      </c>
      <c r="T2424" t="s">
        <v>1965</v>
      </c>
      <c r="U2424" t="b">
        <v>0</v>
      </c>
      <c r="V2424" t="s">
        <v>446</v>
      </c>
    </row>
    <row r="2425" spans="1:22" x14ac:dyDescent="0.25">
      <c r="A2425" t="s">
        <v>42</v>
      </c>
      <c r="B2425">
        <v>299</v>
      </c>
      <c r="C2425" t="s">
        <v>1014</v>
      </c>
      <c r="D2425" t="s">
        <v>5750</v>
      </c>
      <c r="E2425" t="s">
        <v>1013</v>
      </c>
      <c r="F2425" t="s">
        <v>5751</v>
      </c>
      <c r="G2425" t="s">
        <v>24</v>
      </c>
      <c r="H2425" t="s">
        <v>26</v>
      </c>
      <c r="I2425" t="s">
        <v>3167</v>
      </c>
      <c r="J2425" t="s">
        <v>1016</v>
      </c>
      <c r="K2425" t="s">
        <v>3181</v>
      </c>
      <c r="L2425" t="s">
        <v>1016</v>
      </c>
      <c r="M2425" t="s">
        <v>980</v>
      </c>
      <c r="N2425" t="s">
        <v>1015</v>
      </c>
      <c r="O2425" t="s">
        <v>1015</v>
      </c>
      <c r="P2425" t="s">
        <v>1746</v>
      </c>
      <c r="Q2425" t="s">
        <v>3771</v>
      </c>
      <c r="R2425" t="s">
        <v>446</v>
      </c>
      <c r="S2425" t="s">
        <v>446</v>
      </c>
      <c r="T2425" t="s">
        <v>1965</v>
      </c>
      <c r="U2425" t="b">
        <v>0</v>
      </c>
      <c r="V2425" t="s">
        <v>446</v>
      </c>
    </row>
    <row r="2426" spans="1:22" x14ac:dyDescent="0.25">
      <c r="A2426" t="s">
        <v>42</v>
      </c>
      <c r="B2426">
        <v>299</v>
      </c>
      <c r="C2426" t="s">
        <v>1019</v>
      </c>
      <c r="D2426" t="s">
        <v>5752</v>
      </c>
      <c r="E2426" t="s">
        <v>1018</v>
      </c>
      <c r="F2426" t="s">
        <v>5753</v>
      </c>
      <c r="G2426" t="s">
        <v>24</v>
      </c>
      <c r="H2426" t="s">
        <v>26</v>
      </c>
      <c r="I2426" t="s">
        <v>3167</v>
      </c>
      <c r="J2426" t="s">
        <v>1021</v>
      </c>
      <c r="K2426" t="s">
        <v>3183</v>
      </c>
      <c r="L2426" t="s">
        <v>1021</v>
      </c>
      <c r="M2426" t="s">
        <v>980</v>
      </c>
      <c r="N2426" t="s">
        <v>1020</v>
      </c>
      <c r="O2426" t="s">
        <v>1020</v>
      </c>
      <c r="P2426" t="s">
        <v>1746</v>
      </c>
      <c r="Q2426" t="s">
        <v>3771</v>
      </c>
      <c r="R2426" t="s">
        <v>446</v>
      </c>
      <c r="S2426" t="s">
        <v>446</v>
      </c>
      <c r="T2426" t="s">
        <v>1965</v>
      </c>
      <c r="U2426" t="b">
        <v>0</v>
      </c>
      <c r="V2426" t="s">
        <v>446</v>
      </c>
    </row>
    <row r="2427" spans="1:22" x14ac:dyDescent="0.25">
      <c r="A2427" t="s">
        <v>42</v>
      </c>
      <c r="B2427">
        <v>299</v>
      </c>
      <c r="C2427" t="s">
        <v>1024</v>
      </c>
      <c r="D2427" t="s">
        <v>5754</v>
      </c>
      <c r="E2427" t="s">
        <v>1023</v>
      </c>
      <c r="F2427" t="s">
        <v>5755</v>
      </c>
      <c r="G2427" t="s">
        <v>24</v>
      </c>
      <c r="H2427" t="s">
        <v>26</v>
      </c>
      <c r="I2427" t="s">
        <v>3167</v>
      </c>
      <c r="J2427" t="s">
        <v>1026</v>
      </c>
      <c r="K2427" t="s">
        <v>3185</v>
      </c>
      <c r="L2427" t="s">
        <v>1026</v>
      </c>
      <c r="M2427" t="s">
        <v>1000</v>
      </c>
      <c r="N2427" t="s">
        <v>1025</v>
      </c>
      <c r="O2427" t="s">
        <v>1025</v>
      </c>
      <c r="P2427" t="s">
        <v>1746</v>
      </c>
      <c r="Q2427" t="s">
        <v>3771</v>
      </c>
      <c r="R2427" t="s">
        <v>446</v>
      </c>
      <c r="S2427" t="s">
        <v>446</v>
      </c>
      <c r="T2427" t="s">
        <v>1965</v>
      </c>
      <c r="U2427" t="b">
        <v>0</v>
      </c>
      <c r="V2427" t="s">
        <v>446</v>
      </c>
    </row>
    <row r="2428" spans="1:22" x14ac:dyDescent="0.25">
      <c r="A2428" t="s">
        <v>42</v>
      </c>
      <c r="B2428">
        <v>299</v>
      </c>
      <c r="C2428" t="s">
        <v>1028</v>
      </c>
      <c r="D2428" t="s">
        <v>5756</v>
      </c>
      <c r="E2428" t="s">
        <v>1010</v>
      </c>
      <c r="F2428" t="s">
        <v>5757</v>
      </c>
      <c r="G2428" t="s">
        <v>24</v>
      </c>
      <c r="H2428" t="s">
        <v>26</v>
      </c>
      <c r="I2428" t="s">
        <v>3167</v>
      </c>
      <c r="J2428" t="s">
        <v>1026</v>
      </c>
      <c r="K2428" t="s">
        <v>3185</v>
      </c>
      <c r="L2428" t="s">
        <v>1026</v>
      </c>
      <c r="M2428" t="s">
        <v>1000</v>
      </c>
      <c r="N2428" t="s">
        <v>1025</v>
      </c>
      <c r="O2428" t="s">
        <v>1025</v>
      </c>
      <c r="P2428" t="s">
        <v>1746</v>
      </c>
      <c r="Q2428" t="s">
        <v>3771</v>
      </c>
      <c r="R2428" t="s">
        <v>446</v>
      </c>
      <c r="S2428" t="s">
        <v>446</v>
      </c>
      <c r="T2428" t="s">
        <v>1965</v>
      </c>
      <c r="U2428" t="b">
        <v>0</v>
      </c>
      <c r="V2428" t="s">
        <v>446</v>
      </c>
    </row>
    <row r="2429" spans="1:22" x14ac:dyDescent="0.25">
      <c r="A2429" t="s">
        <v>42</v>
      </c>
      <c r="B2429">
        <v>299</v>
      </c>
      <c r="C2429" t="s">
        <v>1030</v>
      </c>
      <c r="D2429" t="s">
        <v>5758</v>
      </c>
      <c r="E2429" t="s">
        <v>1029</v>
      </c>
      <c r="F2429" t="s">
        <v>5759</v>
      </c>
      <c r="G2429" t="s">
        <v>24</v>
      </c>
      <c r="H2429" t="s">
        <v>26</v>
      </c>
      <c r="I2429" t="s">
        <v>3167</v>
      </c>
      <c r="J2429" t="s">
        <v>1033</v>
      </c>
      <c r="K2429" t="s">
        <v>3189</v>
      </c>
      <c r="L2429" t="s">
        <v>1033</v>
      </c>
      <c r="M2429" t="s">
        <v>980</v>
      </c>
      <c r="N2429" t="s">
        <v>1031</v>
      </c>
      <c r="O2429" t="s">
        <v>1031</v>
      </c>
      <c r="P2429" t="s">
        <v>1746</v>
      </c>
      <c r="Q2429" t="s">
        <v>3771</v>
      </c>
      <c r="R2429" t="s">
        <v>446</v>
      </c>
      <c r="S2429" t="s">
        <v>446</v>
      </c>
      <c r="T2429" t="s">
        <v>1965</v>
      </c>
      <c r="U2429" t="b">
        <v>0</v>
      </c>
      <c r="V2429" t="s">
        <v>446</v>
      </c>
    </row>
    <row r="2430" spans="1:22" x14ac:dyDescent="0.25">
      <c r="A2430" t="s">
        <v>42</v>
      </c>
      <c r="B2430">
        <v>299</v>
      </c>
      <c r="C2430" t="s">
        <v>1036</v>
      </c>
      <c r="D2430" t="s">
        <v>5760</v>
      </c>
      <c r="E2430" t="s">
        <v>1035</v>
      </c>
      <c r="F2430" t="s">
        <v>5761</v>
      </c>
      <c r="G2430" t="s">
        <v>24</v>
      </c>
      <c r="H2430" t="s">
        <v>26</v>
      </c>
      <c r="I2430" t="s">
        <v>3167</v>
      </c>
      <c r="J2430" t="s">
        <v>1038</v>
      </c>
      <c r="K2430" t="s">
        <v>3191</v>
      </c>
      <c r="L2430" t="s">
        <v>1038</v>
      </c>
      <c r="M2430" t="s">
        <v>980</v>
      </c>
      <c r="N2430" t="s">
        <v>1037</v>
      </c>
      <c r="O2430" t="s">
        <v>1037</v>
      </c>
      <c r="P2430" t="s">
        <v>1746</v>
      </c>
      <c r="Q2430" t="s">
        <v>3771</v>
      </c>
      <c r="R2430" t="s">
        <v>446</v>
      </c>
      <c r="S2430" t="s">
        <v>446</v>
      </c>
      <c r="T2430" t="s">
        <v>1965</v>
      </c>
      <c r="U2430" t="b">
        <v>0</v>
      </c>
      <c r="V2430" t="s">
        <v>446</v>
      </c>
    </row>
    <row r="2431" spans="1:22" x14ac:dyDescent="0.25">
      <c r="A2431" t="s">
        <v>42</v>
      </c>
      <c r="B2431">
        <v>299</v>
      </c>
      <c r="C2431" t="s">
        <v>1041</v>
      </c>
      <c r="D2431" t="s">
        <v>5762</v>
      </c>
      <c r="E2431" t="s">
        <v>1040</v>
      </c>
      <c r="F2431" t="s">
        <v>5763</v>
      </c>
      <c r="G2431" t="s">
        <v>24</v>
      </c>
      <c r="H2431" t="s">
        <v>26</v>
      </c>
      <c r="I2431" t="s">
        <v>3167</v>
      </c>
      <c r="J2431" t="s">
        <v>1043</v>
      </c>
      <c r="K2431" t="s">
        <v>3193</v>
      </c>
      <c r="L2431" t="s">
        <v>1043</v>
      </c>
      <c r="M2431" t="s">
        <v>980</v>
      </c>
      <c r="N2431" t="s">
        <v>1042</v>
      </c>
      <c r="O2431" t="s">
        <v>1042</v>
      </c>
      <c r="P2431" t="s">
        <v>1746</v>
      </c>
      <c r="Q2431" t="s">
        <v>3771</v>
      </c>
      <c r="R2431" t="s">
        <v>446</v>
      </c>
      <c r="S2431" t="s">
        <v>446</v>
      </c>
      <c r="T2431" t="s">
        <v>1965</v>
      </c>
      <c r="U2431" t="b">
        <v>0</v>
      </c>
      <c r="V2431" t="s">
        <v>446</v>
      </c>
    </row>
    <row r="2432" spans="1:22" x14ac:dyDescent="0.25">
      <c r="A2432" t="s">
        <v>42</v>
      </c>
      <c r="B2432">
        <v>299</v>
      </c>
      <c r="C2432" t="s">
        <v>1046</v>
      </c>
      <c r="D2432" t="s">
        <v>5764</v>
      </c>
      <c r="E2432" t="s">
        <v>1045</v>
      </c>
      <c r="F2432" t="s">
        <v>5765</v>
      </c>
      <c r="G2432" t="s">
        <v>24</v>
      </c>
      <c r="H2432" t="s">
        <v>26</v>
      </c>
      <c r="I2432" t="s">
        <v>3167</v>
      </c>
      <c r="J2432" t="s">
        <v>1048</v>
      </c>
      <c r="K2432" t="s">
        <v>3195</v>
      </c>
      <c r="L2432" t="s">
        <v>1048</v>
      </c>
      <c r="M2432" t="s">
        <v>1000</v>
      </c>
      <c r="N2432" t="s">
        <v>1047</v>
      </c>
      <c r="O2432" t="s">
        <v>1047</v>
      </c>
      <c r="P2432" t="s">
        <v>1746</v>
      </c>
      <c r="Q2432" t="s">
        <v>3771</v>
      </c>
      <c r="R2432" t="s">
        <v>446</v>
      </c>
      <c r="S2432" t="s">
        <v>446</v>
      </c>
      <c r="T2432" t="s">
        <v>1965</v>
      </c>
      <c r="U2432" t="b">
        <v>0</v>
      </c>
      <c r="V2432" t="s">
        <v>446</v>
      </c>
    </row>
    <row r="2433" spans="1:22" x14ac:dyDescent="0.25">
      <c r="A2433" t="s">
        <v>42</v>
      </c>
      <c r="B2433">
        <v>299</v>
      </c>
      <c r="C2433" t="s">
        <v>1050</v>
      </c>
      <c r="D2433" t="s">
        <v>5766</v>
      </c>
      <c r="E2433" t="s">
        <v>1032</v>
      </c>
      <c r="F2433" t="s">
        <v>5767</v>
      </c>
      <c r="G2433" t="s">
        <v>24</v>
      </c>
      <c r="H2433" t="s">
        <v>26</v>
      </c>
      <c r="I2433" t="s">
        <v>3167</v>
      </c>
      <c r="J2433" t="s">
        <v>1048</v>
      </c>
      <c r="K2433" t="s">
        <v>3195</v>
      </c>
      <c r="L2433" t="s">
        <v>1048</v>
      </c>
      <c r="M2433" t="s">
        <v>1000</v>
      </c>
      <c r="N2433" t="s">
        <v>1047</v>
      </c>
      <c r="O2433" t="s">
        <v>1047</v>
      </c>
      <c r="P2433" t="s">
        <v>1746</v>
      </c>
      <c r="Q2433" t="s">
        <v>3771</v>
      </c>
      <c r="R2433" t="s">
        <v>446</v>
      </c>
      <c r="S2433" t="s">
        <v>446</v>
      </c>
      <c r="T2433" t="s">
        <v>1965</v>
      </c>
      <c r="U2433" t="b">
        <v>0</v>
      </c>
      <c r="V2433" t="s">
        <v>446</v>
      </c>
    </row>
    <row r="2434" spans="1:22" x14ac:dyDescent="0.25">
      <c r="A2434" t="s">
        <v>42</v>
      </c>
      <c r="B2434">
        <v>299</v>
      </c>
      <c r="C2434" t="s">
        <v>1052</v>
      </c>
      <c r="D2434" t="s">
        <v>5768</v>
      </c>
      <c r="E2434" t="s">
        <v>1051</v>
      </c>
      <c r="F2434" t="s">
        <v>5769</v>
      </c>
      <c r="G2434" t="s">
        <v>24</v>
      </c>
      <c r="H2434" t="s">
        <v>26</v>
      </c>
      <c r="I2434" t="s">
        <v>3167</v>
      </c>
      <c r="J2434" t="s">
        <v>1055</v>
      </c>
      <c r="K2434" t="s">
        <v>3199</v>
      </c>
      <c r="L2434" t="s">
        <v>1055</v>
      </c>
      <c r="M2434" t="s">
        <v>980</v>
      </c>
      <c r="N2434" t="s">
        <v>1053</v>
      </c>
      <c r="O2434" t="s">
        <v>1053</v>
      </c>
      <c r="P2434" t="s">
        <v>1746</v>
      </c>
      <c r="Q2434" t="s">
        <v>3771</v>
      </c>
      <c r="R2434" t="s">
        <v>446</v>
      </c>
      <c r="S2434" t="s">
        <v>446</v>
      </c>
      <c r="T2434" t="s">
        <v>1965</v>
      </c>
      <c r="U2434" t="b">
        <v>0</v>
      </c>
      <c r="V2434" t="s">
        <v>446</v>
      </c>
    </row>
    <row r="2435" spans="1:22" x14ac:dyDescent="0.25">
      <c r="A2435" t="s">
        <v>42</v>
      </c>
      <c r="B2435">
        <v>302</v>
      </c>
      <c r="C2435" t="s">
        <v>979</v>
      </c>
      <c r="D2435" t="s">
        <v>2661</v>
      </c>
      <c r="E2435" t="s">
        <v>978</v>
      </c>
      <c r="F2435" t="s">
        <v>3218</v>
      </c>
      <c r="G2435" t="s">
        <v>24</v>
      </c>
      <c r="H2435" t="s">
        <v>26</v>
      </c>
      <c r="I2435" t="s">
        <v>3167</v>
      </c>
      <c r="J2435" t="s">
        <v>984</v>
      </c>
      <c r="K2435" t="s">
        <v>3168</v>
      </c>
      <c r="L2435" t="s">
        <v>984</v>
      </c>
      <c r="M2435" t="s">
        <v>980</v>
      </c>
      <c r="N2435" t="s">
        <v>981</v>
      </c>
      <c r="O2435" t="s">
        <v>981</v>
      </c>
      <c r="P2435" t="s">
        <v>1746</v>
      </c>
      <c r="Q2435" t="s">
        <v>3771</v>
      </c>
      <c r="R2435" t="s">
        <v>446</v>
      </c>
      <c r="S2435" t="s">
        <v>446</v>
      </c>
      <c r="T2435" t="s">
        <v>1965</v>
      </c>
      <c r="U2435" t="b">
        <v>0</v>
      </c>
      <c r="V2435" t="s">
        <v>1962</v>
      </c>
    </row>
    <row r="2436" spans="1:22" x14ac:dyDescent="0.25">
      <c r="A2436" t="s">
        <v>42</v>
      </c>
      <c r="B2436">
        <v>302</v>
      </c>
      <c r="C2436" t="s">
        <v>987</v>
      </c>
      <c r="D2436" t="s">
        <v>2662</v>
      </c>
      <c r="E2436" t="s">
        <v>986</v>
      </c>
      <c r="F2436" t="s">
        <v>5770</v>
      </c>
      <c r="G2436" t="s">
        <v>24</v>
      </c>
      <c r="H2436" t="s">
        <v>26</v>
      </c>
      <c r="I2436" t="s">
        <v>3167</v>
      </c>
      <c r="J2436" t="s">
        <v>990</v>
      </c>
      <c r="K2436" t="s">
        <v>3171</v>
      </c>
      <c r="L2436" t="s">
        <v>990</v>
      </c>
      <c r="M2436" t="s">
        <v>980</v>
      </c>
      <c r="N2436" t="s">
        <v>988</v>
      </c>
      <c r="O2436" t="s">
        <v>988</v>
      </c>
      <c r="P2436" t="s">
        <v>1746</v>
      </c>
      <c r="Q2436" t="s">
        <v>3771</v>
      </c>
      <c r="R2436" t="s">
        <v>446</v>
      </c>
      <c r="S2436" t="s">
        <v>446</v>
      </c>
      <c r="T2436" t="s">
        <v>1965</v>
      </c>
      <c r="U2436" t="b">
        <v>0</v>
      </c>
      <c r="V2436" t="s">
        <v>1962</v>
      </c>
    </row>
    <row r="2437" spans="1:22" x14ac:dyDescent="0.25">
      <c r="A2437" t="s">
        <v>42</v>
      </c>
      <c r="B2437">
        <v>302</v>
      </c>
      <c r="C2437" t="s">
        <v>993</v>
      </c>
      <c r="D2437" t="s">
        <v>2663</v>
      </c>
      <c r="E2437" t="s">
        <v>992</v>
      </c>
      <c r="F2437" t="s">
        <v>5771</v>
      </c>
      <c r="G2437" t="s">
        <v>24</v>
      </c>
      <c r="H2437" t="s">
        <v>26</v>
      </c>
      <c r="I2437" t="s">
        <v>3167</v>
      </c>
      <c r="J2437" t="s">
        <v>996</v>
      </c>
      <c r="K2437" t="s">
        <v>3173</v>
      </c>
      <c r="L2437" t="s">
        <v>996</v>
      </c>
      <c r="M2437" t="s">
        <v>980</v>
      </c>
      <c r="N2437" t="s">
        <v>994</v>
      </c>
      <c r="O2437" t="s">
        <v>994</v>
      </c>
      <c r="P2437" t="s">
        <v>1746</v>
      </c>
      <c r="Q2437" t="s">
        <v>3771</v>
      </c>
      <c r="R2437" t="s">
        <v>446</v>
      </c>
      <c r="S2437" t="s">
        <v>446</v>
      </c>
      <c r="T2437" t="s">
        <v>1965</v>
      </c>
      <c r="U2437" t="b">
        <v>0</v>
      </c>
      <c r="V2437" t="s">
        <v>1962</v>
      </c>
    </row>
    <row r="2438" spans="1:22" x14ac:dyDescent="0.25">
      <c r="A2438" t="s">
        <v>42</v>
      </c>
      <c r="B2438">
        <v>302</v>
      </c>
      <c r="C2438" t="s">
        <v>999</v>
      </c>
      <c r="D2438" t="s">
        <v>2664</v>
      </c>
      <c r="E2438" t="s">
        <v>998</v>
      </c>
      <c r="F2438" t="s">
        <v>5772</v>
      </c>
      <c r="G2438" t="s">
        <v>24</v>
      </c>
      <c r="H2438" t="s">
        <v>26</v>
      </c>
      <c r="I2438" t="s">
        <v>3167</v>
      </c>
      <c r="J2438" t="s">
        <v>1003</v>
      </c>
      <c r="K2438" t="s">
        <v>3175</v>
      </c>
      <c r="L2438" t="s">
        <v>1003</v>
      </c>
      <c r="M2438" t="s">
        <v>1000</v>
      </c>
      <c r="N2438" t="s">
        <v>1001</v>
      </c>
      <c r="O2438" t="s">
        <v>1001</v>
      </c>
      <c r="P2438" t="s">
        <v>1746</v>
      </c>
      <c r="Q2438" t="s">
        <v>3771</v>
      </c>
      <c r="R2438" t="s">
        <v>446</v>
      </c>
      <c r="S2438" t="s">
        <v>446</v>
      </c>
      <c r="T2438" t="s">
        <v>1965</v>
      </c>
      <c r="U2438" t="b">
        <v>0</v>
      </c>
      <c r="V2438" t="s">
        <v>1962</v>
      </c>
    </row>
    <row r="2439" spans="1:22" x14ac:dyDescent="0.25">
      <c r="A2439" t="s">
        <v>42</v>
      </c>
      <c r="B2439">
        <v>302</v>
      </c>
      <c r="C2439" t="s">
        <v>1005</v>
      </c>
      <c r="D2439" t="s">
        <v>5773</v>
      </c>
      <c r="E2439" t="s">
        <v>982</v>
      </c>
      <c r="F2439" t="s">
        <v>3218</v>
      </c>
      <c r="G2439" t="s">
        <v>24</v>
      </c>
      <c r="H2439" t="s">
        <v>26</v>
      </c>
      <c r="I2439" t="s">
        <v>3167</v>
      </c>
      <c r="J2439" t="s">
        <v>1003</v>
      </c>
      <c r="K2439" t="s">
        <v>3175</v>
      </c>
      <c r="L2439" t="s">
        <v>1003</v>
      </c>
      <c r="M2439" t="s">
        <v>1000</v>
      </c>
      <c r="N2439" t="s">
        <v>1001</v>
      </c>
      <c r="O2439" t="s">
        <v>1001</v>
      </c>
      <c r="P2439" t="s">
        <v>1746</v>
      </c>
      <c r="Q2439" t="s">
        <v>3771</v>
      </c>
      <c r="R2439" t="s">
        <v>446</v>
      </c>
      <c r="S2439" t="s">
        <v>446</v>
      </c>
      <c r="T2439" t="s">
        <v>1965</v>
      </c>
      <c r="U2439" t="b">
        <v>0</v>
      </c>
      <c r="V2439" t="s">
        <v>446</v>
      </c>
    </row>
    <row r="2440" spans="1:22" x14ac:dyDescent="0.25">
      <c r="A2440" t="s">
        <v>42</v>
      </c>
      <c r="B2440">
        <v>302</v>
      </c>
      <c r="C2440" t="s">
        <v>1007</v>
      </c>
      <c r="D2440" t="s">
        <v>2665</v>
      </c>
      <c r="E2440" t="s">
        <v>1006</v>
      </c>
      <c r="F2440" t="s">
        <v>3779</v>
      </c>
      <c r="G2440" t="s">
        <v>24</v>
      </c>
      <c r="H2440" t="s">
        <v>26</v>
      </c>
      <c r="I2440" t="s">
        <v>3167</v>
      </c>
      <c r="J2440" t="s">
        <v>1011</v>
      </c>
      <c r="K2440" t="s">
        <v>3179</v>
      </c>
      <c r="L2440" t="s">
        <v>1011</v>
      </c>
      <c r="M2440" t="s">
        <v>1008</v>
      </c>
      <c r="N2440" t="s">
        <v>1009</v>
      </c>
      <c r="O2440" t="s">
        <v>1009</v>
      </c>
      <c r="P2440" t="s">
        <v>1746</v>
      </c>
      <c r="Q2440" t="s">
        <v>3771</v>
      </c>
      <c r="R2440" t="s">
        <v>446</v>
      </c>
      <c r="S2440" t="s">
        <v>446</v>
      </c>
      <c r="T2440" t="s">
        <v>1965</v>
      </c>
      <c r="U2440" t="b">
        <v>0</v>
      </c>
      <c r="V2440" t="s">
        <v>1962</v>
      </c>
    </row>
    <row r="2441" spans="1:22" x14ac:dyDescent="0.25">
      <c r="A2441" t="s">
        <v>42</v>
      </c>
      <c r="B2441">
        <v>302</v>
      </c>
      <c r="C2441" t="s">
        <v>1014</v>
      </c>
      <c r="D2441" t="s">
        <v>2666</v>
      </c>
      <c r="E2441" t="s">
        <v>1013</v>
      </c>
      <c r="F2441" t="s">
        <v>5774</v>
      </c>
      <c r="G2441" t="s">
        <v>24</v>
      </c>
      <c r="H2441" t="s">
        <v>26</v>
      </c>
      <c r="I2441" t="s">
        <v>3167</v>
      </c>
      <c r="J2441" t="s">
        <v>1016</v>
      </c>
      <c r="K2441" t="s">
        <v>3181</v>
      </c>
      <c r="L2441" t="s">
        <v>1016</v>
      </c>
      <c r="M2441" t="s">
        <v>980</v>
      </c>
      <c r="N2441" t="s">
        <v>1015</v>
      </c>
      <c r="O2441" t="s">
        <v>1015</v>
      </c>
      <c r="P2441" t="s">
        <v>1746</v>
      </c>
      <c r="Q2441" t="s">
        <v>3771</v>
      </c>
      <c r="R2441" t="s">
        <v>446</v>
      </c>
      <c r="S2441" t="s">
        <v>446</v>
      </c>
      <c r="T2441" t="s">
        <v>1965</v>
      </c>
      <c r="U2441" t="b">
        <v>0</v>
      </c>
      <c r="V2441" t="s">
        <v>1962</v>
      </c>
    </row>
    <row r="2442" spans="1:22" x14ac:dyDescent="0.25">
      <c r="A2442" t="s">
        <v>42</v>
      </c>
      <c r="B2442">
        <v>302</v>
      </c>
      <c r="C2442" t="s">
        <v>1019</v>
      </c>
      <c r="D2442" t="s">
        <v>2667</v>
      </c>
      <c r="E2442" t="s">
        <v>1018</v>
      </c>
      <c r="F2442" t="s">
        <v>5775</v>
      </c>
      <c r="G2442" t="s">
        <v>24</v>
      </c>
      <c r="H2442" t="s">
        <v>26</v>
      </c>
      <c r="I2442" t="s">
        <v>3167</v>
      </c>
      <c r="J2442" t="s">
        <v>1021</v>
      </c>
      <c r="K2442" t="s">
        <v>3183</v>
      </c>
      <c r="L2442" t="s">
        <v>1021</v>
      </c>
      <c r="M2442" t="s">
        <v>980</v>
      </c>
      <c r="N2442" t="s">
        <v>1020</v>
      </c>
      <c r="O2442" t="s">
        <v>1020</v>
      </c>
      <c r="P2442" t="s">
        <v>1746</v>
      </c>
      <c r="Q2442" t="s">
        <v>3771</v>
      </c>
      <c r="R2442" t="s">
        <v>446</v>
      </c>
      <c r="S2442" t="s">
        <v>446</v>
      </c>
      <c r="T2442" t="s">
        <v>1965</v>
      </c>
      <c r="U2442" t="b">
        <v>0</v>
      </c>
      <c r="V2442" t="s">
        <v>1962</v>
      </c>
    </row>
    <row r="2443" spans="1:22" x14ac:dyDescent="0.25">
      <c r="A2443" t="s">
        <v>42</v>
      </c>
      <c r="B2443">
        <v>302</v>
      </c>
      <c r="C2443" t="s">
        <v>1024</v>
      </c>
      <c r="D2443" t="s">
        <v>2668</v>
      </c>
      <c r="E2443" t="s">
        <v>1023</v>
      </c>
      <c r="F2443" t="s">
        <v>5776</v>
      </c>
      <c r="G2443" t="s">
        <v>24</v>
      </c>
      <c r="H2443" t="s">
        <v>26</v>
      </c>
      <c r="I2443" t="s">
        <v>3167</v>
      </c>
      <c r="J2443" t="s">
        <v>1026</v>
      </c>
      <c r="K2443" t="s">
        <v>3185</v>
      </c>
      <c r="L2443" t="s">
        <v>1026</v>
      </c>
      <c r="M2443" t="s">
        <v>1000</v>
      </c>
      <c r="N2443" t="s">
        <v>1025</v>
      </c>
      <c r="O2443" t="s">
        <v>1025</v>
      </c>
      <c r="P2443" t="s">
        <v>1746</v>
      </c>
      <c r="Q2443" t="s">
        <v>3771</v>
      </c>
      <c r="R2443" t="s">
        <v>446</v>
      </c>
      <c r="S2443" t="s">
        <v>446</v>
      </c>
      <c r="T2443" t="s">
        <v>1965</v>
      </c>
      <c r="U2443" t="b">
        <v>0</v>
      </c>
      <c r="V2443" t="s">
        <v>1962</v>
      </c>
    </row>
    <row r="2444" spans="1:22" x14ac:dyDescent="0.25">
      <c r="A2444" t="s">
        <v>42</v>
      </c>
      <c r="B2444">
        <v>302</v>
      </c>
      <c r="C2444" t="s">
        <v>1028</v>
      </c>
      <c r="D2444" t="s">
        <v>5777</v>
      </c>
      <c r="E2444" t="s">
        <v>1010</v>
      </c>
      <c r="F2444" t="s">
        <v>3779</v>
      </c>
      <c r="G2444" t="s">
        <v>24</v>
      </c>
      <c r="H2444" t="s">
        <v>26</v>
      </c>
      <c r="I2444" t="s">
        <v>3167</v>
      </c>
      <c r="J2444" t="s">
        <v>1026</v>
      </c>
      <c r="K2444" t="s">
        <v>3185</v>
      </c>
      <c r="L2444" t="s">
        <v>1026</v>
      </c>
      <c r="M2444" t="s">
        <v>1000</v>
      </c>
      <c r="N2444" t="s">
        <v>1025</v>
      </c>
      <c r="O2444" t="s">
        <v>1025</v>
      </c>
      <c r="P2444" t="s">
        <v>1746</v>
      </c>
      <c r="Q2444" t="s">
        <v>3771</v>
      </c>
      <c r="R2444" t="s">
        <v>446</v>
      </c>
      <c r="S2444" t="s">
        <v>446</v>
      </c>
      <c r="T2444" t="s">
        <v>1965</v>
      </c>
      <c r="U2444" t="b">
        <v>0</v>
      </c>
      <c r="V2444" t="s">
        <v>446</v>
      </c>
    </row>
    <row r="2445" spans="1:22" x14ac:dyDescent="0.25">
      <c r="A2445" t="s">
        <v>42</v>
      </c>
      <c r="B2445">
        <v>302</v>
      </c>
      <c r="C2445" t="s">
        <v>1030</v>
      </c>
      <c r="D2445" t="s">
        <v>2669</v>
      </c>
      <c r="E2445" t="s">
        <v>1029</v>
      </c>
      <c r="F2445" t="s">
        <v>4121</v>
      </c>
      <c r="G2445" t="s">
        <v>24</v>
      </c>
      <c r="H2445" t="s">
        <v>26</v>
      </c>
      <c r="I2445" t="s">
        <v>3167</v>
      </c>
      <c r="J2445" t="s">
        <v>1033</v>
      </c>
      <c r="K2445" t="s">
        <v>3189</v>
      </c>
      <c r="L2445" t="s">
        <v>1033</v>
      </c>
      <c r="M2445" t="s">
        <v>980</v>
      </c>
      <c r="N2445" t="s">
        <v>1031</v>
      </c>
      <c r="O2445" t="s">
        <v>1031</v>
      </c>
      <c r="P2445" t="s">
        <v>1746</v>
      </c>
      <c r="Q2445" t="s">
        <v>3771</v>
      </c>
      <c r="R2445" t="s">
        <v>446</v>
      </c>
      <c r="S2445" t="s">
        <v>446</v>
      </c>
      <c r="T2445" t="s">
        <v>1965</v>
      </c>
      <c r="U2445" t="b">
        <v>0</v>
      </c>
      <c r="V2445" t="s">
        <v>1962</v>
      </c>
    </row>
    <row r="2446" spans="1:22" x14ac:dyDescent="0.25">
      <c r="A2446" t="s">
        <v>42</v>
      </c>
      <c r="B2446">
        <v>302</v>
      </c>
      <c r="C2446" t="s">
        <v>1036</v>
      </c>
      <c r="D2446" t="s">
        <v>2670</v>
      </c>
      <c r="E2446" t="s">
        <v>1035</v>
      </c>
      <c r="F2446" t="s">
        <v>5778</v>
      </c>
      <c r="G2446" t="s">
        <v>24</v>
      </c>
      <c r="H2446" t="s">
        <v>26</v>
      </c>
      <c r="I2446" t="s">
        <v>3167</v>
      </c>
      <c r="J2446" t="s">
        <v>1038</v>
      </c>
      <c r="K2446" t="s">
        <v>3191</v>
      </c>
      <c r="L2446" t="s">
        <v>1038</v>
      </c>
      <c r="M2446" t="s">
        <v>980</v>
      </c>
      <c r="N2446" t="s">
        <v>1037</v>
      </c>
      <c r="O2446" t="s">
        <v>1037</v>
      </c>
      <c r="P2446" t="s">
        <v>1746</v>
      </c>
      <c r="Q2446" t="s">
        <v>3771</v>
      </c>
      <c r="R2446" t="s">
        <v>446</v>
      </c>
      <c r="S2446" t="s">
        <v>446</v>
      </c>
      <c r="T2446" t="s">
        <v>1965</v>
      </c>
      <c r="U2446" t="b">
        <v>0</v>
      </c>
      <c r="V2446" t="s">
        <v>1962</v>
      </c>
    </row>
    <row r="2447" spans="1:22" x14ac:dyDescent="0.25">
      <c r="A2447" t="s">
        <v>42</v>
      </c>
      <c r="B2447">
        <v>302</v>
      </c>
      <c r="C2447" t="s">
        <v>1041</v>
      </c>
      <c r="D2447" t="s">
        <v>2671</v>
      </c>
      <c r="E2447" t="s">
        <v>1040</v>
      </c>
      <c r="F2447" t="s">
        <v>5779</v>
      </c>
      <c r="G2447" t="s">
        <v>24</v>
      </c>
      <c r="H2447" t="s">
        <v>26</v>
      </c>
      <c r="I2447" t="s">
        <v>3167</v>
      </c>
      <c r="J2447" t="s">
        <v>1043</v>
      </c>
      <c r="K2447" t="s">
        <v>3193</v>
      </c>
      <c r="L2447" t="s">
        <v>1043</v>
      </c>
      <c r="M2447" t="s">
        <v>980</v>
      </c>
      <c r="N2447" t="s">
        <v>1042</v>
      </c>
      <c r="O2447" t="s">
        <v>1042</v>
      </c>
      <c r="P2447" t="s">
        <v>1746</v>
      </c>
      <c r="Q2447" t="s">
        <v>3771</v>
      </c>
      <c r="R2447" t="s">
        <v>446</v>
      </c>
      <c r="S2447" t="s">
        <v>446</v>
      </c>
      <c r="T2447" t="s">
        <v>1965</v>
      </c>
      <c r="U2447" t="b">
        <v>0</v>
      </c>
      <c r="V2447" t="s">
        <v>1962</v>
      </c>
    </row>
    <row r="2448" spans="1:22" x14ac:dyDescent="0.25">
      <c r="A2448" t="s">
        <v>42</v>
      </c>
      <c r="B2448">
        <v>302</v>
      </c>
      <c r="C2448" t="s">
        <v>1046</v>
      </c>
      <c r="D2448" t="s">
        <v>2672</v>
      </c>
      <c r="E2448" t="s">
        <v>1045</v>
      </c>
      <c r="F2448" t="s">
        <v>3325</v>
      </c>
      <c r="G2448" t="s">
        <v>24</v>
      </c>
      <c r="H2448" t="s">
        <v>26</v>
      </c>
      <c r="I2448" t="s">
        <v>3167</v>
      </c>
      <c r="J2448" t="s">
        <v>1048</v>
      </c>
      <c r="K2448" t="s">
        <v>3195</v>
      </c>
      <c r="L2448" t="s">
        <v>1048</v>
      </c>
      <c r="M2448" t="s">
        <v>1000</v>
      </c>
      <c r="N2448" t="s">
        <v>1047</v>
      </c>
      <c r="O2448" t="s">
        <v>1047</v>
      </c>
      <c r="P2448" t="s">
        <v>1746</v>
      </c>
      <c r="Q2448" t="s">
        <v>3771</v>
      </c>
      <c r="R2448" t="s">
        <v>446</v>
      </c>
      <c r="S2448" t="s">
        <v>446</v>
      </c>
      <c r="T2448" t="s">
        <v>1965</v>
      </c>
      <c r="U2448" t="b">
        <v>0</v>
      </c>
      <c r="V2448" t="s">
        <v>1962</v>
      </c>
    </row>
    <row r="2449" spans="1:22" x14ac:dyDescent="0.25">
      <c r="A2449" t="s">
        <v>42</v>
      </c>
      <c r="B2449">
        <v>302</v>
      </c>
      <c r="C2449" t="s">
        <v>1050</v>
      </c>
      <c r="D2449" t="s">
        <v>5780</v>
      </c>
      <c r="E2449" t="s">
        <v>1032</v>
      </c>
      <c r="F2449" t="s">
        <v>4121</v>
      </c>
      <c r="G2449" t="s">
        <v>24</v>
      </c>
      <c r="H2449" t="s">
        <v>26</v>
      </c>
      <c r="I2449" t="s">
        <v>3167</v>
      </c>
      <c r="J2449" t="s">
        <v>1048</v>
      </c>
      <c r="K2449" t="s">
        <v>3195</v>
      </c>
      <c r="L2449" t="s">
        <v>1048</v>
      </c>
      <c r="M2449" t="s">
        <v>1000</v>
      </c>
      <c r="N2449" t="s">
        <v>1047</v>
      </c>
      <c r="O2449" t="s">
        <v>1047</v>
      </c>
      <c r="P2449" t="s">
        <v>1746</v>
      </c>
      <c r="Q2449" t="s">
        <v>3771</v>
      </c>
      <c r="R2449" t="s">
        <v>446</v>
      </c>
      <c r="S2449" t="s">
        <v>446</v>
      </c>
      <c r="T2449" t="s">
        <v>1965</v>
      </c>
      <c r="U2449" t="b">
        <v>0</v>
      </c>
      <c r="V2449" t="s">
        <v>446</v>
      </c>
    </row>
    <row r="2450" spans="1:22" x14ac:dyDescent="0.25">
      <c r="A2450" t="s">
        <v>42</v>
      </c>
      <c r="B2450">
        <v>302</v>
      </c>
      <c r="C2450" t="s">
        <v>1052</v>
      </c>
      <c r="D2450" t="s">
        <v>2673</v>
      </c>
      <c r="E2450" t="s">
        <v>1051</v>
      </c>
      <c r="F2450" t="s">
        <v>4122</v>
      </c>
      <c r="G2450" t="s">
        <v>24</v>
      </c>
      <c r="H2450" t="s">
        <v>26</v>
      </c>
      <c r="I2450" t="s">
        <v>3167</v>
      </c>
      <c r="J2450" t="s">
        <v>1055</v>
      </c>
      <c r="K2450" t="s">
        <v>3199</v>
      </c>
      <c r="L2450" t="s">
        <v>1055</v>
      </c>
      <c r="M2450" t="s">
        <v>980</v>
      </c>
      <c r="N2450" t="s">
        <v>1053</v>
      </c>
      <c r="O2450" t="s">
        <v>1053</v>
      </c>
      <c r="P2450" t="s">
        <v>1746</v>
      </c>
      <c r="Q2450" t="s">
        <v>3771</v>
      </c>
      <c r="R2450" t="s">
        <v>446</v>
      </c>
      <c r="S2450" t="s">
        <v>446</v>
      </c>
      <c r="T2450" t="s">
        <v>1965</v>
      </c>
      <c r="U2450" t="b">
        <v>0</v>
      </c>
      <c r="V2450" t="s">
        <v>1962</v>
      </c>
    </row>
    <row r="2451" spans="1:22" x14ac:dyDescent="0.25">
      <c r="A2451" t="s">
        <v>42</v>
      </c>
      <c r="B2451">
        <v>303</v>
      </c>
      <c r="C2451" t="s">
        <v>979</v>
      </c>
      <c r="D2451" t="s">
        <v>5781</v>
      </c>
      <c r="E2451" t="s">
        <v>978</v>
      </c>
      <c r="F2451" t="s">
        <v>5770</v>
      </c>
      <c r="G2451" t="s">
        <v>24</v>
      </c>
      <c r="H2451" t="s">
        <v>26</v>
      </c>
      <c r="I2451" t="s">
        <v>3167</v>
      </c>
      <c r="J2451" t="s">
        <v>984</v>
      </c>
      <c r="K2451" t="s">
        <v>3168</v>
      </c>
      <c r="L2451" t="s">
        <v>984</v>
      </c>
      <c r="M2451" t="s">
        <v>980</v>
      </c>
      <c r="N2451" t="s">
        <v>981</v>
      </c>
      <c r="O2451" t="s">
        <v>981</v>
      </c>
      <c r="P2451" t="s">
        <v>1110</v>
      </c>
      <c r="Q2451" t="s">
        <v>3169</v>
      </c>
      <c r="R2451" t="s">
        <v>446</v>
      </c>
      <c r="S2451" t="s">
        <v>446</v>
      </c>
      <c r="T2451" t="s">
        <v>1965</v>
      </c>
      <c r="U2451" t="b">
        <v>0</v>
      </c>
      <c r="V2451" t="s">
        <v>446</v>
      </c>
    </row>
    <row r="2452" spans="1:22" x14ac:dyDescent="0.25">
      <c r="A2452" t="s">
        <v>42</v>
      </c>
      <c r="B2452">
        <v>303</v>
      </c>
      <c r="C2452" t="s">
        <v>987</v>
      </c>
      <c r="D2452" t="s">
        <v>5782</v>
      </c>
      <c r="E2452" t="s">
        <v>986</v>
      </c>
      <c r="F2452" t="s">
        <v>5783</v>
      </c>
      <c r="G2452" t="s">
        <v>24</v>
      </c>
      <c r="H2452" t="s">
        <v>26</v>
      </c>
      <c r="I2452" t="s">
        <v>3167</v>
      </c>
      <c r="J2452" t="s">
        <v>990</v>
      </c>
      <c r="K2452" t="s">
        <v>3171</v>
      </c>
      <c r="L2452" t="s">
        <v>990</v>
      </c>
      <c r="M2452" t="s">
        <v>980</v>
      </c>
      <c r="N2452" t="s">
        <v>988</v>
      </c>
      <c r="O2452" t="s">
        <v>988</v>
      </c>
      <c r="P2452" t="s">
        <v>1110</v>
      </c>
      <c r="Q2452" t="s">
        <v>3169</v>
      </c>
      <c r="R2452" t="s">
        <v>446</v>
      </c>
      <c r="S2452" t="s">
        <v>446</v>
      </c>
      <c r="T2452" t="s">
        <v>1965</v>
      </c>
      <c r="U2452" t="b">
        <v>0</v>
      </c>
      <c r="V2452" t="s">
        <v>446</v>
      </c>
    </row>
    <row r="2453" spans="1:22" x14ac:dyDescent="0.25">
      <c r="A2453" t="s">
        <v>42</v>
      </c>
      <c r="B2453">
        <v>303</v>
      </c>
      <c r="C2453" t="s">
        <v>993</v>
      </c>
      <c r="D2453" t="s">
        <v>5784</v>
      </c>
      <c r="E2453" t="s">
        <v>992</v>
      </c>
      <c r="F2453" t="s">
        <v>5785</v>
      </c>
      <c r="G2453" t="s">
        <v>24</v>
      </c>
      <c r="H2453" t="s">
        <v>26</v>
      </c>
      <c r="I2453" t="s">
        <v>3167</v>
      </c>
      <c r="J2453" t="s">
        <v>996</v>
      </c>
      <c r="K2453" t="s">
        <v>3173</v>
      </c>
      <c r="L2453" t="s">
        <v>996</v>
      </c>
      <c r="M2453" t="s">
        <v>980</v>
      </c>
      <c r="N2453" t="s">
        <v>994</v>
      </c>
      <c r="O2453" t="s">
        <v>994</v>
      </c>
      <c r="P2453" t="s">
        <v>1110</v>
      </c>
      <c r="Q2453" t="s">
        <v>3169</v>
      </c>
      <c r="R2453" t="s">
        <v>446</v>
      </c>
      <c r="S2453" t="s">
        <v>446</v>
      </c>
      <c r="T2453" t="s">
        <v>1965</v>
      </c>
      <c r="U2453" t="b">
        <v>0</v>
      </c>
      <c r="V2453" t="s">
        <v>446</v>
      </c>
    </row>
    <row r="2454" spans="1:22" x14ac:dyDescent="0.25">
      <c r="A2454" t="s">
        <v>42</v>
      </c>
      <c r="B2454">
        <v>303</v>
      </c>
      <c r="C2454" t="s">
        <v>999</v>
      </c>
      <c r="D2454" t="s">
        <v>5786</v>
      </c>
      <c r="E2454" t="s">
        <v>998</v>
      </c>
      <c r="F2454" t="s">
        <v>5787</v>
      </c>
      <c r="G2454" t="s">
        <v>24</v>
      </c>
      <c r="H2454" t="s">
        <v>26</v>
      </c>
      <c r="I2454" t="s">
        <v>3167</v>
      </c>
      <c r="J2454" t="s">
        <v>1003</v>
      </c>
      <c r="K2454" t="s">
        <v>3175</v>
      </c>
      <c r="L2454" t="s">
        <v>1003</v>
      </c>
      <c r="M2454" t="s">
        <v>1000</v>
      </c>
      <c r="N2454" t="s">
        <v>1001</v>
      </c>
      <c r="O2454" t="s">
        <v>1001</v>
      </c>
      <c r="P2454" t="s">
        <v>1110</v>
      </c>
      <c r="Q2454" t="s">
        <v>3169</v>
      </c>
      <c r="R2454" t="s">
        <v>446</v>
      </c>
      <c r="S2454" t="s">
        <v>446</v>
      </c>
      <c r="T2454" t="s">
        <v>1965</v>
      </c>
      <c r="U2454" t="b">
        <v>0</v>
      </c>
      <c r="V2454" t="s">
        <v>446</v>
      </c>
    </row>
    <row r="2455" spans="1:22" x14ac:dyDescent="0.25">
      <c r="A2455" t="s">
        <v>42</v>
      </c>
      <c r="B2455">
        <v>303</v>
      </c>
      <c r="C2455" t="s">
        <v>1005</v>
      </c>
      <c r="D2455" t="s">
        <v>5788</v>
      </c>
      <c r="E2455" t="s">
        <v>982</v>
      </c>
      <c r="G2455" t="s">
        <v>24</v>
      </c>
      <c r="H2455" t="s">
        <v>26</v>
      </c>
      <c r="I2455" t="s">
        <v>3167</v>
      </c>
      <c r="J2455" t="s">
        <v>1003</v>
      </c>
      <c r="K2455" t="s">
        <v>3175</v>
      </c>
      <c r="L2455" t="s">
        <v>1003</v>
      </c>
      <c r="M2455" t="s">
        <v>1000</v>
      </c>
      <c r="N2455" t="s">
        <v>1001</v>
      </c>
      <c r="O2455" t="s">
        <v>1001</v>
      </c>
      <c r="P2455" t="s">
        <v>1110</v>
      </c>
      <c r="Q2455" t="s">
        <v>3169</v>
      </c>
      <c r="R2455" t="s">
        <v>446</v>
      </c>
      <c r="S2455" t="s">
        <v>446</v>
      </c>
      <c r="T2455" t="s">
        <v>1965</v>
      </c>
      <c r="U2455" t="b">
        <v>0</v>
      </c>
      <c r="V2455" t="s">
        <v>446</v>
      </c>
    </row>
    <row r="2456" spans="1:22" x14ac:dyDescent="0.25">
      <c r="A2456" t="s">
        <v>42</v>
      </c>
      <c r="B2456">
        <v>303</v>
      </c>
      <c r="C2456" t="s">
        <v>1007</v>
      </c>
      <c r="D2456" t="s">
        <v>5789</v>
      </c>
      <c r="E2456" t="s">
        <v>1006</v>
      </c>
      <c r="F2456" t="s">
        <v>5790</v>
      </c>
      <c r="G2456" t="s">
        <v>24</v>
      </c>
      <c r="H2456" t="s">
        <v>26</v>
      </c>
      <c r="I2456" t="s">
        <v>3167</v>
      </c>
      <c r="J2456" t="s">
        <v>1011</v>
      </c>
      <c r="K2456" t="s">
        <v>3179</v>
      </c>
      <c r="L2456" t="s">
        <v>1011</v>
      </c>
      <c r="M2456" t="s">
        <v>1008</v>
      </c>
      <c r="N2456" t="s">
        <v>1009</v>
      </c>
      <c r="O2456" t="s">
        <v>1009</v>
      </c>
      <c r="P2456" t="s">
        <v>1110</v>
      </c>
      <c r="Q2456" t="s">
        <v>3169</v>
      </c>
      <c r="R2456" t="s">
        <v>446</v>
      </c>
      <c r="S2456" t="s">
        <v>446</v>
      </c>
      <c r="T2456" t="s">
        <v>1965</v>
      </c>
      <c r="U2456" t="b">
        <v>0</v>
      </c>
      <c r="V2456" t="s">
        <v>446</v>
      </c>
    </row>
    <row r="2457" spans="1:22" x14ac:dyDescent="0.25">
      <c r="A2457" t="s">
        <v>42</v>
      </c>
      <c r="B2457">
        <v>303</v>
      </c>
      <c r="C2457" t="s">
        <v>1014</v>
      </c>
      <c r="D2457" t="s">
        <v>5791</v>
      </c>
      <c r="E2457" t="s">
        <v>1013</v>
      </c>
      <c r="F2457" t="s">
        <v>5792</v>
      </c>
      <c r="G2457" t="s">
        <v>24</v>
      </c>
      <c r="H2457" t="s">
        <v>26</v>
      </c>
      <c r="I2457" t="s">
        <v>3167</v>
      </c>
      <c r="J2457" t="s">
        <v>1016</v>
      </c>
      <c r="K2457" t="s">
        <v>3181</v>
      </c>
      <c r="L2457" t="s">
        <v>1016</v>
      </c>
      <c r="M2457" t="s">
        <v>980</v>
      </c>
      <c r="N2457" t="s">
        <v>1015</v>
      </c>
      <c r="O2457" t="s">
        <v>1015</v>
      </c>
      <c r="P2457" t="s">
        <v>1110</v>
      </c>
      <c r="Q2457" t="s">
        <v>3169</v>
      </c>
      <c r="R2457" t="s">
        <v>446</v>
      </c>
      <c r="S2457" t="s">
        <v>446</v>
      </c>
      <c r="T2457" t="s">
        <v>1965</v>
      </c>
      <c r="U2457" t="b">
        <v>0</v>
      </c>
      <c r="V2457" t="s">
        <v>446</v>
      </c>
    </row>
    <row r="2458" spans="1:22" x14ac:dyDescent="0.25">
      <c r="A2458" t="s">
        <v>42</v>
      </c>
      <c r="B2458">
        <v>303</v>
      </c>
      <c r="C2458" t="s">
        <v>1019</v>
      </c>
      <c r="D2458" t="s">
        <v>5793</v>
      </c>
      <c r="E2458" t="s">
        <v>1018</v>
      </c>
      <c r="F2458" t="s">
        <v>5794</v>
      </c>
      <c r="G2458" t="s">
        <v>24</v>
      </c>
      <c r="H2458" t="s">
        <v>26</v>
      </c>
      <c r="I2458" t="s">
        <v>3167</v>
      </c>
      <c r="J2458" t="s">
        <v>1021</v>
      </c>
      <c r="K2458" t="s">
        <v>3183</v>
      </c>
      <c r="L2458" t="s">
        <v>1021</v>
      </c>
      <c r="M2458" t="s">
        <v>980</v>
      </c>
      <c r="N2458" t="s">
        <v>1020</v>
      </c>
      <c r="O2458" t="s">
        <v>1020</v>
      </c>
      <c r="P2458" t="s">
        <v>1110</v>
      </c>
      <c r="Q2458" t="s">
        <v>3169</v>
      </c>
      <c r="R2458" t="s">
        <v>446</v>
      </c>
      <c r="S2458" t="s">
        <v>446</v>
      </c>
      <c r="T2458" t="s">
        <v>1965</v>
      </c>
      <c r="U2458" t="b">
        <v>0</v>
      </c>
      <c r="V2458" t="s">
        <v>446</v>
      </c>
    </row>
    <row r="2459" spans="1:22" x14ac:dyDescent="0.25">
      <c r="A2459" t="s">
        <v>42</v>
      </c>
      <c r="B2459">
        <v>303</v>
      </c>
      <c r="C2459" t="s">
        <v>1024</v>
      </c>
      <c r="D2459" t="s">
        <v>5795</v>
      </c>
      <c r="E2459" t="s">
        <v>1023</v>
      </c>
      <c r="F2459" t="s">
        <v>5796</v>
      </c>
      <c r="G2459" t="s">
        <v>24</v>
      </c>
      <c r="H2459" t="s">
        <v>26</v>
      </c>
      <c r="I2459" t="s">
        <v>3167</v>
      </c>
      <c r="J2459" t="s">
        <v>1026</v>
      </c>
      <c r="K2459" t="s">
        <v>3185</v>
      </c>
      <c r="L2459" t="s">
        <v>1026</v>
      </c>
      <c r="M2459" t="s">
        <v>1000</v>
      </c>
      <c r="N2459" t="s">
        <v>1025</v>
      </c>
      <c r="O2459" t="s">
        <v>1025</v>
      </c>
      <c r="P2459" t="s">
        <v>1110</v>
      </c>
      <c r="Q2459" t="s">
        <v>3169</v>
      </c>
      <c r="R2459" t="s">
        <v>446</v>
      </c>
      <c r="S2459" t="s">
        <v>446</v>
      </c>
      <c r="T2459" t="s">
        <v>1965</v>
      </c>
      <c r="U2459" t="b">
        <v>0</v>
      </c>
      <c r="V2459" t="s">
        <v>446</v>
      </c>
    </row>
    <row r="2460" spans="1:22" x14ac:dyDescent="0.25">
      <c r="A2460" t="s">
        <v>42</v>
      </c>
      <c r="B2460">
        <v>303</v>
      </c>
      <c r="C2460" t="s">
        <v>1028</v>
      </c>
      <c r="D2460" t="s">
        <v>5797</v>
      </c>
      <c r="E2460" t="s">
        <v>1010</v>
      </c>
      <c r="G2460" t="s">
        <v>24</v>
      </c>
      <c r="H2460" t="s">
        <v>26</v>
      </c>
      <c r="I2460" t="s">
        <v>3167</v>
      </c>
      <c r="J2460" t="s">
        <v>1026</v>
      </c>
      <c r="K2460" t="s">
        <v>3185</v>
      </c>
      <c r="L2460" t="s">
        <v>1026</v>
      </c>
      <c r="M2460" t="s">
        <v>1000</v>
      </c>
      <c r="N2460" t="s">
        <v>1025</v>
      </c>
      <c r="O2460" t="s">
        <v>1025</v>
      </c>
      <c r="P2460" t="s">
        <v>1110</v>
      </c>
      <c r="Q2460" t="s">
        <v>3169</v>
      </c>
      <c r="R2460" t="s">
        <v>446</v>
      </c>
      <c r="S2460" t="s">
        <v>446</v>
      </c>
      <c r="T2460" t="s">
        <v>1965</v>
      </c>
      <c r="U2460" t="b">
        <v>0</v>
      </c>
      <c r="V2460" t="s">
        <v>446</v>
      </c>
    </row>
    <row r="2461" spans="1:22" x14ac:dyDescent="0.25">
      <c r="A2461" t="s">
        <v>42</v>
      </c>
      <c r="B2461">
        <v>303</v>
      </c>
      <c r="C2461" t="s">
        <v>1030</v>
      </c>
      <c r="D2461" t="s">
        <v>5798</v>
      </c>
      <c r="E2461" t="s">
        <v>1029</v>
      </c>
      <c r="F2461" t="s">
        <v>5799</v>
      </c>
      <c r="G2461" t="s">
        <v>24</v>
      </c>
      <c r="H2461" t="s">
        <v>26</v>
      </c>
      <c r="I2461" t="s">
        <v>3167</v>
      </c>
      <c r="J2461" t="s">
        <v>1033</v>
      </c>
      <c r="K2461" t="s">
        <v>3189</v>
      </c>
      <c r="L2461" t="s">
        <v>1033</v>
      </c>
      <c r="M2461" t="s">
        <v>980</v>
      </c>
      <c r="N2461" t="s">
        <v>1031</v>
      </c>
      <c r="O2461" t="s">
        <v>1031</v>
      </c>
      <c r="P2461" t="s">
        <v>1110</v>
      </c>
      <c r="Q2461" t="s">
        <v>3169</v>
      </c>
      <c r="R2461" t="s">
        <v>446</v>
      </c>
      <c r="S2461" t="s">
        <v>446</v>
      </c>
      <c r="T2461" t="s">
        <v>1965</v>
      </c>
      <c r="U2461" t="b">
        <v>0</v>
      </c>
      <c r="V2461" t="s">
        <v>446</v>
      </c>
    </row>
    <row r="2462" spans="1:22" x14ac:dyDescent="0.25">
      <c r="A2462" t="s">
        <v>42</v>
      </c>
      <c r="B2462">
        <v>303</v>
      </c>
      <c r="C2462" t="s">
        <v>1036</v>
      </c>
      <c r="D2462" t="s">
        <v>5800</v>
      </c>
      <c r="E2462" t="s">
        <v>1035</v>
      </c>
      <c r="F2462" t="s">
        <v>5801</v>
      </c>
      <c r="G2462" t="s">
        <v>24</v>
      </c>
      <c r="H2462" t="s">
        <v>26</v>
      </c>
      <c r="I2462" t="s">
        <v>3167</v>
      </c>
      <c r="J2462" t="s">
        <v>1038</v>
      </c>
      <c r="K2462" t="s">
        <v>3191</v>
      </c>
      <c r="L2462" t="s">
        <v>1038</v>
      </c>
      <c r="M2462" t="s">
        <v>980</v>
      </c>
      <c r="N2462" t="s">
        <v>1037</v>
      </c>
      <c r="O2462" t="s">
        <v>1037</v>
      </c>
      <c r="P2462" t="s">
        <v>1110</v>
      </c>
      <c r="Q2462" t="s">
        <v>3169</v>
      </c>
      <c r="R2462" t="s">
        <v>446</v>
      </c>
      <c r="S2462" t="s">
        <v>446</v>
      </c>
      <c r="T2462" t="s">
        <v>1965</v>
      </c>
      <c r="U2462" t="b">
        <v>0</v>
      </c>
      <c r="V2462" t="s">
        <v>446</v>
      </c>
    </row>
    <row r="2463" spans="1:22" x14ac:dyDescent="0.25">
      <c r="A2463" t="s">
        <v>42</v>
      </c>
      <c r="B2463">
        <v>303</v>
      </c>
      <c r="C2463" t="s">
        <v>1041</v>
      </c>
      <c r="D2463" t="s">
        <v>5802</v>
      </c>
      <c r="E2463" t="s">
        <v>1040</v>
      </c>
      <c r="F2463" t="s">
        <v>5803</v>
      </c>
      <c r="G2463" t="s">
        <v>24</v>
      </c>
      <c r="H2463" t="s">
        <v>26</v>
      </c>
      <c r="I2463" t="s">
        <v>3167</v>
      </c>
      <c r="J2463" t="s">
        <v>1043</v>
      </c>
      <c r="K2463" t="s">
        <v>3193</v>
      </c>
      <c r="L2463" t="s">
        <v>1043</v>
      </c>
      <c r="M2463" t="s">
        <v>980</v>
      </c>
      <c r="N2463" t="s">
        <v>1042</v>
      </c>
      <c r="O2463" t="s">
        <v>1042</v>
      </c>
      <c r="P2463" t="s">
        <v>1110</v>
      </c>
      <c r="Q2463" t="s">
        <v>3169</v>
      </c>
      <c r="R2463" t="s">
        <v>446</v>
      </c>
      <c r="S2463" t="s">
        <v>446</v>
      </c>
      <c r="T2463" t="s">
        <v>1965</v>
      </c>
      <c r="U2463" t="b">
        <v>0</v>
      </c>
      <c r="V2463" t="s">
        <v>446</v>
      </c>
    </row>
    <row r="2464" spans="1:22" x14ac:dyDescent="0.25">
      <c r="A2464" t="s">
        <v>42</v>
      </c>
      <c r="B2464">
        <v>303</v>
      </c>
      <c r="C2464" t="s">
        <v>1046</v>
      </c>
      <c r="D2464" t="s">
        <v>5804</v>
      </c>
      <c r="E2464" t="s">
        <v>1045</v>
      </c>
      <c r="F2464" t="s">
        <v>5805</v>
      </c>
      <c r="G2464" t="s">
        <v>24</v>
      </c>
      <c r="H2464" t="s">
        <v>26</v>
      </c>
      <c r="I2464" t="s">
        <v>3167</v>
      </c>
      <c r="J2464" t="s">
        <v>1048</v>
      </c>
      <c r="K2464" t="s">
        <v>3195</v>
      </c>
      <c r="L2464" t="s">
        <v>1048</v>
      </c>
      <c r="M2464" t="s">
        <v>1000</v>
      </c>
      <c r="N2464" t="s">
        <v>1047</v>
      </c>
      <c r="O2464" t="s">
        <v>1047</v>
      </c>
      <c r="P2464" t="s">
        <v>1110</v>
      </c>
      <c r="Q2464" t="s">
        <v>3169</v>
      </c>
      <c r="R2464" t="s">
        <v>446</v>
      </c>
      <c r="S2464" t="s">
        <v>446</v>
      </c>
      <c r="T2464" t="s">
        <v>1965</v>
      </c>
      <c r="U2464" t="b">
        <v>0</v>
      </c>
      <c r="V2464" t="s">
        <v>446</v>
      </c>
    </row>
    <row r="2465" spans="1:22" x14ac:dyDescent="0.25">
      <c r="A2465" t="s">
        <v>42</v>
      </c>
      <c r="B2465">
        <v>303</v>
      </c>
      <c r="C2465" t="s">
        <v>1050</v>
      </c>
      <c r="D2465" t="s">
        <v>5806</v>
      </c>
      <c r="E2465" t="s">
        <v>1032</v>
      </c>
      <c r="G2465" t="s">
        <v>24</v>
      </c>
      <c r="H2465" t="s">
        <v>26</v>
      </c>
      <c r="I2465" t="s">
        <v>3167</v>
      </c>
      <c r="J2465" t="s">
        <v>1048</v>
      </c>
      <c r="K2465" t="s">
        <v>3195</v>
      </c>
      <c r="L2465" t="s">
        <v>1048</v>
      </c>
      <c r="M2465" t="s">
        <v>1000</v>
      </c>
      <c r="N2465" t="s">
        <v>1047</v>
      </c>
      <c r="O2465" t="s">
        <v>1047</v>
      </c>
      <c r="P2465" t="s">
        <v>1110</v>
      </c>
      <c r="Q2465" t="s">
        <v>3169</v>
      </c>
      <c r="R2465" t="s">
        <v>446</v>
      </c>
      <c r="S2465" t="s">
        <v>446</v>
      </c>
      <c r="T2465" t="s">
        <v>1965</v>
      </c>
      <c r="U2465" t="b">
        <v>0</v>
      </c>
      <c r="V2465" t="s">
        <v>446</v>
      </c>
    </row>
    <row r="2466" spans="1:22" x14ac:dyDescent="0.25">
      <c r="A2466" t="s">
        <v>42</v>
      </c>
      <c r="B2466">
        <v>303</v>
      </c>
      <c r="C2466" t="s">
        <v>1052</v>
      </c>
      <c r="D2466" t="s">
        <v>5807</v>
      </c>
      <c r="E2466" t="s">
        <v>1051</v>
      </c>
      <c r="F2466" t="s">
        <v>5808</v>
      </c>
      <c r="G2466" t="s">
        <v>24</v>
      </c>
      <c r="H2466" t="s">
        <v>26</v>
      </c>
      <c r="I2466" t="s">
        <v>3167</v>
      </c>
      <c r="J2466" t="s">
        <v>1055</v>
      </c>
      <c r="K2466" t="s">
        <v>3199</v>
      </c>
      <c r="L2466" t="s">
        <v>1055</v>
      </c>
      <c r="M2466" t="s">
        <v>980</v>
      </c>
      <c r="N2466" t="s">
        <v>1053</v>
      </c>
      <c r="O2466" t="s">
        <v>1053</v>
      </c>
      <c r="P2466" t="s">
        <v>1110</v>
      </c>
      <c r="Q2466" t="s">
        <v>3169</v>
      </c>
      <c r="R2466" t="s">
        <v>446</v>
      </c>
      <c r="S2466" t="s">
        <v>446</v>
      </c>
      <c r="T2466" t="s">
        <v>1965</v>
      </c>
      <c r="U2466" t="b">
        <v>0</v>
      </c>
      <c r="V2466" t="s">
        <v>446</v>
      </c>
    </row>
    <row r="2467" spans="1:22" x14ac:dyDescent="0.25">
      <c r="A2467" t="s">
        <v>42</v>
      </c>
      <c r="B2467">
        <v>304</v>
      </c>
      <c r="C2467" t="s">
        <v>979</v>
      </c>
      <c r="D2467" t="s">
        <v>5809</v>
      </c>
      <c r="E2467" t="s">
        <v>978</v>
      </c>
      <c r="F2467" t="s">
        <v>5770</v>
      </c>
      <c r="G2467" t="s">
        <v>24</v>
      </c>
      <c r="H2467" t="s">
        <v>26</v>
      </c>
      <c r="I2467" t="s">
        <v>3167</v>
      </c>
      <c r="J2467" t="s">
        <v>984</v>
      </c>
      <c r="K2467" t="s">
        <v>3168</v>
      </c>
      <c r="L2467" t="s">
        <v>984</v>
      </c>
      <c r="M2467" t="s">
        <v>980</v>
      </c>
      <c r="N2467" t="s">
        <v>981</v>
      </c>
      <c r="O2467" t="s">
        <v>981</v>
      </c>
      <c r="P2467" t="s">
        <v>1089</v>
      </c>
      <c r="Q2467" t="s">
        <v>3169</v>
      </c>
      <c r="R2467" t="s">
        <v>446</v>
      </c>
      <c r="S2467" t="s">
        <v>446</v>
      </c>
      <c r="T2467" t="s">
        <v>1965</v>
      </c>
      <c r="U2467" t="b">
        <v>0</v>
      </c>
      <c r="V2467" t="s">
        <v>446</v>
      </c>
    </row>
    <row r="2468" spans="1:22" x14ac:dyDescent="0.25">
      <c r="A2468" t="s">
        <v>42</v>
      </c>
      <c r="B2468">
        <v>304</v>
      </c>
      <c r="C2468" t="s">
        <v>987</v>
      </c>
      <c r="D2468" t="s">
        <v>5810</v>
      </c>
      <c r="E2468" t="s">
        <v>986</v>
      </c>
      <c r="F2468" t="s">
        <v>5771</v>
      </c>
      <c r="G2468" t="s">
        <v>24</v>
      </c>
      <c r="H2468" t="s">
        <v>26</v>
      </c>
      <c r="I2468" t="s">
        <v>3167</v>
      </c>
      <c r="J2468" t="s">
        <v>990</v>
      </c>
      <c r="K2468" t="s">
        <v>3171</v>
      </c>
      <c r="L2468" t="s">
        <v>990</v>
      </c>
      <c r="M2468" t="s">
        <v>980</v>
      </c>
      <c r="N2468" t="s">
        <v>988</v>
      </c>
      <c r="O2468" t="s">
        <v>988</v>
      </c>
      <c r="P2468" t="s">
        <v>1089</v>
      </c>
      <c r="Q2468" t="s">
        <v>3169</v>
      </c>
      <c r="R2468" t="s">
        <v>446</v>
      </c>
      <c r="S2468" t="s">
        <v>446</v>
      </c>
      <c r="T2468" t="s">
        <v>1965</v>
      </c>
      <c r="U2468" t="b">
        <v>0</v>
      </c>
      <c r="V2468" t="s">
        <v>446</v>
      </c>
    </row>
    <row r="2469" spans="1:22" x14ac:dyDescent="0.25">
      <c r="A2469" t="s">
        <v>42</v>
      </c>
      <c r="B2469">
        <v>304</v>
      </c>
      <c r="C2469" t="s">
        <v>993</v>
      </c>
      <c r="D2469" t="s">
        <v>5811</v>
      </c>
      <c r="E2469" t="s">
        <v>992</v>
      </c>
      <c r="F2469" t="s">
        <v>5772</v>
      </c>
      <c r="G2469" t="s">
        <v>24</v>
      </c>
      <c r="H2469" t="s">
        <v>26</v>
      </c>
      <c r="I2469" t="s">
        <v>3167</v>
      </c>
      <c r="J2469" t="s">
        <v>996</v>
      </c>
      <c r="K2469" t="s">
        <v>3173</v>
      </c>
      <c r="L2469" t="s">
        <v>996</v>
      </c>
      <c r="M2469" t="s">
        <v>980</v>
      </c>
      <c r="N2469" t="s">
        <v>994</v>
      </c>
      <c r="O2469" t="s">
        <v>994</v>
      </c>
      <c r="P2469" t="s">
        <v>1089</v>
      </c>
      <c r="Q2469" t="s">
        <v>3169</v>
      </c>
      <c r="R2469" t="s">
        <v>446</v>
      </c>
      <c r="S2469" t="s">
        <v>446</v>
      </c>
      <c r="T2469" t="s">
        <v>1965</v>
      </c>
      <c r="U2469" t="b">
        <v>0</v>
      </c>
      <c r="V2469" t="s">
        <v>446</v>
      </c>
    </row>
    <row r="2470" spans="1:22" x14ac:dyDescent="0.25">
      <c r="A2470" t="s">
        <v>42</v>
      </c>
      <c r="B2470">
        <v>304</v>
      </c>
      <c r="C2470" t="s">
        <v>999</v>
      </c>
      <c r="D2470" t="s">
        <v>5812</v>
      </c>
      <c r="E2470" t="s">
        <v>998</v>
      </c>
      <c r="F2470" t="s">
        <v>3779</v>
      </c>
      <c r="G2470" t="s">
        <v>24</v>
      </c>
      <c r="H2470" t="s">
        <v>26</v>
      </c>
      <c r="I2470" t="s">
        <v>3167</v>
      </c>
      <c r="J2470" t="s">
        <v>1003</v>
      </c>
      <c r="K2470" t="s">
        <v>3175</v>
      </c>
      <c r="L2470" t="s">
        <v>1003</v>
      </c>
      <c r="M2470" t="s">
        <v>1000</v>
      </c>
      <c r="N2470" t="s">
        <v>1001</v>
      </c>
      <c r="O2470" t="s">
        <v>1001</v>
      </c>
      <c r="P2470" t="s">
        <v>1089</v>
      </c>
      <c r="Q2470" t="s">
        <v>3169</v>
      </c>
      <c r="R2470" t="s">
        <v>446</v>
      </c>
      <c r="S2470" t="s">
        <v>446</v>
      </c>
      <c r="T2470" t="s">
        <v>1965</v>
      </c>
      <c r="U2470" t="b">
        <v>0</v>
      </c>
      <c r="V2470" t="s">
        <v>446</v>
      </c>
    </row>
    <row r="2471" spans="1:22" x14ac:dyDescent="0.25">
      <c r="A2471" t="s">
        <v>42</v>
      </c>
      <c r="B2471">
        <v>304</v>
      </c>
      <c r="C2471" t="s">
        <v>1005</v>
      </c>
      <c r="D2471" t="s">
        <v>5813</v>
      </c>
      <c r="E2471" t="s">
        <v>982</v>
      </c>
      <c r="F2471" t="s">
        <v>3779</v>
      </c>
      <c r="G2471" t="s">
        <v>24</v>
      </c>
      <c r="H2471" t="s">
        <v>26</v>
      </c>
      <c r="I2471" t="s">
        <v>3167</v>
      </c>
      <c r="J2471" t="s">
        <v>1003</v>
      </c>
      <c r="K2471" t="s">
        <v>3175</v>
      </c>
      <c r="L2471" t="s">
        <v>1003</v>
      </c>
      <c r="M2471" t="s">
        <v>1000</v>
      </c>
      <c r="N2471" t="s">
        <v>1001</v>
      </c>
      <c r="O2471" t="s">
        <v>1001</v>
      </c>
      <c r="P2471" t="s">
        <v>1089</v>
      </c>
      <c r="Q2471" t="s">
        <v>3169</v>
      </c>
      <c r="R2471" t="s">
        <v>446</v>
      </c>
      <c r="S2471" t="s">
        <v>446</v>
      </c>
      <c r="T2471" t="s">
        <v>1965</v>
      </c>
      <c r="U2471" t="b">
        <v>0</v>
      </c>
      <c r="V2471" t="s">
        <v>446</v>
      </c>
    </row>
    <row r="2472" spans="1:22" x14ac:dyDescent="0.25">
      <c r="A2472" t="s">
        <v>42</v>
      </c>
      <c r="B2472">
        <v>304</v>
      </c>
      <c r="C2472" t="s">
        <v>1007</v>
      </c>
      <c r="D2472" t="s">
        <v>5814</v>
      </c>
      <c r="E2472" t="s">
        <v>1006</v>
      </c>
      <c r="F2472" t="s">
        <v>5774</v>
      </c>
      <c r="G2472" t="s">
        <v>24</v>
      </c>
      <c r="H2472" t="s">
        <v>26</v>
      </c>
      <c r="I2472" t="s">
        <v>3167</v>
      </c>
      <c r="J2472" t="s">
        <v>1011</v>
      </c>
      <c r="K2472" t="s">
        <v>3179</v>
      </c>
      <c r="L2472" t="s">
        <v>1011</v>
      </c>
      <c r="M2472" t="s">
        <v>1008</v>
      </c>
      <c r="N2472" t="s">
        <v>1009</v>
      </c>
      <c r="O2472" t="s">
        <v>1009</v>
      </c>
      <c r="P2472" t="s">
        <v>1089</v>
      </c>
      <c r="Q2472" t="s">
        <v>3169</v>
      </c>
      <c r="R2472" t="s">
        <v>446</v>
      </c>
      <c r="S2472" t="s">
        <v>446</v>
      </c>
      <c r="T2472" t="s">
        <v>1965</v>
      </c>
      <c r="U2472" t="b">
        <v>0</v>
      </c>
      <c r="V2472" t="s">
        <v>446</v>
      </c>
    </row>
    <row r="2473" spans="1:22" x14ac:dyDescent="0.25">
      <c r="A2473" t="s">
        <v>42</v>
      </c>
      <c r="B2473">
        <v>304</v>
      </c>
      <c r="C2473" t="s">
        <v>1014</v>
      </c>
      <c r="D2473" t="s">
        <v>5815</v>
      </c>
      <c r="E2473" t="s">
        <v>1013</v>
      </c>
      <c r="F2473" t="s">
        <v>5775</v>
      </c>
      <c r="G2473" t="s">
        <v>24</v>
      </c>
      <c r="H2473" t="s">
        <v>26</v>
      </c>
      <c r="I2473" t="s">
        <v>3167</v>
      </c>
      <c r="J2473" t="s">
        <v>1016</v>
      </c>
      <c r="K2473" t="s">
        <v>3181</v>
      </c>
      <c r="L2473" t="s">
        <v>1016</v>
      </c>
      <c r="M2473" t="s">
        <v>980</v>
      </c>
      <c r="N2473" t="s">
        <v>1015</v>
      </c>
      <c r="O2473" t="s">
        <v>1015</v>
      </c>
      <c r="P2473" t="s">
        <v>1089</v>
      </c>
      <c r="Q2473" t="s">
        <v>3169</v>
      </c>
      <c r="R2473" t="s">
        <v>446</v>
      </c>
      <c r="S2473" t="s">
        <v>446</v>
      </c>
      <c r="T2473" t="s">
        <v>1965</v>
      </c>
      <c r="U2473" t="b">
        <v>0</v>
      </c>
      <c r="V2473" t="s">
        <v>446</v>
      </c>
    </row>
    <row r="2474" spans="1:22" x14ac:dyDescent="0.25">
      <c r="A2474" t="s">
        <v>42</v>
      </c>
      <c r="B2474">
        <v>304</v>
      </c>
      <c r="C2474" t="s">
        <v>1019</v>
      </c>
      <c r="D2474" t="s">
        <v>5816</v>
      </c>
      <c r="E2474" t="s">
        <v>1018</v>
      </c>
      <c r="F2474" t="s">
        <v>5776</v>
      </c>
      <c r="G2474" t="s">
        <v>24</v>
      </c>
      <c r="H2474" t="s">
        <v>26</v>
      </c>
      <c r="I2474" t="s">
        <v>3167</v>
      </c>
      <c r="J2474" t="s">
        <v>1021</v>
      </c>
      <c r="K2474" t="s">
        <v>3183</v>
      </c>
      <c r="L2474" t="s">
        <v>1021</v>
      </c>
      <c r="M2474" t="s">
        <v>980</v>
      </c>
      <c r="N2474" t="s">
        <v>1020</v>
      </c>
      <c r="O2474" t="s">
        <v>1020</v>
      </c>
      <c r="P2474" t="s">
        <v>1089</v>
      </c>
      <c r="Q2474" t="s">
        <v>3169</v>
      </c>
      <c r="R2474" t="s">
        <v>446</v>
      </c>
      <c r="S2474" t="s">
        <v>446</v>
      </c>
      <c r="T2474" t="s">
        <v>1965</v>
      </c>
      <c r="U2474" t="b">
        <v>0</v>
      </c>
      <c r="V2474" t="s">
        <v>446</v>
      </c>
    </row>
    <row r="2475" spans="1:22" x14ac:dyDescent="0.25">
      <c r="A2475" t="s">
        <v>42</v>
      </c>
      <c r="B2475">
        <v>304</v>
      </c>
      <c r="C2475" t="s">
        <v>1024</v>
      </c>
      <c r="D2475" t="s">
        <v>5817</v>
      </c>
      <c r="E2475" t="s">
        <v>1023</v>
      </c>
      <c r="F2475" t="s">
        <v>4121</v>
      </c>
      <c r="G2475" t="s">
        <v>24</v>
      </c>
      <c r="H2475" t="s">
        <v>26</v>
      </c>
      <c r="I2475" t="s">
        <v>3167</v>
      </c>
      <c r="J2475" t="s">
        <v>1026</v>
      </c>
      <c r="K2475" t="s">
        <v>3185</v>
      </c>
      <c r="L2475" t="s">
        <v>1026</v>
      </c>
      <c r="M2475" t="s">
        <v>1000</v>
      </c>
      <c r="N2475" t="s">
        <v>1025</v>
      </c>
      <c r="O2475" t="s">
        <v>1025</v>
      </c>
      <c r="P2475" t="s">
        <v>1089</v>
      </c>
      <c r="Q2475" t="s">
        <v>3169</v>
      </c>
      <c r="R2475" t="s">
        <v>446</v>
      </c>
      <c r="S2475" t="s">
        <v>446</v>
      </c>
      <c r="T2475" t="s">
        <v>1965</v>
      </c>
      <c r="U2475" t="b">
        <v>0</v>
      </c>
      <c r="V2475" t="s">
        <v>446</v>
      </c>
    </row>
    <row r="2476" spans="1:22" x14ac:dyDescent="0.25">
      <c r="A2476" t="s">
        <v>42</v>
      </c>
      <c r="B2476">
        <v>304</v>
      </c>
      <c r="C2476" t="s">
        <v>1028</v>
      </c>
      <c r="D2476" t="s">
        <v>5818</v>
      </c>
      <c r="E2476" t="s">
        <v>1010</v>
      </c>
      <c r="F2476" t="s">
        <v>4121</v>
      </c>
      <c r="G2476" t="s">
        <v>24</v>
      </c>
      <c r="H2476" t="s">
        <v>26</v>
      </c>
      <c r="I2476" t="s">
        <v>3167</v>
      </c>
      <c r="J2476" t="s">
        <v>1026</v>
      </c>
      <c r="K2476" t="s">
        <v>3185</v>
      </c>
      <c r="L2476" t="s">
        <v>1026</v>
      </c>
      <c r="M2476" t="s">
        <v>1000</v>
      </c>
      <c r="N2476" t="s">
        <v>1025</v>
      </c>
      <c r="O2476" t="s">
        <v>1025</v>
      </c>
      <c r="P2476" t="s">
        <v>1089</v>
      </c>
      <c r="Q2476" t="s">
        <v>3169</v>
      </c>
      <c r="R2476" t="s">
        <v>446</v>
      </c>
      <c r="S2476" t="s">
        <v>446</v>
      </c>
      <c r="T2476" t="s">
        <v>1965</v>
      </c>
      <c r="U2476" t="b">
        <v>0</v>
      </c>
      <c r="V2476" t="s">
        <v>446</v>
      </c>
    </row>
    <row r="2477" spans="1:22" x14ac:dyDescent="0.25">
      <c r="A2477" t="s">
        <v>42</v>
      </c>
      <c r="B2477">
        <v>304</v>
      </c>
      <c r="C2477" t="s">
        <v>1030</v>
      </c>
      <c r="D2477" t="s">
        <v>5819</v>
      </c>
      <c r="E2477" t="s">
        <v>1029</v>
      </c>
      <c r="F2477" t="s">
        <v>5778</v>
      </c>
      <c r="G2477" t="s">
        <v>24</v>
      </c>
      <c r="H2477" t="s">
        <v>26</v>
      </c>
      <c r="I2477" t="s">
        <v>3167</v>
      </c>
      <c r="J2477" t="s">
        <v>1033</v>
      </c>
      <c r="K2477" t="s">
        <v>3189</v>
      </c>
      <c r="L2477" t="s">
        <v>1033</v>
      </c>
      <c r="M2477" t="s">
        <v>980</v>
      </c>
      <c r="N2477" t="s">
        <v>1031</v>
      </c>
      <c r="O2477" t="s">
        <v>1031</v>
      </c>
      <c r="P2477" t="s">
        <v>1089</v>
      </c>
      <c r="Q2477" t="s">
        <v>3169</v>
      </c>
      <c r="R2477" t="s">
        <v>446</v>
      </c>
      <c r="S2477" t="s">
        <v>446</v>
      </c>
      <c r="T2477" t="s">
        <v>1965</v>
      </c>
      <c r="U2477" t="b">
        <v>0</v>
      </c>
      <c r="V2477" t="s">
        <v>446</v>
      </c>
    </row>
    <row r="2478" spans="1:22" x14ac:dyDescent="0.25">
      <c r="A2478" t="s">
        <v>42</v>
      </c>
      <c r="B2478">
        <v>304</v>
      </c>
      <c r="C2478" t="s">
        <v>1036</v>
      </c>
      <c r="D2478" t="s">
        <v>5820</v>
      </c>
      <c r="E2478" t="s">
        <v>1035</v>
      </c>
      <c r="F2478" t="s">
        <v>5779</v>
      </c>
      <c r="G2478" t="s">
        <v>24</v>
      </c>
      <c r="H2478" t="s">
        <v>26</v>
      </c>
      <c r="I2478" t="s">
        <v>3167</v>
      </c>
      <c r="J2478" t="s">
        <v>1038</v>
      </c>
      <c r="K2478" t="s">
        <v>3191</v>
      </c>
      <c r="L2478" t="s">
        <v>1038</v>
      </c>
      <c r="M2478" t="s">
        <v>980</v>
      </c>
      <c r="N2478" t="s">
        <v>1037</v>
      </c>
      <c r="O2478" t="s">
        <v>1037</v>
      </c>
      <c r="P2478" t="s">
        <v>1089</v>
      </c>
      <c r="Q2478" t="s">
        <v>3169</v>
      </c>
      <c r="R2478" t="s">
        <v>446</v>
      </c>
      <c r="S2478" t="s">
        <v>446</v>
      </c>
      <c r="T2478" t="s">
        <v>1965</v>
      </c>
      <c r="U2478" t="b">
        <v>0</v>
      </c>
      <c r="V2478" t="s">
        <v>446</v>
      </c>
    </row>
    <row r="2479" spans="1:22" x14ac:dyDescent="0.25">
      <c r="A2479" t="s">
        <v>42</v>
      </c>
      <c r="B2479">
        <v>304</v>
      </c>
      <c r="C2479" t="s">
        <v>1041</v>
      </c>
      <c r="D2479" t="s">
        <v>5821</v>
      </c>
      <c r="E2479" t="s">
        <v>1040</v>
      </c>
      <c r="F2479" t="s">
        <v>3325</v>
      </c>
      <c r="G2479" t="s">
        <v>24</v>
      </c>
      <c r="H2479" t="s">
        <v>26</v>
      </c>
      <c r="I2479" t="s">
        <v>3167</v>
      </c>
      <c r="J2479" t="s">
        <v>1043</v>
      </c>
      <c r="K2479" t="s">
        <v>3193</v>
      </c>
      <c r="L2479" t="s">
        <v>1043</v>
      </c>
      <c r="M2479" t="s">
        <v>980</v>
      </c>
      <c r="N2479" t="s">
        <v>1042</v>
      </c>
      <c r="O2479" t="s">
        <v>1042</v>
      </c>
      <c r="P2479" t="s">
        <v>1089</v>
      </c>
      <c r="Q2479" t="s">
        <v>3169</v>
      </c>
      <c r="R2479" t="s">
        <v>446</v>
      </c>
      <c r="S2479" t="s">
        <v>446</v>
      </c>
      <c r="T2479" t="s">
        <v>1965</v>
      </c>
      <c r="U2479" t="b">
        <v>0</v>
      </c>
      <c r="V2479" t="s">
        <v>446</v>
      </c>
    </row>
    <row r="2480" spans="1:22" x14ac:dyDescent="0.25">
      <c r="A2480" t="s">
        <v>42</v>
      </c>
      <c r="B2480">
        <v>304</v>
      </c>
      <c r="C2480" t="s">
        <v>1046</v>
      </c>
      <c r="D2480" t="s">
        <v>5822</v>
      </c>
      <c r="E2480" t="s">
        <v>1045</v>
      </c>
      <c r="F2480" t="s">
        <v>4122</v>
      </c>
      <c r="G2480" t="s">
        <v>24</v>
      </c>
      <c r="H2480" t="s">
        <v>26</v>
      </c>
      <c r="I2480" t="s">
        <v>3167</v>
      </c>
      <c r="J2480" t="s">
        <v>1048</v>
      </c>
      <c r="K2480" t="s">
        <v>3195</v>
      </c>
      <c r="L2480" t="s">
        <v>1048</v>
      </c>
      <c r="M2480" t="s">
        <v>1000</v>
      </c>
      <c r="N2480" t="s">
        <v>1047</v>
      </c>
      <c r="O2480" t="s">
        <v>1047</v>
      </c>
      <c r="P2480" t="s">
        <v>1089</v>
      </c>
      <c r="Q2480" t="s">
        <v>3169</v>
      </c>
      <c r="R2480" t="s">
        <v>446</v>
      </c>
      <c r="S2480" t="s">
        <v>446</v>
      </c>
      <c r="T2480" t="s">
        <v>1965</v>
      </c>
      <c r="U2480" t="b">
        <v>0</v>
      </c>
      <c r="V2480" t="s">
        <v>446</v>
      </c>
    </row>
    <row r="2481" spans="1:22" x14ac:dyDescent="0.25">
      <c r="A2481" t="s">
        <v>42</v>
      </c>
      <c r="B2481">
        <v>304</v>
      </c>
      <c r="C2481" t="s">
        <v>1050</v>
      </c>
      <c r="D2481" t="s">
        <v>5823</v>
      </c>
      <c r="E2481" t="s">
        <v>1032</v>
      </c>
      <c r="F2481" t="s">
        <v>4122</v>
      </c>
      <c r="G2481" t="s">
        <v>24</v>
      </c>
      <c r="H2481" t="s">
        <v>26</v>
      </c>
      <c r="I2481" t="s">
        <v>3167</v>
      </c>
      <c r="J2481" t="s">
        <v>1048</v>
      </c>
      <c r="K2481" t="s">
        <v>3195</v>
      </c>
      <c r="L2481" t="s">
        <v>1048</v>
      </c>
      <c r="M2481" t="s">
        <v>1000</v>
      </c>
      <c r="N2481" t="s">
        <v>1047</v>
      </c>
      <c r="O2481" t="s">
        <v>1047</v>
      </c>
      <c r="P2481" t="s">
        <v>1089</v>
      </c>
      <c r="Q2481" t="s">
        <v>3169</v>
      </c>
      <c r="R2481" t="s">
        <v>446</v>
      </c>
      <c r="S2481" t="s">
        <v>446</v>
      </c>
      <c r="T2481" t="s">
        <v>1965</v>
      </c>
      <c r="U2481" t="b">
        <v>0</v>
      </c>
      <c r="V2481" t="s">
        <v>446</v>
      </c>
    </row>
    <row r="2482" spans="1:22" x14ac:dyDescent="0.25">
      <c r="A2482" t="s">
        <v>42</v>
      </c>
      <c r="B2482">
        <v>304</v>
      </c>
      <c r="C2482" t="s">
        <v>1052</v>
      </c>
      <c r="D2482" t="s">
        <v>5824</v>
      </c>
      <c r="E2482" t="s">
        <v>1051</v>
      </c>
      <c r="F2482" t="s">
        <v>5825</v>
      </c>
      <c r="G2482" t="s">
        <v>24</v>
      </c>
      <c r="H2482" t="s">
        <v>26</v>
      </c>
      <c r="I2482" t="s">
        <v>3167</v>
      </c>
      <c r="J2482" t="s">
        <v>1055</v>
      </c>
      <c r="K2482" t="s">
        <v>3199</v>
      </c>
      <c r="L2482" t="s">
        <v>1055</v>
      </c>
      <c r="M2482" t="s">
        <v>980</v>
      </c>
      <c r="N2482" t="s">
        <v>1053</v>
      </c>
      <c r="O2482" t="s">
        <v>1053</v>
      </c>
      <c r="P2482" t="s">
        <v>1089</v>
      </c>
      <c r="Q2482" t="s">
        <v>3169</v>
      </c>
      <c r="R2482" t="s">
        <v>446</v>
      </c>
      <c r="S2482" t="s">
        <v>446</v>
      </c>
      <c r="T2482" t="s">
        <v>1965</v>
      </c>
      <c r="U2482" t="b">
        <v>0</v>
      </c>
      <c r="V2482" t="s">
        <v>446</v>
      </c>
    </row>
    <row r="2483" spans="1:22" x14ac:dyDescent="0.25">
      <c r="A2483" t="s">
        <v>42</v>
      </c>
      <c r="B2483">
        <v>307</v>
      </c>
      <c r="C2483" t="s">
        <v>979</v>
      </c>
      <c r="D2483" t="s">
        <v>2674</v>
      </c>
      <c r="E2483" t="s">
        <v>978</v>
      </c>
      <c r="F2483" t="s">
        <v>3218</v>
      </c>
      <c r="G2483" t="s">
        <v>24</v>
      </c>
      <c r="H2483" t="s">
        <v>26</v>
      </c>
      <c r="I2483" t="s">
        <v>3167</v>
      </c>
      <c r="J2483" t="s">
        <v>984</v>
      </c>
      <c r="K2483" t="s">
        <v>3168</v>
      </c>
      <c r="L2483" t="s">
        <v>984</v>
      </c>
      <c r="M2483" t="s">
        <v>980</v>
      </c>
      <c r="N2483" t="s">
        <v>981</v>
      </c>
      <c r="O2483" t="s">
        <v>981</v>
      </c>
      <c r="P2483" t="s">
        <v>1746</v>
      </c>
      <c r="Q2483" t="s">
        <v>3771</v>
      </c>
      <c r="R2483" t="s">
        <v>446</v>
      </c>
      <c r="S2483" t="s">
        <v>446</v>
      </c>
      <c r="T2483" t="s">
        <v>1965</v>
      </c>
      <c r="U2483" t="b">
        <v>0</v>
      </c>
      <c r="V2483" t="s">
        <v>1962</v>
      </c>
    </row>
    <row r="2484" spans="1:22" x14ac:dyDescent="0.25">
      <c r="A2484" t="s">
        <v>42</v>
      </c>
      <c r="B2484">
        <v>307</v>
      </c>
      <c r="C2484" t="s">
        <v>987</v>
      </c>
      <c r="D2484" t="s">
        <v>2675</v>
      </c>
      <c r="E2484" t="s">
        <v>986</v>
      </c>
      <c r="F2484" t="s">
        <v>5826</v>
      </c>
      <c r="G2484" t="s">
        <v>24</v>
      </c>
      <c r="H2484" t="s">
        <v>26</v>
      </c>
      <c r="I2484" t="s">
        <v>3167</v>
      </c>
      <c r="J2484" t="s">
        <v>990</v>
      </c>
      <c r="K2484" t="s">
        <v>3171</v>
      </c>
      <c r="L2484" t="s">
        <v>990</v>
      </c>
      <c r="M2484" t="s">
        <v>980</v>
      </c>
      <c r="N2484" t="s">
        <v>988</v>
      </c>
      <c r="O2484" t="s">
        <v>988</v>
      </c>
      <c r="P2484" t="s">
        <v>1746</v>
      </c>
      <c r="Q2484" t="s">
        <v>3771</v>
      </c>
      <c r="R2484" t="s">
        <v>446</v>
      </c>
      <c r="S2484" t="s">
        <v>446</v>
      </c>
      <c r="T2484" t="s">
        <v>1965</v>
      </c>
      <c r="U2484" t="b">
        <v>0</v>
      </c>
      <c r="V2484" t="s">
        <v>1962</v>
      </c>
    </row>
    <row r="2485" spans="1:22" x14ac:dyDescent="0.25">
      <c r="A2485" t="s">
        <v>42</v>
      </c>
      <c r="B2485">
        <v>307</v>
      </c>
      <c r="C2485" t="s">
        <v>993</v>
      </c>
      <c r="D2485" t="s">
        <v>2676</v>
      </c>
      <c r="E2485" t="s">
        <v>992</v>
      </c>
      <c r="F2485" t="s">
        <v>5827</v>
      </c>
      <c r="G2485" t="s">
        <v>24</v>
      </c>
      <c r="H2485" t="s">
        <v>26</v>
      </c>
      <c r="I2485" t="s">
        <v>3167</v>
      </c>
      <c r="J2485" t="s">
        <v>996</v>
      </c>
      <c r="K2485" t="s">
        <v>3173</v>
      </c>
      <c r="L2485" t="s">
        <v>996</v>
      </c>
      <c r="M2485" t="s">
        <v>980</v>
      </c>
      <c r="N2485" t="s">
        <v>994</v>
      </c>
      <c r="O2485" t="s">
        <v>994</v>
      </c>
      <c r="P2485" t="s">
        <v>1746</v>
      </c>
      <c r="Q2485" t="s">
        <v>3771</v>
      </c>
      <c r="R2485" t="s">
        <v>446</v>
      </c>
      <c r="S2485" t="s">
        <v>446</v>
      </c>
      <c r="T2485" t="s">
        <v>1965</v>
      </c>
      <c r="U2485" t="b">
        <v>0</v>
      </c>
      <c r="V2485" t="s">
        <v>1962</v>
      </c>
    </row>
    <row r="2486" spans="1:22" x14ac:dyDescent="0.25">
      <c r="A2486" t="s">
        <v>42</v>
      </c>
      <c r="B2486">
        <v>307</v>
      </c>
      <c r="C2486" t="s">
        <v>999</v>
      </c>
      <c r="D2486" t="s">
        <v>2677</v>
      </c>
      <c r="E2486" t="s">
        <v>998</v>
      </c>
      <c r="F2486" t="s">
        <v>5828</v>
      </c>
      <c r="G2486" t="s">
        <v>24</v>
      </c>
      <c r="H2486" t="s">
        <v>26</v>
      </c>
      <c r="I2486" t="s">
        <v>3167</v>
      </c>
      <c r="J2486" t="s">
        <v>1003</v>
      </c>
      <c r="K2486" t="s">
        <v>3175</v>
      </c>
      <c r="L2486" t="s">
        <v>1003</v>
      </c>
      <c r="M2486" t="s">
        <v>1000</v>
      </c>
      <c r="N2486" t="s">
        <v>1001</v>
      </c>
      <c r="O2486" t="s">
        <v>1001</v>
      </c>
      <c r="P2486" t="s">
        <v>1746</v>
      </c>
      <c r="Q2486" t="s">
        <v>3771</v>
      </c>
      <c r="R2486" t="s">
        <v>446</v>
      </c>
      <c r="S2486" t="s">
        <v>446</v>
      </c>
      <c r="T2486" t="s">
        <v>1965</v>
      </c>
      <c r="U2486" t="b">
        <v>0</v>
      </c>
      <c r="V2486" t="s">
        <v>1962</v>
      </c>
    </row>
    <row r="2487" spans="1:22" x14ac:dyDescent="0.25">
      <c r="A2487" t="s">
        <v>42</v>
      </c>
      <c r="B2487">
        <v>307</v>
      </c>
      <c r="C2487" t="s">
        <v>1005</v>
      </c>
      <c r="D2487" t="s">
        <v>5829</v>
      </c>
      <c r="E2487" t="s">
        <v>982</v>
      </c>
      <c r="F2487" t="s">
        <v>3218</v>
      </c>
      <c r="G2487" t="s">
        <v>24</v>
      </c>
      <c r="H2487" t="s">
        <v>26</v>
      </c>
      <c r="I2487" t="s">
        <v>3167</v>
      </c>
      <c r="J2487" t="s">
        <v>1003</v>
      </c>
      <c r="K2487" t="s">
        <v>3175</v>
      </c>
      <c r="L2487" t="s">
        <v>1003</v>
      </c>
      <c r="M2487" t="s">
        <v>1000</v>
      </c>
      <c r="N2487" t="s">
        <v>1001</v>
      </c>
      <c r="O2487" t="s">
        <v>1001</v>
      </c>
      <c r="P2487" t="s">
        <v>1746</v>
      </c>
      <c r="Q2487" t="s">
        <v>3771</v>
      </c>
      <c r="R2487" t="s">
        <v>446</v>
      </c>
      <c r="S2487" t="s">
        <v>446</v>
      </c>
      <c r="T2487" t="s">
        <v>1965</v>
      </c>
      <c r="U2487" t="b">
        <v>0</v>
      </c>
      <c r="V2487" t="s">
        <v>446</v>
      </c>
    </row>
    <row r="2488" spans="1:22" x14ac:dyDescent="0.25">
      <c r="A2488" t="s">
        <v>42</v>
      </c>
      <c r="B2488">
        <v>307</v>
      </c>
      <c r="C2488" t="s">
        <v>1007</v>
      </c>
      <c r="D2488" t="s">
        <v>2678</v>
      </c>
      <c r="E2488" t="s">
        <v>1006</v>
      </c>
      <c r="F2488" t="s">
        <v>5830</v>
      </c>
      <c r="G2488" t="s">
        <v>24</v>
      </c>
      <c r="H2488" t="s">
        <v>26</v>
      </c>
      <c r="I2488" t="s">
        <v>3167</v>
      </c>
      <c r="J2488" t="s">
        <v>1011</v>
      </c>
      <c r="K2488" t="s">
        <v>3179</v>
      </c>
      <c r="L2488" t="s">
        <v>1011</v>
      </c>
      <c r="M2488" t="s">
        <v>1008</v>
      </c>
      <c r="N2488" t="s">
        <v>1009</v>
      </c>
      <c r="O2488" t="s">
        <v>1009</v>
      </c>
      <c r="P2488" t="s">
        <v>1746</v>
      </c>
      <c r="Q2488" t="s">
        <v>3771</v>
      </c>
      <c r="R2488" t="s">
        <v>446</v>
      </c>
      <c r="S2488" t="s">
        <v>446</v>
      </c>
      <c r="T2488" t="s">
        <v>1965</v>
      </c>
      <c r="U2488" t="b">
        <v>0</v>
      </c>
      <c r="V2488" t="s">
        <v>1962</v>
      </c>
    </row>
    <row r="2489" spans="1:22" x14ac:dyDescent="0.25">
      <c r="A2489" t="s">
        <v>42</v>
      </c>
      <c r="B2489">
        <v>307</v>
      </c>
      <c r="C2489" t="s">
        <v>1014</v>
      </c>
      <c r="D2489" t="s">
        <v>2679</v>
      </c>
      <c r="E2489" t="s">
        <v>1013</v>
      </c>
      <c r="F2489" t="s">
        <v>5831</v>
      </c>
      <c r="G2489" t="s">
        <v>24</v>
      </c>
      <c r="H2489" t="s">
        <v>26</v>
      </c>
      <c r="I2489" t="s">
        <v>3167</v>
      </c>
      <c r="J2489" t="s">
        <v>1016</v>
      </c>
      <c r="K2489" t="s">
        <v>3181</v>
      </c>
      <c r="L2489" t="s">
        <v>1016</v>
      </c>
      <c r="M2489" t="s">
        <v>980</v>
      </c>
      <c r="N2489" t="s">
        <v>1015</v>
      </c>
      <c r="O2489" t="s">
        <v>1015</v>
      </c>
      <c r="P2489" t="s">
        <v>1746</v>
      </c>
      <c r="Q2489" t="s">
        <v>3771</v>
      </c>
      <c r="R2489" t="s">
        <v>446</v>
      </c>
      <c r="S2489" t="s">
        <v>446</v>
      </c>
      <c r="T2489" t="s">
        <v>1965</v>
      </c>
      <c r="U2489" t="b">
        <v>0</v>
      </c>
      <c r="V2489" t="s">
        <v>1962</v>
      </c>
    </row>
    <row r="2490" spans="1:22" x14ac:dyDescent="0.25">
      <c r="A2490" t="s">
        <v>42</v>
      </c>
      <c r="B2490">
        <v>307</v>
      </c>
      <c r="C2490" t="s">
        <v>1019</v>
      </c>
      <c r="D2490" t="s">
        <v>2680</v>
      </c>
      <c r="E2490" t="s">
        <v>1018</v>
      </c>
      <c r="F2490" t="s">
        <v>5832</v>
      </c>
      <c r="G2490" t="s">
        <v>24</v>
      </c>
      <c r="H2490" t="s">
        <v>26</v>
      </c>
      <c r="I2490" t="s">
        <v>3167</v>
      </c>
      <c r="J2490" t="s">
        <v>1021</v>
      </c>
      <c r="K2490" t="s">
        <v>3183</v>
      </c>
      <c r="L2490" t="s">
        <v>1021</v>
      </c>
      <c r="M2490" t="s">
        <v>980</v>
      </c>
      <c r="N2490" t="s">
        <v>1020</v>
      </c>
      <c r="O2490" t="s">
        <v>1020</v>
      </c>
      <c r="P2490" t="s">
        <v>1746</v>
      </c>
      <c r="Q2490" t="s">
        <v>3771</v>
      </c>
      <c r="R2490" t="s">
        <v>446</v>
      </c>
      <c r="S2490" t="s">
        <v>446</v>
      </c>
      <c r="T2490" t="s">
        <v>1965</v>
      </c>
      <c r="U2490" t="b">
        <v>0</v>
      </c>
      <c r="V2490" t="s">
        <v>1962</v>
      </c>
    </row>
    <row r="2491" spans="1:22" x14ac:dyDescent="0.25">
      <c r="A2491" t="s">
        <v>42</v>
      </c>
      <c r="B2491">
        <v>307</v>
      </c>
      <c r="C2491" t="s">
        <v>1024</v>
      </c>
      <c r="D2491" t="s">
        <v>2681</v>
      </c>
      <c r="E2491" t="s">
        <v>1023</v>
      </c>
      <c r="F2491" t="s">
        <v>5833</v>
      </c>
      <c r="G2491" t="s">
        <v>24</v>
      </c>
      <c r="H2491" t="s">
        <v>26</v>
      </c>
      <c r="I2491" t="s">
        <v>3167</v>
      </c>
      <c r="J2491" t="s">
        <v>1026</v>
      </c>
      <c r="K2491" t="s">
        <v>3185</v>
      </c>
      <c r="L2491" t="s">
        <v>1026</v>
      </c>
      <c r="M2491" t="s">
        <v>1000</v>
      </c>
      <c r="N2491" t="s">
        <v>1025</v>
      </c>
      <c r="O2491" t="s">
        <v>1025</v>
      </c>
      <c r="P2491" t="s">
        <v>1746</v>
      </c>
      <c r="Q2491" t="s">
        <v>3771</v>
      </c>
      <c r="R2491" t="s">
        <v>446</v>
      </c>
      <c r="S2491" t="s">
        <v>446</v>
      </c>
      <c r="T2491" t="s">
        <v>1965</v>
      </c>
      <c r="U2491" t="b">
        <v>0</v>
      </c>
      <c r="V2491" t="s">
        <v>1962</v>
      </c>
    </row>
    <row r="2492" spans="1:22" x14ac:dyDescent="0.25">
      <c r="A2492" t="s">
        <v>42</v>
      </c>
      <c r="B2492">
        <v>307</v>
      </c>
      <c r="C2492" t="s">
        <v>1028</v>
      </c>
      <c r="D2492" t="s">
        <v>5834</v>
      </c>
      <c r="E2492" t="s">
        <v>1010</v>
      </c>
      <c r="F2492" t="s">
        <v>5830</v>
      </c>
      <c r="G2492" t="s">
        <v>24</v>
      </c>
      <c r="H2492" t="s">
        <v>26</v>
      </c>
      <c r="I2492" t="s">
        <v>3167</v>
      </c>
      <c r="J2492" t="s">
        <v>1026</v>
      </c>
      <c r="K2492" t="s">
        <v>3185</v>
      </c>
      <c r="L2492" t="s">
        <v>1026</v>
      </c>
      <c r="M2492" t="s">
        <v>1000</v>
      </c>
      <c r="N2492" t="s">
        <v>1025</v>
      </c>
      <c r="O2492" t="s">
        <v>1025</v>
      </c>
      <c r="P2492" t="s">
        <v>1746</v>
      </c>
      <c r="Q2492" t="s">
        <v>3771</v>
      </c>
      <c r="R2492" t="s">
        <v>446</v>
      </c>
      <c r="S2492" t="s">
        <v>446</v>
      </c>
      <c r="T2492" t="s">
        <v>1965</v>
      </c>
      <c r="U2492" t="b">
        <v>0</v>
      </c>
      <c r="V2492" t="s">
        <v>446</v>
      </c>
    </row>
    <row r="2493" spans="1:22" x14ac:dyDescent="0.25">
      <c r="A2493" t="s">
        <v>42</v>
      </c>
      <c r="B2493">
        <v>307</v>
      </c>
      <c r="C2493" t="s">
        <v>1030</v>
      </c>
      <c r="D2493" t="s">
        <v>2682</v>
      </c>
      <c r="E2493" t="s">
        <v>1029</v>
      </c>
      <c r="F2493" t="s">
        <v>5835</v>
      </c>
      <c r="G2493" t="s">
        <v>24</v>
      </c>
      <c r="H2493" t="s">
        <v>26</v>
      </c>
      <c r="I2493" t="s">
        <v>3167</v>
      </c>
      <c r="J2493" t="s">
        <v>1033</v>
      </c>
      <c r="K2493" t="s">
        <v>3189</v>
      </c>
      <c r="L2493" t="s">
        <v>1033</v>
      </c>
      <c r="M2493" t="s">
        <v>980</v>
      </c>
      <c r="N2493" t="s">
        <v>1031</v>
      </c>
      <c r="O2493" t="s">
        <v>1031</v>
      </c>
      <c r="P2493" t="s">
        <v>1746</v>
      </c>
      <c r="Q2493" t="s">
        <v>3771</v>
      </c>
      <c r="R2493" t="s">
        <v>446</v>
      </c>
      <c r="S2493" t="s">
        <v>446</v>
      </c>
      <c r="T2493" t="s">
        <v>1965</v>
      </c>
      <c r="U2493" t="b">
        <v>0</v>
      </c>
      <c r="V2493" t="s">
        <v>1962</v>
      </c>
    </row>
    <row r="2494" spans="1:22" x14ac:dyDescent="0.25">
      <c r="A2494" t="s">
        <v>42</v>
      </c>
      <c r="B2494">
        <v>307</v>
      </c>
      <c r="C2494" t="s">
        <v>1036</v>
      </c>
      <c r="D2494" t="s">
        <v>2683</v>
      </c>
      <c r="E2494" t="s">
        <v>1035</v>
      </c>
      <c r="F2494" t="s">
        <v>5836</v>
      </c>
      <c r="G2494" t="s">
        <v>24</v>
      </c>
      <c r="H2494" t="s">
        <v>26</v>
      </c>
      <c r="I2494" t="s">
        <v>3167</v>
      </c>
      <c r="J2494" t="s">
        <v>1038</v>
      </c>
      <c r="K2494" t="s">
        <v>3191</v>
      </c>
      <c r="L2494" t="s">
        <v>1038</v>
      </c>
      <c r="M2494" t="s">
        <v>980</v>
      </c>
      <c r="N2494" t="s">
        <v>1037</v>
      </c>
      <c r="O2494" t="s">
        <v>1037</v>
      </c>
      <c r="P2494" t="s">
        <v>1746</v>
      </c>
      <c r="Q2494" t="s">
        <v>3771</v>
      </c>
      <c r="R2494" t="s">
        <v>446</v>
      </c>
      <c r="S2494" t="s">
        <v>446</v>
      </c>
      <c r="T2494" t="s">
        <v>1965</v>
      </c>
      <c r="U2494" t="b">
        <v>0</v>
      </c>
      <c r="V2494" t="s">
        <v>1962</v>
      </c>
    </row>
    <row r="2495" spans="1:22" x14ac:dyDescent="0.25">
      <c r="A2495" t="s">
        <v>42</v>
      </c>
      <c r="B2495">
        <v>307</v>
      </c>
      <c r="C2495" t="s">
        <v>1041</v>
      </c>
      <c r="D2495" t="s">
        <v>2684</v>
      </c>
      <c r="E2495" t="s">
        <v>1040</v>
      </c>
      <c r="F2495" t="s">
        <v>5837</v>
      </c>
      <c r="G2495" t="s">
        <v>24</v>
      </c>
      <c r="H2495" t="s">
        <v>26</v>
      </c>
      <c r="I2495" t="s">
        <v>3167</v>
      </c>
      <c r="J2495" t="s">
        <v>1043</v>
      </c>
      <c r="K2495" t="s">
        <v>3193</v>
      </c>
      <c r="L2495" t="s">
        <v>1043</v>
      </c>
      <c r="M2495" t="s">
        <v>980</v>
      </c>
      <c r="N2495" t="s">
        <v>1042</v>
      </c>
      <c r="O2495" t="s">
        <v>1042</v>
      </c>
      <c r="P2495" t="s">
        <v>1746</v>
      </c>
      <c r="Q2495" t="s">
        <v>3771</v>
      </c>
      <c r="R2495" t="s">
        <v>446</v>
      </c>
      <c r="S2495" t="s">
        <v>446</v>
      </c>
      <c r="T2495" t="s">
        <v>1965</v>
      </c>
      <c r="U2495" t="b">
        <v>0</v>
      </c>
      <c r="V2495" t="s">
        <v>1962</v>
      </c>
    </row>
    <row r="2496" spans="1:22" x14ac:dyDescent="0.25">
      <c r="A2496" t="s">
        <v>42</v>
      </c>
      <c r="B2496">
        <v>307</v>
      </c>
      <c r="C2496" t="s">
        <v>1046</v>
      </c>
      <c r="D2496" t="s">
        <v>2685</v>
      </c>
      <c r="E2496" t="s">
        <v>1045</v>
      </c>
      <c r="F2496" t="s">
        <v>5838</v>
      </c>
      <c r="G2496" t="s">
        <v>24</v>
      </c>
      <c r="H2496" t="s">
        <v>26</v>
      </c>
      <c r="I2496" t="s">
        <v>3167</v>
      </c>
      <c r="J2496" t="s">
        <v>1048</v>
      </c>
      <c r="K2496" t="s">
        <v>3195</v>
      </c>
      <c r="L2496" t="s">
        <v>1048</v>
      </c>
      <c r="M2496" t="s">
        <v>1000</v>
      </c>
      <c r="N2496" t="s">
        <v>1047</v>
      </c>
      <c r="O2496" t="s">
        <v>1047</v>
      </c>
      <c r="P2496" t="s">
        <v>1746</v>
      </c>
      <c r="Q2496" t="s">
        <v>3771</v>
      </c>
      <c r="R2496" t="s">
        <v>446</v>
      </c>
      <c r="S2496" t="s">
        <v>446</v>
      </c>
      <c r="T2496" t="s">
        <v>1965</v>
      </c>
      <c r="U2496" t="b">
        <v>0</v>
      </c>
      <c r="V2496" t="s">
        <v>1962</v>
      </c>
    </row>
    <row r="2497" spans="1:22" x14ac:dyDescent="0.25">
      <c r="A2497" t="s">
        <v>42</v>
      </c>
      <c r="B2497">
        <v>307</v>
      </c>
      <c r="C2497" t="s">
        <v>1050</v>
      </c>
      <c r="D2497" t="s">
        <v>5839</v>
      </c>
      <c r="E2497" t="s">
        <v>1032</v>
      </c>
      <c r="F2497" t="s">
        <v>5835</v>
      </c>
      <c r="G2497" t="s">
        <v>24</v>
      </c>
      <c r="H2497" t="s">
        <v>26</v>
      </c>
      <c r="I2497" t="s">
        <v>3167</v>
      </c>
      <c r="J2497" t="s">
        <v>1048</v>
      </c>
      <c r="K2497" t="s">
        <v>3195</v>
      </c>
      <c r="L2497" t="s">
        <v>1048</v>
      </c>
      <c r="M2497" t="s">
        <v>1000</v>
      </c>
      <c r="N2497" t="s">
        <v>1047</v>
      </c>
      <c r="O2497" t="s">
        <v>1047</v>
      </c>
      <c r="P2497" t="s">
        <v>1746</v>
      </c>
      <c r="Q2497" t="s">
        <v>3771</v>
      </c>
      <c r="R2497" t="s">
        <v>446</v>
      </c>
      <c r="S2497" t="s">
        <v>446</v>
      </c>
      <c r="T2497" t="s">
        <v>1965</v>
      </c>
      <c r="U2497" t="b">
        <v>0</v>
      </c>
      <c r="V2497" t="s">
        <v>446</v>
      </c>
    </row>
    <row r="2498" spans="1:22" x14ac:dyDescent="0.25">
      <c r="A2498" t="s">
        <v>42</v>
      </c>
      <c r="B2498">
        <v>307</v>
      </c>
      <c r="C2498" t="s">
        <v>1052</v>
      </c>
      <c r="D2498" t="s">
        <v>2686</v>
      </c>
      <c r="E2498" t="s">
        <v>1051</v>
      </c>
      <c r="F2498" t="s">
        <v>4133</v>
      </c>
      <c r="G2498" t="s">
        <v>24</v>
      </c>
      <c r="H2498" t="s">
        <v>26</v>
      </c>
      <c r="I2498" t="s">
        <v>3167</v>
      </c>
      <c r="J2498" t="s">
        <v>1055</v>
      </c>
      <c r="K2498" t="s">
        <v>3199</v>
      </c>
      <c r="L2498" t="s">
        <v>1055</v>
      </c>
      <c r="M2498" t="s">
        <v>980</v>
      </c>
      <c r="N2498" t="s">
        <v>1053</v>
      </c>
      <c r="O2498" t="s">
        <v>1053</v>
      </c>
      <c r="P2498" t="s">
        <v>1746</v>
      </c>
      <c r="Q2498" t="s">
        <v>3771</v>
      </c>
      <c r="R2498" t="s">
        <v>446</v>
      </c>
      <c r="S2498" t="s">
        <v>446</v>
      </c>
      <c r="T2498" t="s">
        <v>1965</v>
      </c>
      <c r="U2498" t="b">
        <v>0</v>
      </c>
      <c r="V2498" t="s">
        <v>1962</v>
      </c>
    </row>
    <row r="2499" spans="1:22" x14ac:dyDescent="0.25">
      <c r="A2499" t="s">
        <v>42</v>
      </c>
      <c r="B2499">
        <v>308</v>
      </c>
      <c r="C2499" t="s">
        <v>979</v>
      </c>
      <c r="D2499" t="s">
        <v>5840</v>
      </c>
      <c r="E2499" t="s">
        <v>978</v>
      </c>
      <c r="F2499" t="s">
        <v>5826</v>
      </c>
      <c r="G2499" t="s">
        <v>24</v>
      </c>
      <c r="H2499" t="s">
        <v>26</v>
      </c>
      <c r="I2499" t="s">
        <v>3167</v>
      </c>
      <c r="J2499" t="s">
        <v>984</v>
      </c>
      <c r="K2499" t="s">
        <v>3168</v>
      </c>
      <c r="L2499" t="s">
        <v>984</v>
      </c>
      <c r="M2499" t="s">
        <v>980</v>
      </c>
      <c r="N2499" t="s">
        <v>981</v>
      </c>
      <c r="O2499" t="s">
        <v>981</v>
      </c>
      <c r="P2499" t="s">
        <v>1089</v>
      </c>
      <c r="Q2499" t="s">
        <v>3169</v>
      </c>
      <c r="R2499" t="s">
        <v>446</v>
      </c>
      <c r="S2499" t="s">
        <v>446</v>
      </c>
      <c r="T2499" t="s">
        <v>1965</v>
      </c>
      <c r="U2499" t="b">
        <v>0</v>
      </c>
      <c r="V2499" t="s">
        <v>446</v>
      </c>
    </row>
    <row r="2500" spans="1:22" x14ac:dyDescent="0.25">
      <c r="A2500" t="s">
        <v>42</v>
      </c>
      <c r="B2500">
        <v>308</v>
      </c>
      <c r="C2500" t="s">
        <v>987</v>
      </c>
      <c r="D2500" t="s">
        <v>5841</v>
      </c>
      <c r="E2500" t="s">
        <v>986</v>
      </c>
      <c r="G2500" t="s">
        <v>24</v>
      </c>
      <c r="H2500" t="s">
        <v>26</v>
      </c>
      <c r="I2500" t="s">
        <v>3167</v>
      </c>
      <c r="J2500" t="s">
        <v>990</v>
      </c>
      <c r="K2500" t="s">
        <v>3171</v>
      </c>
      <c r="L2500" t="s">
        <v>990</v>
      </c>
      <c r="M2500" t="s">
        <v>980</v>
      </c>
      <c r="N2500" t="s">
        <v>988</v>
      </c>
      <c r="O2500" t="s">
        <v>988</v>
      </c>
      <c r="P2500" t="s">
        <v>1089</v>
      </c>
      <c r="Q2500" t="s">
        <v>3169</v>
      </c>
      <c r="R2500" t="s">
        <v>446</v>
      </c>
      <c r="S2500" t="s">
        <v>446</v>
      </c>
      <c r="T2500" t="s">
        <v>1965</v>
      </c>
      <c r="U2500" t="b">
        <v>0</v>
      </c>
      <c r="V2500" t="s">
        <v>446</v>
      </c>
    </row>
    <row r="2501" spans="1:22" x14ac:dyDescent="0.25">
      <c r="A2501" t="s">
        <v>42</v>
      </c>
      <c r="B2501">
        <v>308</v>
      </c>
      <c r="C2501" t="s">
        <v>993</v>
      </c>
      <c r="D2501" t="s">
        <v>5842</v>
      </c>
      <c r="E2501" t="s">
        <v>992</v>
      </c>
      <c r="G2501" t="s">
        <v>24</v>
      </c>
      <c r="H2501" t="s">
        <v>26</v>
      </c>
      <c r="I2501" t="s">
        <v>3167</v>
      </c>
      <c r="J2501" t="s">
        <v>996</v>
      </c>
      <c r="K2501" t="s">
        <v>3173</v>
      </c>
      <c r="L2501" t="s">
        <v>996</v>
      </c>
      <c r="M2501" t="s">
        <v>980</v>
      </c>
      <c r="N2501" t="s">
        <v>994</v>
      </c>
      <c r="O2501" t="s">
        <v>994</v>
      </c>
      <c r="P2501" t="s">
        <v>1089</v>
      </c>
      <c r="Q2501" t="s">
        <v>3169</v>
      </c>
      <c r="R2501" t="s">
        <v>446</v>
      </c>
      <c r="S2501" t="s">
        <v>446</v>
      </c>
      <c r="T2501" t="s">
        <v>1965</v>
      </c>
      <c r="U2501" t="b">
        <v>0</v>
      </c>
      <c r="V2501" t="s">
        <v>446</v>
      </c>
    </row>
    <row r="2502" spans="1:22" x14ac:dyDescent="0.25">
      <c r="A2502" t="s">
        <v>42</v>
      </c>
      <c r="B2502">
        <v>308</v>
      </c>
      <c r="C2502" t="s">
        <v>999</v>
      </c>
      <c r="D2502" t="s">
        <v>5843</v>
      </c>
      <c r="E2502" t="s">
        <v>998</v>
      </c>
      <c r="G2502" t="s">
        <v>24</v>
      </c>
      <c r="H2502" t="s">
        <v>26</v>
      </c>
      <c r="I2502" t="s">
        <v>3167</v>
      </c>
      <c r="J2502" t="s">
        <v>1003</v>
      </c>
      <c r="K2502" t="s">
        <v>3175</v>
      </c>
      <c r="L2502" t="s">
        <v>1003</v>
      </c>
      <c r="M2502" t="s">
        <v>1000</v>
      </c>
      <c r="N2502" t="s">
        <v>1001</v>
      </c>
      <c r="O2502" t="s">
        <v>1001</v>
      </c>
      <c r="P2502" t="s">
        <v>1089</v>
      </c>
      <c r="Q2502" t="s">
        <v>3169</v>
      </c>
      <c r="R2502" t="s">
        <v>446</v>
      </c>
      <c r="S2502" t="s">
        <v>446</v>
      </c>
      <c r="T2502" t="s">
        <v>1965</v>
      </c>
      <c r="U2502" t="b">
        <v>0</v>
      </c>
      <c r="V2502" t="s">
        <v>446</v>
      </c>
    </row>
    <row r="2503" spans="1:22" x14ac:dyDescent="0.25">
      <c r="A2503" t="s">
        <v>42</v>
      </c>
      <c r="B2503">
        <v>308</v>
      </c>
      <c r="C2503" t="s">
        <v>1005</v>
      </c>
      <c r="D2503" t="s">
        <v>5844</v>
      </c>
      <c r="E2503" t="s">
        <v>982</v>
      </c>
      <c r="F2503" t="s">
        <v>5830</v>
      </c>
      <c r="G2503" t="s">
        <v>24</v>
      </c>
      <c r="H2503" t="s">
        <v>26</v>
      </c>
      <c r="I2503" t="s">
        <v>3167</v>
      </c>
      <c r="J2503" t="s">
        <v>1003</v>
      </c>
      <c r="K2503" t="s">
        <v>3175</v>
      </c>
      <c r="L2503" t="s">
        <v>1003</v>
      </c>
      <c r="M2503" t="s">
        <v>1000</v>
      </c>
      <c r="N2503" t="s">
        <v>1001</v>
      </c>
      <c r="O2503" t="s">
        <v>1001</v>
      </c>
      <c r="P2503" t="s">
        <v>1089</v>
      </c>
      <c r="Q2503" t="s">
        <v>3169</v>
      </c>
      <c r="R2503" t="s">
        <v>446</v>
      </c>
      <c r="S2503" t="s">
        <v>446</v>
      </c>
      <c r="T2503" t="s">
        <v>1965</v>
      </c>
      <c r="U2503" t="b">
        <v>0</v>
      </c>
      <c r="V2503" t="s">
        <v>446</v>
      </c>
    </row>
    <row r="2504" spans="1:22" x14ac:dyDescent="0.25">
      <c r="A2504" t="s">
        <v>42</v>
      </c>
      <c r="B2504">
        <v>308</v>
      </c>
      <c r="C2504" t="s">
        <v>1007</v>
      </c>
      <c r="D2504" t="s">
        <v>5845</v>
      </c>
      <c r="E2504" t="s">
        <v>1006</v>
      </c>
      <c r="F2504" t="s">
        <v>5846</v>
      </c>
      <c r="G2504" t="s">
        <v>24</v>
      </c>
      <c r="H2504" t="s">
        <v>26</v>
      </c>
      <c r="I2504" t="s">
        <v>3167</v>
      </c>
      <c r="J2504" t="s">
        <v>1011</v>
      </c>
      <c r="K2504" t="s">
        <v>3179</v>
      </c>
      <c r="L2504" t="s">
        <v>1011</v>
      </c>
      <c r="M2504" t="s">
        <v>1008</v>
      </c>
      <c r="N2504" t="s">
        <v>1009</v>
      </c>
      <c r="O2504" t="s">
        <v>1009</v>
      </c>
      <c r="P2504" t="s">
        <v>1089</v>
      </c>
      <c r="Q2504" t="s">
        <v>3169</v>
      </c>
      <c r="R2504" t="s">
        <v>446</v>
      </c>
      <c r="S2504" t="s">
        <v>446</v>
      </c>
      <c r="T2504" t="s">
        <v>1965</v>
      </c>
      <c r="U2504" t="b">
        <v>0</v>
      </c>
      <c r="V2504" t="s">
        <v>446</v>
      </c>
    </row>
    <row r="2505" spans="1:22" x14ac:dyDescent="0.25">
      <c r="A2505" t="s">
        <v>42</v>
      </c>
      <c r="B2505">
        <v>308</v>
      </c>
      <c r="C2505" t="s">
        <v>1014</v>
      </c>
      <c r="D2505" t="s">
        <v>5847</v>
      </c>
      <c r="E2505" t="s">
        <v>1013</v>
      </c>
      <c r="G2505" t="s">
        <v>24</v>
      </c>
      <c r="H2505" t="s">
        <v>26</v>
      </c>
      <c r="I2505" t="s">
        <v>3167</v>
      </c>
      <c r="J2505" t="s">
        <v>1016</v>
      </c>
      <c r="K2505" t="s">
        <v>3181</v>
      </c>
      <c r="L2505" t="s">
        <v>1016</v>
      </c>
      <c r="M2505" t="s">
        <v>980</v>
      </c>
      <c r="N2505" t="s">
        <v>1015</v>
      </c>
      <c r="O2505" t="s">
        <v>1015</v>
      </c>
      <c r="P2505" t="s">
        <v>1089</v>
      </c>
      <c r="Q2505" t="s">
        <v>3169</v>
      </c>
      <c r="R2505" t="s">
        <v>446</v>
      </c>
      <c r="S2505" t="s">
        <v>446</v>
      </c>
      <c r="T2505" t="s">
        <v>1965</v>
      </c>
      <c r="U2505" t="b">
        <v>0</v>
      </c>
      <c r="V2505" t="s">
        <v>446</v>
      </c>
    </row>
    <row r="2506" spans="1:22" x14ac:dyDescent="0.25">
      <c r="A2506" t="s">
        <v>42</v>
      </c>
      <c r="B2506">
        <v>308</v>
      </c>
      <c r="C2506" t="s">
        <v>1019</v>
      </c>
      <c r="D2506" t="s">
        <v>5848</v>
      </c>
      <c r="E2506" t="s">
        <v>1018</v>
      </c>
      <c r="G2506" t="s">
        <v>24</v>
      </c>
      <c r="H2506" t="s">
        <v>26</v>
      </c>
      <c r="I2506" t="s">
        <v>3167</v>
      </c>
      <c r="J2506" t="s">
        <v>1021</v>
      </c>
      <c r="K2506" t="s">
        <v>3183</v>
      </c>
      <c r="L2506" t="s">
        <v>1021</v>
      </c>
      <c r="M2506" t="s">
        <v>980</v>
      </c>
      <c r="N2506" t="s">
        <v>1020</v>
      </c>
      <c r="O2506" t="s">
        <v>1020</v>
      </c>
      <c r="P2506" t="s">
        <v>1089</v>
      </c>
      <c r="Q2506" t="s">
        <v>3169</v>
      </c>
      <c r="R2506" t="s">
        <v>446</v>
      </c>
      <c r="S2506" t="s">
        <v>446</v>
      </c>
      <c r="T2506" t="s">
        <v>1965</v>
      </c>
      <c r="U2506" t="b">
        <v>0</v>
      </c>
      <c r="V2506" t="s">
        <v>446</v>
      </c>
    </row>
    <row r="2507" spans="1:22" x14ac:dyDescent="0.25">
      <c r="A2507" t="s">
        <v>42</v>
      </c>
      <c r="B2507">
        <v>308</v>
      </c>
      <c r="C2507" t="s">
        <v>1024</v>
      </c>
      <c r="D2507" t="s">
        <v>5849</v>
      </c>
      <c r="E2507" t="s">
        <v>1023</v>
      </c>
      <c r="F2507" t="s">
        <v>5850</v>
      </c>
      <c r="G2507" t="s">
        <v>24</v>
      </c>
      <c r="H2507" t="s">
        <v>26</v>
      </c>
      <c r="I2507" t="s">
        <v>3167</v>
      </c>
      <c r="J2507" t="s">
        <v>1026</v>
      </c>
      <c r="K2507" t="s">
        <v>3185</v>
      </c>
      <c r="L2507" t="s">
        <v>1026</v>
      </c>
      <c r="M2507" t="s">
        <v>1000</v>
      </c>
      <c r="N2507" t="s">
        <v>1025</v>
      </c>
      <c r="O2507" t="s">
        <v>1025</v>
      </c>
      <c r="P2507" t="s">
        <v>1089</v>
      </c>
      <c r="Q2507" t="s">
        <v>3169</v>
      </c>
      <c r="R2507" t="s">
        <v>446</v>
      </c>
      <c r="S2507" t="s">
        <v>446</v>
      </c>
      <c r="T2507" t="s">
        <v>1965</v>
      </c>
      <c r="U2507" t="b">
        <v>0</v>
      </c>
      <c r="V2507" t="s">
        <v>446</v>
      </c>
    </row>
    <row r="2508" spans="1:22" x14ac:dyDescent="0.25">
      <c r="A2508" t="s">
        <v>42</v>
      </c>
      <c r="B2508">
        <v>308</v>
      </c>
      <c r="C2508" t="s">
        <v>1028</v>
      </c>
      <c r="D2508" t="s">
        <v>5851</v>
      </c>
      <c r="E2508" t="s">
        <v>1010</v>
      </c>
      <c r="F2508" t="s">
        <v>5852</v>
      </c>
      <c r="G2508" t="s">
        <v>24</v>
      </c>
      <c r="H2508" t="s">
        <v>26</v>
      </c>
      <c r="I2508" t="s">
        <v>3167</v>
      </c>
      <c r="J2508" t="s">
        <v>1026</v>
      </c>
      <c r="K2508" t="s">
        <v>3185</v>
      </c>
      <c r="L2508" t="s">
        <v>1026</v>
      </c>
      <c r="M2508" t="s">
        <v>1000</v>
      </c>
      <c r="N2508" t="s">
        <v>1025</v>
      </c>
      <c r="O2508" t="s">
        <v>1025</v>
      </c>
      <c r="P2508" t="s">
        <v>1089</v>
      </c>
      <c r="Q2508" t="s">
        <v>3169</v>
      </c>
      <c r="R2508" t="s">
        <v>446</v>
      </c>
      <c r="S2508" t="s">
        <v>446</v>
      </c>
      <c r="T2508" t="s">
        <v>1965</v>
      </c>
      <c r="U2508" t="b">
        <v>0</v>
      </c>
      <c r="V2508" t="s">
        <v>446</v>
      </c>
    </row>
    <row r="2509" spans="1:22" x14ac:dyDescent="0.25">
      <c r="A2509" t="s">
        <v>42</v>
      </c>
      <c r="B2509">
        <v>308</v>
      </c>
      <c r="C2509" t="s">
        <v>1030</v>
      </c>
      <c r="D2509" t="s">
        <v>5853</v>
      </c>
      <c r="E2509" t="s">
        <v>1029</v>
      </c>
      <c r="F2509" t="s">
        <v>5854</v>
      </c>
      <c r="G2509" t="s">
        <v>24</v>
      </c>
      <c r="H2509" t="s">
        <v>26</v>
      </c>
      <c r="I2509" t="s">
        <v>3167</v>
      </c>
      <c r="J2509" t="s">
        <v>1033</v>
      </c>
      <c r="K2509" t="s">
        <v>3189</v>
      </c>
      <c r="L2509" t="s">
        <v>1033</v>
      </c>
      <c r="M2509" t="s">
        <v>980</v>
      </c>
      <c r="N2509" t="s">
        <v>1031</v>
      </c>
      <c r="O2509" t="s">
        <v>1031</v>
      </c>
      <c r="P2509" t="s">
        <v>1089</v>
      </c>
      <c r="Q2509" t="s">
        <v>3169</v>
      </c>
      <c r="R2509" t="s">
        <v>446</v>
      </c>
      <c r="S2509" t="s">
        <v>446</v>
      </c>
      <c r="T2509" t="s">
        <v>1965</v>
      </c>
      <c r="U2509" t="b">
        <v>0</v>
      </c>
      <c r="V2509" t="s">
        <v>446</v>
      </c>
    </row>
    <row r="2510" spans="1:22" x14ac:dyDescent="0.25">
      <c r="A2510" t="s">
        <v>42</v>
      </c>
      <c r="B2510">
        <v>308</v>
      </c>
      <c r="C2510" t="s">
        <v>1036</v>
      </c>
      <c r="D2510" t="s">
        <v>5855</v>
      </c>
      <c r="E2510" t="s">
        <v>1035</v>
      </c>
      <c r="F2510" t="s">
        <v>5856</v>
      </c>
      <c r="G2510" t="s">
        <v>24</v>
      </c>
      <c r="H2510" t="s">
        <v>26</v>
      </c>
      <c r="I2510" t="s">
        <v>3167</v>
      </c>
      <c r="J2510" t="s">
        <v>1038</v>
      </c>
      <c r="K2510" t="s">
        <v>3191</v>
      </c>
      <c r="L2510" t="s">
        <v>1038</v>
      </c>
      <c r="M2510" t="s">
        <v>980</v>
      </c>
      <c r="N2510" t="s">
        <v>1037</v>
      </c>
      <c r="O2510" t="s">
        <v>1037</v>
      </c>
      <c r="P2510" t="s">
        <v>1089</v>
      </c>
      <c r="Q2510" t="s">
        <v>3169</v>
      </c>
      <c r="R2510" t="s">
        <v>446</v>
      </c>
      <c r="S2510" t="s">
        <v>446</v>
      </c>
      <c r="T2510" t="s">
        <v>1965</v>
      </c>
      <c r="U2510" t="b">
        <v>0</v>
      </c>
      <c r="V2510" t="s">
        <v>446</v>
      </c>
    </row>
    <row r="2511" spans="1:22" x14ac:dyDescent="0.25">
      <c r="A2511" t="s">
        <v>42</v>
      </c>
      <c r="B2511">
        <v>308</v>
      </c>
      <c r="C2511" t="s">
        <v>1041</v>
      </c>
      <c r="D2511" t="s">
        <v>5857</v>
      </c>
      <c r="E2511" t="s">
        <v>1040</v>
      </c>
      <c r="F2511" t="s">
        <v>3307</v>
      </c>
      <c r="G2511" t="s">
        <v>24</v>
      </c>
      <c r="H2511" t="s">
        <v>26</v>
      </c>
      <c r="I2511" t="s">
        <v>3167</v>
      </c>
      <c r="J2511" t="s">
        <v>1043</v>
      </c>
      <c r="K2511" t="s">
        <v>3193</v>
      </c>
      <c r="L2511" t="s">
        <v>1043</v>
      </c>
      <c r="M2511" t="s">
        <v>980</v>
      </c>
      <c r="N2511" t="s">
        <v>1042</v>
      </c>
      <c r="O2511" t="s">
        <v>1042</v>
      </c>
      <c r="P2511" t="s">
        <v>1089</v>
      </c>
      <c r="Q2511" t="s">
        <v>3169</v>
      </c>
      <c r="R2511" t="s">
        <v>446</v>
      </c>
      <c r="S2511" t="s">
        <v>446</v>
      </c>
      <c r="T2511" t="s">
        <v>1965</v>
      </c>
      <c r="U2511" t="b">
        <v>0</v>
      </c>
      <c r="V2511" t="s">
        <v>446</v>
      </c>
    </row>
    <row r="2512" spans="1:22" x14ac:dyDescent="0.25">
      <c r="A2512" t="s">
        <v>42</v>
      </c>
      <c r="B2512">
        <v>308</v>
      </c>
      <c r="C2512" t="s">
        <v>1046</v>
      </c>
      <c r="D2512" t="s">
        <v>5858</v>
      </c>
      <c r="E2512" t="s">
        <v>1045</v>
      </c>
      <c r="F2512" t="s">
        <v>5859</v>
      </c>
      <c r="G2512" t="s">
        <v>24</v>
      </c>
      <c r="H2512" t="s">
        <v>26</v>
      </c>
      <c r="I2512" t="s">
        <v>3167</v>
      </c>
      <c r="J2512" t="s">
        <v>1048</v>
      </c>
      <c r="K2512" t="s">
        <v>3195</v>
      </c>
      <c r="L2512" t="s">
        <v>1048</v>
      </c>
      <c r="M2512" t="s">
        <v>1000</v>
      </c>
      <c r="N2512" t="s">
        <v>1047</v>
      </c>
      <c r="O2512" t="s">
        <v>1047</v>
      </c>
      <c r="P2512" t="s">
        <v>1089</v>
      </c>
      <c r="Q2512" t="s">
        <v>3169</v>
      </c>
      <c r="R2512" t="s">
        <v>446</v>
      </c>
      <c r="S2512" t="s">
        <v>446</v>
      </c>
      <c r="T2512" t="s">
        <v>1965</v>
      </c>
      <c r="U2512" t="b">
        <v>0</v>
      </c>
      <c r="V2512" t="s">
        <v>446</v>
      </c>
    </row>
    <row r="2513" spans="1:22" x14ac:dyDescent="0.25">
      <c r="A2513" t="s">
        <v>42</v>
      </c>
      <c r="B2513">
        <v>308</v>
      </c>
      <c r="C2513" t="s">
        <v>1050</v>
      </c>
      <c r="D2513" t="s">
        <v>5860</v>
      </c>
      <c r="E2513" t="s">
        <v>1032</v>
      </c>
      <c r="F2513" t="s">
        <v>5861</v>
      </c>
      <c r="G2513" t="s">
        <v>24</v>
      </c>
      <c r="H2513" t="s">
        <v>26</v>
      </c>
      <c r="I2513" t="s">
        <v>3167</v>
      </c>
      <c r="J2513" t="s">
        <v>1048</v>
      </c>
      <c r="K2513" t="s">
        <v>3195</v>
      </c>
      <c r="L2513" t="s">
        <v>1048</v>
      </c>
      <c r="M2513" t="s">
        <v>1000</v>
      </c>
      <c r="N2513" t="s">
        <v>1047</v>
      </c>
      <c r="O2513" t="s">
        <v>1047</v>
      </c>
      <c r="P2513" t="s">
        <v>1089</v>
      </c>
      <c r="Q2513" t="s">
        <v>3169</v>
      </c>
      <c r="R2513" t="s">
        <v>446</v>
      </c>
      <c r="S2513" t="s">
        <v>446</v>
      </c>
      <c r="T2513" t="s">
        <v>1965</v>
      </c>
      <c r="U2513" t="b">
        <v>0</v>
      </c>
      <c r="V2513" t="s">
        <v>446</v>
      </c>
    </row>
    <row r="2514" spans="1:22" x14ac:dyDescent="0.25">
      <c r="A2514" t="s">
        <v>42</v>
      </c>
      <c r="B2514">
        <v>308</v>
      </c>
      <c r="C2514" t="s">
        <v>1052</v>
      </c>
      <c r="D2514" t="s">
        <v>5862</v>
      </c>
      <c r="E2514" t="s">
        <v>1051</v>
      </c>
      <c r="G2514" t="s">
        <v>24</v>
      </c>
      <c r="H2514" t="s">
        <v>26</v>
      </c>
      <c r="I2514" t="s">
        <v>3167</v>
      </c>
      <c r="J2514" t="s">
        <v>1055</v>
      </c>
      <c r="K2514" t="s">
        <v>3199</v>
      </c>
      <c r="L2514" t="s">
        <v>1055</v>
      </c>
      <c r="M2514" t="s">
        <v>980</v>
      </c>
      <c r="N2514" t="s">
        <v>1053</v>
      </c>
      <c r="O2514" t="s">
        <v>1053</v>
      </c>
      <c r="P2514" t="s">
        <v>1089</v>
      </c>
      <c r="Q2514" t="s">
        <v>3169</v>
      </c>
      <c r="R2514" t="s">
        <v>446</v>
      </c>
      <c r="S2514" t="s">
        <v>446</v>
      </c>
      <c r="T2514" t="s">
        <v>1965</v>
      </c>
      <c r="U2514" t="b">
        <v>0</v>
      </c>
      <c r="V2514" t="s">
        <v>446</v>
      </c>
    </row>
    <row r="2515" spans="1:22" x14ac:dyDescent="0.25">
      <c r="A2515" t="s">
        <v>42</v>
      </c>
      <c r="B2515">
        <v>309</v>
      </c>
      <c r="C2515" t="s">
        <v>979</v>
      </c>
      <c r="D2515" t="s">
        <v>5863</v>
      </c>
      <c r="E2515" t="s">
        <v>978</v>
      </c>
      <c r="G2515" t="s">
        <v>24</v>
      </c>
      <c r="H2515" t="s">
        <v>26</v>
      </c>
      <c r="I2515" t="s">
        <v>3167</v>
      </c>
      <c r="J2515" t="s">
        <v>984</v>
      </c>
      <c r="K2515" t="s">
        <v>3168</v>
      </c>
      <c r="L2515" t="s">
        <v>984</v>
      </c>
      <c r="M2515" t="s">
        <v>980</v>
      </c>
      <c r="N2515" t="s">
        <v>981</v>
      </c>
      <c r="O2515" t="s">
        <v>981</v>
      </c>
      <c r="P2515" t="s">
        <v>1089</v>
      </c>
      <c r="Q2515" t="s">
        <v>3169</v>
      </c>
      <c r="R2515" t="s">
        <v>446</v>
      </c>
      <c r="S2515" t="s">
        <v>446</v>
      </c>
      <c r="T2515" t="s">
        <v>1965</v>
      </c>
      <c r="U2515" t="b">
        <v>0</v>
      </c>
      <c r="V2515" t="s">
        <v>446</v>
      </c>
    </row>
    <row r="2516" spans="1:22" x14ac:dyDescent="0.25">
      <c r="A2516" t="s">
        <v>42</v>
      </c>
      <c r="B2516">
        <v>309</v>
      </c>
      <c r="C2516" t="s">
        <v>987</v>
      </c>
      <c r="D2516" t="s">
        <v>5864</v>
      </c>
      <c r="E2516" t="s">
        <v>986</v>
      </c>
      <c r="F2516" t="s">
        <v>5865</v>
      </c>
      <c r="G2516" t="s">
        <v>24</v>
      </c>
      <c r="H2516" t="s">
        <v>26</v>
      </c>
      <c r="I2516" t="s">
        <v>3167</v>
      </c>
      <c r="J2516" t="s">
        <v>990</v>
      </c>
      <c r="K2516" t="s">
        <v>3171</v>
      </c>
      <c r="L2516" t="s">
        <v>990</v>
      </c>
      <c r="M2516" t="s">
        <v>980</v>
      </c>
      <c r="N2516" t="s">
        <v>988</v>
      </c>
      <c r="O2516" t="s">
        <v>988</v>
      </c>
      <c r="P2516" t="s">
        <v>1089</v>
      </c>
      <c r="Q2516" t="s">
        <v>3169</v>
      </c>
      <c r="R2516" t="s">
        <v>446</v>
      </c>
      <c r="S2516" t="s">
        <v>446</v>
      </c>
      <c r="T2516" t="s">
        <v>1965</v>
      </c>
      <c r="U2516" t="b">
        <v>0</v>
      </c>
      <c r="V2516" t="s">
        <v>446</v>
      </c>
    </row>
    <row r="2517" spans="1:22" x14ac:dyDescent="0.25">
      <c r="A2517" t="s">
        <v>42</v>
      </c>
      <c r="B2517">
        <v>309</v>
      </c>
      <c r="C2517" t="s">
        <v>993</v>
      </c>
      <c r="D2517" t="s">
        <v>5866</v>
      </c>
      <c r="E2517" t="s">
        <v>992</v>
      </c>
      <c r="F2517" t="s">
        <v>5867</v>
      </c>
      <c r="G2517" t="s">
        <v>24</v>
      </c>
      <c r="H2517" t="s">
        <v>26</v>
      </c>
      <c r="I2517" t="s">
        <v>3167</v>
      </c>
      <c r="J2517" t="s">
        <v>996</v>
      </c>
      <c r="K2517" t="s">
        <v>3173</v>
      </c>
      <c r="L2517" t="s">
        <v>996</v>
      </c>
      <c r="M2517" t="s">
        <v>980</v>
      </c>
      <c r="N2517" t="s">
        <v>994</v>
      </c>
      <c r="O2517" t="s">
        <v>994</v>
      </c>
      <c r="P2517" t="s">
        <v>1089</v>
      </c>
      <c r="Q2517" t="s">
        <v>3169</v>
      </c>
      <c r="R2517" t="s">
        <v>446</v>
      </c>
      <c r="S2517" t="s">
        <v>446</v>
      </c>
      <c r="T2517" t="s">
        <v>1965</v>
      </c>
      <c r="U2517" t="b">
        <v>0</v>
      </c>
      <c r="V2517" t="s">
        <v>446</v>
      </c>
    </row>
    <row r="2518" spans="1:22" x14ac:dyDescent="0.25">
      <c r="A2518" t="s">
        <v>42</v>
      </c>
      <c r="B2518">
        <v>309</v>
      </c>
      <c r="C2518" t="s">
        <v>999</v>
      </c>
      <c r="D2518" t="s">
        <v>5868</v>
      </c>
      <c r="E2518" t="s">
        <v>998</v>
      </c>
      <c r="F2518" t="s">
        <v>5869</v>
      </c>
      <c r="G2518" t="s">
        <v>24</v>
      </c>
      <c r="H2518" t="s">
        <v>26</v>
      </c>
      <c r="I2518" t="s">
        <v>3167</v>
      </c>
      <c r="J2518" t="s">
        <v>1003</v>
      </c>
      <c r="K2518" t="s">
        <v>3175</v>
      </c>
      <c r="L2518" t="s">
        <v>1003</v>
      </c>
      <c r="M2518" t="s">
        <v>1000</v>
      </c>
      <c r="N2518" t="s">
        <v>1001</v>
      </c>
      <c r="O2518" t="s">
        <v>1001</v>
      </c>
      <c r="P2518" t="s">
        <v>1089</v>
      </c>
      <c r="Q2518" t="s">
        <v>3169</v>
      </c>
      <c r="R2518" t="s">
        <v>446</v>
      </c>
      <c r="S2518" t="s">
        <v>446</v>
      </c>
      <c r="T2518" t="s">
        <v>1965</v>
      </c>
      <c r="U2518" t="b">
        <v>0</v>
      </c>
      <c r="V2518" t="s">
        <v>446</v>
      </c>
    </row>
    <row r="2519" spans="1:22" x14ac:dyDescent="0.25">
      <c r="A2519" t="s">
        <v>42</v>
      </c>
      <c r="B2519">
        <v>309</v>
      </c>
      <c r="C2519" t="s">
        <v>1005</v>
      </c>
      <c r="D2519" t="s">
        <v>5870</v>
      </c>
      <c r="E2519" t="s">
        <v>982</v>
      </c>
      <c r="G2519" t="s">
        <v>24</v>
      </c>
      <c r="H2519" t="s">
        <v>26</v>
      </c>
      <c r="I2519" t="s">
        <v>3167</v>
      </c>
      <c r="J2519" t="s">
        <v>1003</v>
      </c>
      <c r="K2519" t="s">
        <v>3175</v>
      </c>
      <c r="L2519" t="s">
        <v>1003</v>
      </c>
      <c r="M2519" t="s">
        <v>1000</v>
      </c>
      <c r="N2519" t="s">
        <v>1001</v>
      </c>
      <c r="O2519" t="s">
        <v>1001</v>
      </c>
      <c r="P2519" t="s">
        <v>1089</v>
      </c>
      <c r="Q2519" t="s">
        <v>3169</v>
      </c>
      <c r="R2519" t="s">
        <v>446</v>
      </c>
      <c r="S2519" t="s">
        <v>446</v>
      </c>
      <c r="T2519" t="s">
        <v>1965</v>
      </c>
      <c r="U2519" t="b">
        <v>0</v>
      </c>
      <c r="V2519" t="s">
        <v>446</v>
      </c>
    </row>
    <row r="2520" spans="1:22" x14ac:dyDescent="0.25">
      <c r="A2520" t="s">
        <v>42</v>
      </c>
      <c r="B2520">
        <v>309</v>
      </c>
      <c r="C2520" t="s">
        <v>1007</v>
      </c>
      <c r="D2520" t="s">
        <v>5871</v>
      </c>
      <c r="E2520" t="s">
        <v>1006</v>
      </c>
      <c r="G2520" t="s">
        <v>24</v>
      </c>
      <c r="H2520" t="s">
        <v>26</v>
      </c>
      <c r="I2520" t="s">
        <v>3167</v>
      </c>
      <c r="J2520" t="s">
        <v>1011</v>
      </c>
      <c r="K2520" t="s">
        <v>3179</v>
      </c>
      <c r="L2520" t="s">
        <v>1011</v>
      </c>
      <c r="M2520" t="s">
        <v>1008</v>
      </c>
      <c r="N2520" t="s">
        <v>1009</v>
      </c>
      <c r="O2520" t="s">
        <v>1009</v>
      </c>
      <c r="P2520" t="s">
        <v>1089</v>
      </c>
      <c r="Q2520" t="s">
        <v>3169</v>
      </c>
      <c r="R2520" t="s">
        <v>446</v>
      </c>
      <c r="S2520" t="s">
        <v>446</v>
      </c>
      <c r="T2520" t="s">
        <v>1965</v>
      </c>
      <c r="U2520" t="b">
        <v>0</v>
      </c>
      <c r="V2520" t="s">
        <v>446</v>
      </c>
    </row>
    <row r="2521" spans="1:22" x14ac:dyDescent="0.25">
      <c r="A2521" t="s">
        <v>42</v>
      </c>
      <c r="B2521">
        <v>309</v>
      </c>
      <c r="C2521" t="s">
        <v>1014</v>
      </c>
      <c r="D2521" t="s">
        <v>5872</v>
      </c>
      <c r="E2521" t="s">
        <v>1013</v>
      </c>
      <c r="F2521" t="s">
        <v>5160</v>
      </c>
      <c r="G2521" t="s">
        <v>24</v>
      </c>
      <c r="H2521" t="s">
        <v>26</v>
      </c>
      <c r="I2521" t="s">
        <v>3167</v>
      </c>
      <c r="J2521" t="s">
        <v>1016</v>
      </c>
      <c r="K2521" t="s">
        <v>3181</v>
      </c>
      <c r="L2521" t="s">
        <v>1016</v>
      </c>
      <c r="M2521" t="s">
        <v>980</v>
      </c>
      <c r="N2521" t="s">
        <v>1015</v>
      </c>
      <c r="O2521" t="s">
        <v>1015</v>
      </c>
      <c r="P2521" t="s">
        <v>1089</v>
      </c>
      <c r="Q2521" t="s">
        <v>3169</v>
      </c>
      <c r="R2521" t="s">
        <v>446</v>
      </c>
      <c r="S2521" t="s">
        <v>446</v>
      </c>
      <c r="T2521" t="s">
        <v>1965</v>
      </c>
      <c r="U2521" t="b">
        <v>0</v>
      </c>
      <c r="V2521" t="s">
        <v>446</v>
      </c>
    </row>
    <row r="2522" spans="1:22" x14ac:dyDescent="0.25">
      <c r="A2522" t="s">
        <v>42</v>
      </c>
      <c r="B2522">
        <v>309</v>
      </c>
      <c r="C2522" t="s">
        <v>1019</v>
      </c>
      <c r="D2522" t="s">
        <v>5873</v>
      </c>
      <c r="E2522" t="s">
        <v>1018</v>
      </c>
      <c r="F2522" t="s">
        <v>5874</v>
      </c>
      <c r="G2522" t="s">
        <v>24</v>
      </c>
      <c r="H2522" t="s">
        <v>26</v>
      </c>
      <c r="I2522" t="s">
        <v>3167</v>
      </c>
      <c r="J2522" t="s">
        <v>1021</v>
      </c>
      <c r="K2522" t="s">
        <v>3183</v>
      </c>
      <c r="L2522" t="s">
        <v>1021</v>
      </c>
      <c r="M2522" t="s">
        <v>980</v>
      </c>
      <c r="N2522" t="s">
        <v>1020</v>
      </c>
      <c r="O2522" t="s">
        <v>1020</v>
      </c>
      <c r="P2522" t="s">
        <v>1089</v>
      </c>
      <c r="Q2522" t="s">
        <v>3169</v>
      </c>
      <c r="R2522" t="s">
        <v>446</v>
      </c>
      <c r="S2522" t="s">
        <v>446</v>
      </c>
      <c r="T2522" t="s">
        <v>1965</v>
      </c>
      <c r="U2522" t="b">
        <v>0</v>
      </c>
      <c r="V2522" t="s">
        <v>446</v>
      </c>
    </row>
    <row r="2523" spans="1:22" x14ac:dyDescent="0.25">
      <c r="A2523" t="s">
        <v>42</v>
      </c>
      <c r="B2523">
        <v>309</v>
      </c>
      <c r="C2523" t="s">
        <v>1024</v>
      </c>
      <c r="D2523" t="s">
        <v>5875</v>
      </c>
      <c r="E2523" t="s">
        <v>1023</v>
      </c>
      <c r="G2523" t="s">
        <v>24</v>
      </c>
      <c r="H2523" t="s">
        <v>26</v>
      </c>
      <c r="I2523" t="s">
        <v>3167</v>
      </c>
      <c r="J2523" t="s">
        <v>1026</v>
      </c>
      <c r="K2523" t="s">
        <v>3185</v>
      </c>
      <c r="L2523" t="s">
        <v>1026</v>
      </c>
      <c r="M2523" t="s">
        <v>1000</v>
      </c>
      <c r="N2523" t="s">
        <v>1025</v>
      </c>
      <c r="O2523" t="s">
        <v>1025</v>
      </c>
      <c r="P2523" t="s">
        <v>1089</v>
      </c>
      <c r="Q2523" t="s">
        <v>3169</v>
      </c>
      <c r="R2523" t="s">
        <v>446</v>
      </c>
      <c r="S2523" t="s">
        <v>446</v>
      </c>
      <c r="T2523" t="s">
        <v>1965</v>
      </c>
      <c r="U2523" t="b">
        <v>0</v>
      </c>
      <c r="V2523" t="s">
        <v>446</v>
      </c>
    </row>
    <row r="2524" spans="1:22" x14ac:dyDescent="0.25">
      <c r="A2524" t="s">
        <v>42</v>
      </c>
      <c r="B2524">
        <v>309</v>
      </c>
      <c r="C2524" t="s">
        <v>1028</v>
      </c>
      <c r="D2524" t="s">
        <v>5876</v>
      </c>
      <c r="E2524" t="s">
        <v>1010</v>
      </c>
      <c r="G2524" t="s">
        <v>24</v>
      </c>
      <c r="H2524" t="s">
        <v>26</v>
      </c>
      <c r="I2524" t="s">
        <v>3167</v>
      </c>
      <c r="J2524" t="s">
        <v>1026</v>
      </c>
      <c r="K2524" t="s">
        <v>3185</v>
      </c>
      <c r="L2524" t="s">
        <v>1026</v>
      </c>
      <c r="M2524" t="s">
        <v>1000</v>
      </c>
      <c r="N2524" t="s">
        <v>1025</v>
      </c>
      <c r="O2524" t="s">
        <v>1025</v>
      </c>
      <c r="P2524" t="s">
        <v>1089</v>
      </c>
      <c r="Q2524" t="s">
        <v>3169</v>
      </c>
      <c r="R2524" t="s">
        <v>446</v>
      </c>
      <c r="S2524" t="s">
        <v>446</v>
      </c>
      <c r="T2524" t="s">
        <v>1965</v>
      </c>
      <c r="U2524" t="b">
        <v>0</v>
      </c>
      <c r="V2524" t="s">
        <v>446</v>
      </c>
    </row>
    <row r="2525" spans="1:22" x14ac:dyDescent="0.25">
      <c r="A2525" t="s">
        <v>42</v>
      </c>
      <c r="B2525">
        <v>309</v>
      </c>
      <c r="C2525" t="s">
        <v>1030</v>
      </c>
      <c r="D2525" t="s">
        <v>5877</v>
      </c>
      <c r="E2525" t="s">
        <v>1029</v>
      </c>
      <c r="G2525" t="s">
        <v>24</v>
      </c>
      <c r="H2525" t="s">
        <v>26</v>
      </c>
      <c r="I2525" t="s">
        <v>3167</v>
      </c>
      <c r="J2525" t="s">
        <v>1033</v>
      </c>
      <c r="K2525" t="s">
        <v>3189</v>
      </c>
      <c r="L2525" t="s">
        <v>1033</v>
      </c>
      <c r="M2525" t="s">
        <v>980</v>
      </c>
      <c r="N2525" t="s">
        <v>1031</v>
      </c>
      <c r="O2525" t="s">
        <v>1031</v>
      </c>
      <c r="P2525" t="s">
        <v>1089</v>
      </c>
      <c r="Q2525" t="s">
        <v>3169</v>
      </c>
      <c r="R2525" t="s">
        <v>446</v>
      </c>
      <c r="S2525" t="s">
        <v>446</v>
      </c>
      <c r="T2525" t="s">
        <v>1965</v>
      </c>
      <c r="U2525" t="b">
        <v>0</v>
      </c>
      <c r="V2525" t="s">
        <v>446</v>
      </c>
    </row>
    <row r="2526" spans="1:22" x14ac:dyDescent="0.25">
      <c r="A2526" t="s">
        <v>42</v>
      </c>
      <c r="B2526">
        <v>309</v>
      </c>
      <c r="C2526" t="s">
        <v>1036</v>
      </c>
      <c r="D2526" t="s">
        <v>5878</v>
      </c>
      <c r="E2526" t="s">
        <v>1035</v>
      </c>
      <c r="G2526" t="s">
        <v>24</v>
      </c>
      <c r="H2526" t="s">
        <v>26</v>
      </c>
      <c r="I2526" t="s">
        <v>3167</v>
      </c>
      <c r="J2526" t="s">
        <v>1038</v>
      </c>
      <c r="K2526" t="s">
        <v>3191</v>
      </c>
      <c r="L2526" t="s">
        <v>1038</v>
      </c>
      <c r="M2526" t="s">
        <v>980</v>
      </c>
      <c r="N2526" t="s">
        <v>1037</v>
      </c>
      <c r="O2526" t="s">
        <v>1037</v>
      </c>
      <c r="P2526" t="s">
        <v>1089</v>
      </c>
      <c r="Q2526" t="s">
        <v>3169</v>
      </c>
      <c r="R2526" t="s">
        <v>446</v>
      </c>
      <c r="S2526" t="s">
        <v>446</v>
      </c>
      <c r="T2526" t="s">
        <v>1965</v>
      </c>
      <c r="U2526" t="b">
        <v>0</v>
      </c>
      <c r="V2526" t="s">
        <v>446</v>
      </c>
    </row>
    <row r="2527" spans="1:22" x14ac:dyDescent="0.25">
      <c r="A2527" t="s">
        <v>42</v>
      </c>
      <c r="B2527">
        <v>309</v>
      </c>
      <c r="C2527" t="s">
        <v>1041</v>
      </c>
      <c r="D2527" t="s">
        <v>5879</v>
      </c>
      <c r="E2527" t="s">
        <v>1040</v>
      </c>
      <c r="G2527" t="s">
        <v>24</v>
      </c>
      <c r="H2527" t="s">
        <v>26</v>
      </c>
      <c r="I2527" t="s">
        <v>3167</v>
      </c>
      <c r="J2527" t="s">
        <v>1043</v>
      </c>
      <c r="K2527" t="s">
        <v>3193</v>
      </c>
      <c r="L2527" t="s">
        <v>1043</v>
      </c>
      <c r="M2527" t="s">
        <v>980</v>
      </c>
      <c r="N2527" t="s">
        <v>1042</v>
      </c>
      <c r="O2527" t="s">
        <v>1042</v>
      </c>
      <c r="P2527" t="s">
        <v>1089</v>
      </c>
      <c r="Q2527" t="s">
        <v>3169</v>
      </c>
      <c r="R2527" t="s">
        <v>446</v>
      </c>
      <c r="S2527" t="s">
        <v>446</v>
      </c>
      <c r="T2527" t="s">
        <v>1965</v>
      </c>
      <c r="U2527" t="b">
        <v>0</v>
      </c>
      <c r="V2527" t="s">
        <v>446</v>
      </c>
    </row>
    <row r="2528" spans="1:22" x14ac:dyDescent="0.25">
      <c r="A2528" t="s">
        <v>42</v>
      </c>
      <c r="B2528">
        <v>309</v>
      </c>
      <c r="C2528" t="s">
        <v>1046</v>
      </c>
      <c r="D2528" t="s">
        <v>5880</v>
      </c>
      <c r="E2528" t="s">
        <v>1045</v>
      </c>
      <c r="G2528" t="s">
        <v>24</v>
      </c>
      <c r="H2528" t="s">
        <v>26</v>
      </c>
      <c r="I2528" t="s">
        <v>3167</v>
      </c>
      <c r="J2528" t="s">
        <v>1048</v>
      </c>
      <c r="K2528" t="s">
        <v>3195</v>
      </c>
      <c r="L2528" t="s">
        <v>1048</v>
      </c>
      <c r="M2528" t="s">
        <v>1000</v>
      </c>
      <c r="N2528" t="s">
        <v>1047</v>
      </c>
      <c r="O2528" t="s">
        <v>1047</v>
      </c>
      <c r="P2528" t="s">
        <v>1089</v>
      </c>
      <c r="Q2528" t="s">
        <v>3169</v>
      </c>
      <c r="R2528" t="s">
        <v>446</v>
      </c>
      <c r="S2528" t="s">
        <v>446</v>
      </c>
      <c r="T2528" t="s">
        <v>1965</v>
      </c>
      <c r="U2528" t="b">
        <v>0</v>
      </c>
      <c r="V2528" t="s">
        <v>446</v>
      </c>
    </row>
    <row r="2529" spans="1:22" x14ac:dyDescent="0.25">
      <c r="A2529" t="s">
        <v>42</v>
      </c>
      <c r="B2529">
        <v>309</v>
      </c>
      <c r="C2529" t="s">
        <v>1050</v>
      </c>
      <c r="D2529" t="s">
        <v>5881</v>
      </c>
      <c r="E2529" t="s">
        <v>1032</v>
      </c>
      <c r="G2529" t="s">
        <v>24</v>
      </c>
      <c r="H2529" t="s">
        <v>26</v>
      </c>
      <c r="I2529" t="s">
        <v>3167</v>
      </c>
      <c r="J2529" t="s">
        <v>1048</v>
      </c>
      <c r="K2529" t="s">
        <v>3195</v>
      </c>
      <c r="L2529" t="s">
        <v>1048</v>
      </c>
      <c r="M2529" t="s">
        <v>1000</v>
      </c>
      <c r="N2529" t="s">
        <v>1047</v>
      </c>
      <c r="O2529" t="s">
        <v>1047</v>
      </c>
      <c r="P2529" t="s">
        <v>1089</v>
      </c>
      <c r="Q2529" t="s">
        <v>3169</v>
      </c>
      <c r="R2529" t="s">
        <v>446</v>
      </c>
      <c r="S2529" t="s">
        <v>446</v>
      </c>
      <c r="T2529" t="s">
        <v>1965</v>
      </c>
      <c r="U2529" t="b">
        <v>0</v>
      </c>
      <c r="V2529" t="s">
        <v>446</v>
      </c>
    </row>
    <row r="2530" spans="1:22" x14ac:dyDescent="0.25">
      <c r="A2530" t="s">
        <v>42</v>
      </c>
      <c r="B2530">
        <v>309</v>
      </c>
      <c r="C2530" t="s">
        <v>1052</v>
      </c>
      <c r="D2530" t="s">
        <v>5882</v>
      </c>
      <c r="E2530" t="s">
        <v>1051</v>
      </c>
      <c r="F2530" t="s">
        <v>5883</v>
      </c>
      <c r="G2530" t="s">
        <v>24</v>
      </c>
      <c r="H2530" t="s">
        <v>26</v>
      </c>
      <c r="I2530" t="s">
        <v>3167</v>
      </c>
      <c r="J2530" t="s">
        <v>1055</v>
      </c>
      <c r="K2530" t="s">
        <v>3199</v>
      </c>
      <c r="L2530" t="s">
        <v>1055</v>
      </c>
      <c r="M2530" t="s">
        <v>980</v>
      </c>
      <c r="N2530" t="s">
        <v>1053</v>
      </c>
      <c r="O2530" t="s">
        <v>1053</v>
      </c>
      <c r="P2530" t="s">
        <v>1089</v>
      </c>
      <c r="Q2530" t="s">
        <v>3169</v>
      </c>
      <c r="R2530" t="s">
        <v>446</v>
      </c>
      <c r="S2530" t="s">
        <v>446</v>
      </c>
      <c r="T2530" t="s">
        <v>1965</v>
      </c>
      <c r="U2530" t="b">
        <v>0</v>
      </c>
      <c r="V2530" t="s">
        <v>446</v>
      </c>
    </row>
    <row r="2531" spans="1:22" x14ac:dyDescent="0.25">
      <c r="A2531" t="s">
        <v>42</v>
      </c>
      <c r="B2531">
        <v>310</v>
      </c>
      <c r="C2531" t="s">
        <v>979</v>
      </c>
      <c r="D2531" t="s">
        <v>5884</v>
      </c>
      <c r="E2531" t="s">
        <v>978</v>
      </c>
      <c r="F2531" t="s">
        <v>5826</v>
      </c>
      <c r="G2531" t="s">
        <v>24</v>
      </c>
      <c r="H2531" t="s">
        <v>26</v>
      </c>
      <c r="I2531" t="s">
        <v>3167</v>
      </c>
      <c r="J2531" t="s">
        <v>984</v>
      </c>
      <c r="K2531" t="s">
        <v>3168</v>
      </c>
      <c r="L2531" t="s">
        <v>984</v>
      </c>
      <c r="M2531" t="s">
        <v>980</v>
      </c>
      <c r="N2531" t="s">
        <v>981</v>
      </c>
      <c r="O2531" t="s">
        <v>981</v>
      </c>
      <c r="P2531" t="s">
        <v>1089</v>
      </c>
      <c r="Q2531" t="s">
        <v>3169</v>
      </c>
      <c r="R2531" t="s">
        <v>446</v>
      </c>
      <c r="S2531" t="s">
        <v>446</v>
      </c>
      <c r="T2531" t="s">
        <v>1965</v>
      </c>
      <c r="U2531" t="b">
        <v>0</v>
      </c>
      <c r="V2531" t="s">
        <v>446</v>
      </c>
    </row>
    <row r="2532" spans="1:22" x14ac:dyDescent="0.25">
      <c r="A2532" t="s">
        <v>42</v>
      </c>
      <c r="B2532">
        <v>310</v>
      </c>
      <c r="C2532" t="s">
        <v>987</v>
      </c>
      <c r="D2532" t="s">
        <v>5885</v>
      </c>
      <c r="E2532" t="s">
        <v>986</v>
      </c>
      <c r="F2532" t="s">
        <v>5827</v>
      </c>
      <c r="G2532" t="s">
        <v>24</v>
      </c>
      <c r="H2532" t="s">
        <v>26</v>
      </c>
      <c r="I2532" t="s">
        <v>3167</v>
      </c>
      <c r="J2532" t="s">
        <v>990</v>
      </c>
      <c r="K2532" t="s">
        <v>3171</v>
      </c>
      <c r="L2532" t="s">
        <v>990</v>
      </c>
      <c r="M2532" t="s">
        <v>980</v>
      </c>
      <c r="N2532" t="s">
        <v>988</v>
      </c>
      <c r="O2532" t="s">
        <v>988</v>
      </c>
      <c r="P2532" t="s">
        <v>1089</v>
      </c>
      <c r="Q2532" t="s">
        <v>3169</v>
      </c>
      <c r="R2532" t="s">
        <v>446</v>
      </c>
      <c r="S2532" t="s">
        <v>446</v>
      </c>
      <c r="T2532" t="s">
        <v>1965</v>
      </c>
      <c r="U2532" t="b">
        <v>0</v>
      </c>
      <c r="V2532" t="s">
        <v>446</v>
      </c>
    </row>
    <row r="2533" spans="1:22" x14ac:dyDescent="0.25">
      <c r="A2533" t="s">
        <v>42</v>
      </c>
      <c r="B2533">
        <v>310</v>
      </c>
      <c r="C2533" t="s">
        <v>993</v>
      </c>
      <c r="D2533" t="s">
        <v>5886</v>
      </c>
      <c r="E2533" t="s">
        <v>992</v>
      </c>
      <c r="F2533" t="s">
        <v>5828</v>
      </c>
      <c r="G2533" t="s">
        <v>24</v>
      </c>
      <c r="H2533" t="s">
        <v>26</v>
      </c>
      <c r="I2533" t="s">
        <v>3167</v>
      </c>
      <c r="J2533" t="s">
        <v>996</v>
      </c>
      <c r="K2533" t="s">
        <v>3173</v>
      </c>
      <c r="L2533" t="s">
        <v>996</v>
      </c>
      <c r="M2533" t="s">
        <v>980</v>
      </c>
      <c r="N2533" t="s">
        <v>994</v>
      </c>
      <c r="O2533" t="s">
        <v>994</v>
      </c>
      <c r="P2533" t="s">
        <v>1089</v>
      </c>
      <c r="Q2533" t="s">
        <v>3169</v>
      </c>
      <c r="R2533" t="s">
        <v>446</v>
      </c>
      <c r="S2533" t="s">
        <v>446</v>
      </c>
      <c r="T2533" t="s">
        <v>1965</v>
      </c>
      <c r="U2533" t="b">
        <v>0</v>
      </c>
      <c r="V2533" t="s">
        <v>446</v>
      </c>
    </row>
    <row r="2534" spans="1:22" x14ac:dyDescent="0.25">
      <c r="A2534" t="s">
        <v>42</v>
      </c>
      <c r="B2534">
        <v>310</v>
      </c>
      <c r="C2534" t="s">
        <v>999</v>
      </c>
      <c r="D2534" t="s">
        <v>5887</v>
      </c>
      <c r="E2534" t="s">
        <v>998</v>
      </c>
      <c r="F2534" t="s">
        <v>5830</v>
      </c>
      <c r="G2534" t="s">
        <v>24</v>
      </c>
      <c r="H2534" t="s">
        <v>26</v>
      </c>
      <c r="I2534" t="s">
        <v>3167</v>
      </c>
      <c r="J2534" t="s">
        <v>1003</v>
      </c>
      <c r="K2534" t="s">
        <v>3175</v>
      </c>
      <c r="L2534" t="s">
        <v>1003</v>
      </c>
      <c r="M2534" t="s">
        <v>1000</v>
      </c>
      <c r="N2534" t="s">
        <v>1001</v>
      </c>
      <c r="O2534" t="s">
        <v>1001</v>
      </c>
      <c r="P2534" t="s">
        <v>1089</v>
      </c>
      <c r="Q2534" t="s">
        <v>3169</v>
      </c>
      <c r="R2534" t="s">
        <v>446</v>
      </c>
      <c r="S2534" t="s">
        <v>446</v>
      </c>
      <c r="T2534" t="s">
        <v>1965</v>
      </c>
      <c r="U2534" t="b">
        <v>0</v>
      </c>
      <c r="V2534" t="s">
        <v>446</v>
      </c>
    </row>
    <row r="2535" spans="1:22" x14ac:dyDescent="0.25">
      <c r="A2535" t="s">
        <v>42</v>
      </c>
      <c r="B2535">
        <v>310</v>
      </c>
      <c r="C2535" t="s">
        <v>1005</v>
      </c>
      <c r="D2535" t="s">
        <v>5888</v>
      </c>
      <c r="E2535" t="s">
        <v>982</v>
      </c>
      <c r="F2535" t="s">
        <v>5830</v>
      </c>
      <c r="G2535" t="s">
        <v>24</v>
      </c>
      <c r="H2535" t="s">
        <v>26</v>
      </c>
      <c r="I2535" t="s">
        <v>3167</v>
      </c>
      <c r="J2535" t="s">
        <v>1003</v>
      </c>
      <c r="K2535" t="s">
        <v>3175</v>
      </c>
      <c r="L2535" t="s">
        <v>1003</v>
      </c>
      <c r="M2535" t="s">
        <v>1000</v>
      </c>
      <c r="N2535" t="s">
        <v>1001</v>
      </c>
      <c r="O2535" t="s">
        <v>1001</v>
      </c>
      <c r="P2535" t="s">
        <v>1089</v>
      </c>
      <c r="Q2535" t="s">
        <v>3169</v>
      </c>
      <c r="R2535" t="s">
        <v>446</v>
      </c>
      <c r="S2535" t="s">
        <v>446</v>
      </c>
      <c r="T2535" t="s">
        <v>1965</v>
      </c>
      <c r="U2535" t="b">
        <v>0</v>
      </c>
      <c r="V2535" t="s">
        <v>446</v>
      </c>
    </row>
    <row r="2536" spans="1:22" x14ac:dyDescent="0.25">
      <c r="A2536" t="s">
        <v>42</v>
      </c>
      <c r="B2536">
        <v>310</v>
      </c>
      <c r="C2536" t="s">
        <v>1007</v>
      </c>
      <c r="D2536" t="s">
        <v>5889</v>
      </c>
      <c r="E2536" t="s">
        <v>1006</v>
      </c>
      <c r="F2536" t="s">
        <v>5831</v>
      </c>
      <c r="G2536" t="s">
        <v>24</v>
      </c>
      <c r="H2536" t="s">
        <v>26</v>
      </c>
      <c r="I2536" t="s">
        <v>3167</v>
      </c>
      <c r="J2536" t="s">
        <v>1011</v>
      </c>
      <c r="K2536" t="s">
        <v>3179</v>
      </c>
      <c r="L2536" t="s">
        <v>1011</v>
      </c>
      <c r="M2536" t="s">
        <v>1008</v>
      </c>
      <c r="N2536" t="s">
        <v>1009</v>
      </c>
      <c r="O2536" t="s">
        <v>1009</v>
      </c>
      <c r="P2536" t="s">
        <v>1089</v>
      </c>
      <c r="Q2536" t="s">
        <v>3169</v>
      </c>
      <c r="R2536" t="s">
        <v>446</v>
      </c>
      <c r="S2536" t="s">
        <v>446</v>
      </c>
      <c r="T2536" t="s">
        <v>1965</v>
      </c>
      <c r="U2536" t="b">
        <v>0</v>
      </c>
      <c r="V2536" t="s">
        <v>446</v>
      </c>
    </row>
    <row r="2537" spans="1:22" x14ac:dyDescent="0.25">
      <c r="A2537" t="s">
        <v>42</v>
      </c>
      <c r="B2537">
        <v>310</v>
      </c>
      <c r="C2537" t="s">
        <v>1014</v>
      </c>
      <c r="D2537" t="s">
        <v>5890</v>
      </c>
      <c r="E2537" t="s">
        <v>1013</v>
      </c>
      <c r="F2537" t="s">
        <v>5832</v>
      </c>
      <c r="G2537" t="s">
        <v>24</v>
      </c>
      <c r="H2537" t="s">
        <v>26</v>
      </c>
      <c r="I2537" t="s">
        <v>3167</v>
      </c>
      <c r="J2537" t="s">
        <v>1016</v>
      </c>
      <c r="K2537" t="s">
        <v>3181</v>
      </c>
      <c r="L2537" t="s">
        <v>1016</v>
      </c>
      <c r="M2537" t="s">
        <v>980</v>
      </c>
      <c r="N2537" t="s">
        <v>1015</v>
      </c>
      <c r="O2537" t="s">
        <v>1015</v>
      </c>
      <c r="P2537" t="s">
        <v>1089</v>
      </c>
      <c r="Q2537" t="s">
        <v>3169</v>
      </c>
      <c r="R2537" t="s">
        <v>446</v>
      </c>
      <c r="S2537" t="s">
        <v>446</v>
      </c>
      <c r="T2537" t="s">
        <v>1965</v>
      </c>
      <c r="U2537" t="b">
        <v>0</v>
      </c>
      <c r="V2537" t="s">
        <v>446</v>
      </c>
    </row>
    <row r="2538" spans="1:22" x14ac:dyDescent="0.25">
      <c r="A2538" t="s">
        <v>42</v>
      </c>
      <c r="B2538">
        <v>310</v>
      </c>
      <c r="C2538" t="s">
        <v>1019</v>
      </c>
      <c r="D2538" t="s">
        <v>5891</v>
      </c>
      <c r="E2538" t="s">
        <v>1018</v>
      </c>
      <c r="F2538" t="s">
        <v>5833</v>
      </c>
      <c r="G2538" t="s">
        <v>24</v>
      </c>
      <c r="H2538" t="s">
        <v>26</v>
      </c>
      <c r="I2538" t="s">
        <v>3167</v>
      </c>
      <c r="J2538" t="s">
        <v>1021</v>
      </c>
      <c r="K2538" t="s">
        <v>3183</v>
      </c>
      <c r="L2538" t="s">
        <v>1021</v>
      </c>
      <c r="M2538" t="s">
        <v>980</v>
      </c>
      <c r="N2538" t="s">
        <v>1020</v>
      </c>
      <c r="O2538" t="s">
        <v>1020</v>
      </c>
      <c r="P2538" t="s">
        <v>1089</v>
      </c>
      <c r="Q2538" t="s">
        <v>3169</v>
      </c>
      <c r="R2538" t="s">
        <v>446</v>
      </c>
      <c r="S2538" t="s">
        <v>446</v>
      </c>
      <c r="T2538" t="s">
        <v>1965</v>
      </c>
      <c r="U2538" t="b">
        <v>0</v>
      </c>
      <c r="V2538" t="s">
        <v>446</v>
      </c>
    </row>
    <row r="2539" spans="1:22" x14ac:dyDescent="0.25">
      <c r="A2539" t="s">
        <v>42</v>
      </c>
      <c r="B2539">
        <v>310</v>
      </c>
      <c r="C2539" t="s">
        <v>1024</v>
      </c>
      <c r="D2539" t="s">
        <v>5892</v>
      </c>
      <c r="E2539" t="s">
        <v>1023</v>
      </c>
      <c r="F2539" t="s">
        <v>5835</v>
      </c>
      <c r="G2539" t="s">
        <v>24</v>
      </c>
      <c r="H2539" t="s">
        <v>26</v>
      </c>
      <c r="I2539" t="s">
        <v>3167</v>
      </c>
      <c r="J2539" t="s">
        <v>1026</v>
      </c>
      <c r="K2539" t="s">
        <v>3185</v>
      </c>
      <c r="L2539" t="s">
        <v>1026</v>
      </c>
      <c r="M2539" t="s">
        <v>1000</v>
      </c>
      <c r="N2539" t="s">
        <v>1025</v>
      </c>
      <c r="O2539" t="s">
        <v>1025</v>
      </c>
      <c r="P2539" t="s">
        <v>1089</v>
      </c>
      <c r="Q2539" t="s">
        <v>3169</v>
      </c>
      <c r="R2539" t="s">
        <v>446</v>
      </c>
      <c r="S2539" t="s">
        <v>446</v>
      </c>
      <c r="T2539" t="s">
        <v>1965</v>
      </c>
      <c r="U2539" t="b">
        <v>0</v>
      </c>
      <c r="V2539" t="s">
        <v>446</v>
      </c>
    </row>
    <row r="2540" spans="1:22" x14ac:dyDescent="0.25">
      <c r="A2540" t="s">
        <v>42</v>
      </c>
      <c r="B2540">
        <v>310</v>
      </c>
      <c r="C2540" t="s">
        <v>1028</v>
      </c>
      <c r="D2540" t="s">
        <v>5893</v>
      </c>
      <c r="E2540" t="s">
        <v>1010</v>
      </c>
      <c r="F2540" t="s">
        <v>5835</v>
      </c>
      <c r="G2540" t="s">
        <v>24</v>
      </c>
      <c r="H2540" t="s">
        <v>26</v>
      </c>
      <c r="I2540" t="s">
        <v>3167</v>
      </c>
      <c r="J2540" t="s">
        <v>1026</v>
      </c>
      <c r="K2540" t="s">
        <v>3185</v>
      </c>
      <c r="L2540" t="s">
        <v>1026</v>
      </c>
      <c r="M2540" t="s">
        <v>1000</v>
      </c>
      <c r="N2540" t="s">
        <v>1025</v>
      </c>
      <c r="O2540" t="s">
        <v>1025</v>
      </c>
      <c r="P2540" t="s">
        <v>1089</v>
      </c>
      <c r="Q2540" t="s">
        <v>3169</v>
      </c>
      <c r="R2540" t="s">
        <v>446</v>
      </c>
      <c r="S2540" t="s">
        <v>446</v>
      </c>
      <c r="T2540" t="s">
        <v>1965</v>
      </c>
      <c r="U2540" t="b">
        <v>0</v>
      </c>
      <c r="V2540" t="s">
        <v>446</v>
      </c>
    </row>
    <row r="2541" spans="1:22" x14ac:dyDescent="0.25">
      <c r="A2541" t="s">
        <v>42</v>
      </c>
      <c r="B2541">
        <v>310</v>
      </c>
      <c r="C2541" t="s">
        <v>1030</v>
      </c>
      <c r="D2541" t="s">
        <v>5894</v>
      </c>
      <c r="E2541" t="s">
        <v>1029</v>
      </c>
      <c r="F2541" t="s">
        <v>5836</v>
      </c>
      <c r="G2541" t="s">
        <v>24</v>
      </c>
      <c r="H2541" t="s">
        <v>26</v>
      </c>
      <c r="I2541" t="s">
        <v>3167</v>
      </c>
      <c r="J2541" t="s">
        <v>1033</v>
      </c>
      <c r="K2541" t="s">
        <v>3189</v>
      </c>
      <c r="L2541" t="s">
        <v>1033</v>
      </c>
      <c r="M2541" t="s">
        <v>980</v>
      </c>
      <c r="N2541" t="s">
        <v>1031</v>
      </c>
      <c r="O2541" t="s">
        <v>1031</v>
      </c>
      <c r="P2541" t="s">
        <v>1089</v>
      </c>
      <c r="Q2541" t="s">
        <v>3169</v>
      </c>
      <c r="R2541" t="s">
        <v>446</v>
      </c>
      <c r="S2541" t="s">
        <v>446</v>
      </c>
      <c r="T2541" t="s">
        <v>1965</v>
      </c>
      <c r="U2541" t="b">
        <v>0</v>
      </c>
      <c r="V2541" t="s">
        <v>446</v>
      </c>
    </row>
    <row r="2542" spans="1:22" x14ac:dyDescent="0.25">
      <c r="A2542" t="s">
        <v>42</v>
      </c>
      <c r="B2542">
        <v>310</v>
      </c>
      <c r="C2542" t="s">
        <v>1036</v>
      </c>
      <c r="D2542" t="s">
        <v>5895</v>
      </c>
      <c r="E2542" t="s">
        <v>1035</v>
      </c>
      <c r="F2542" t="s">
        <v>5837</v>
      </c>
      <c r="G2542" t="s">
        <v>24</v>
      </c>
      <c r="H2542" t="s">
        <v>26</v>
      </c>
      <c r="I2542" t="s">
        <v>3167</v>
      </c>
      <c r="J2542" t="s">
        <v>1038</v>
      </c>
      <c r="K2542" t="s">
        <v>3191</v>
      </c>
      <c r="L2542" t="s">
        <v>1038</v>
      </c>
      <c r="M2542" t="s">
        <v>980</v>
      </c>
      <c r="N2542" t="s">
        <v>1037</v>
      </c>
      <c r="O2542" t="s">
        <v>1037</v>
      </c>
      <c r="P2542" t="s">
        <v>1089</v>
      </c>
      <c r="Q2542" t="s">
        <v>3169</v>
      </c>
      <c r="R2542" t="s">
        <v>446</v>
      </c>
      <c r="S2542" t="s">
        <v>446</v>
      </c>
      <c r="T2542" t="s">
        <v>1965</v>
      </c>
      <c r="U2542" t="b">
        <v>0</v>
      </c>
      <c r="V2542" t="s">
        <v>446</v>
      </c>
    </row>
    <row r="2543" spans="1:22" x14ac:dyDescent="0.25">
      <c r="A2543" t="s">
        <v>42</v>
      </c>
      <c r="B2543">
        <v>310</v>
      </c>
      <c r="C2543" t="s">
        <v>1041</v>
      </c>
      <c r="D2543" t="s">
        <v>5896</v>
      </c>
      <c r="E2543" t="s">
        <v>1040</v>
      </c>
      <c r="F2543" t="s">
        <v>5838</v>
      </c>
      <c r="G2543" t="s">
        <v>24</v>
      </c>
      <c r="H2543" t="s">
        <v>26</v>
      </c>
      <c r="I2543" t="s">
        <v>3167</v>
      </c>
      <c r="J2543" t="s">
        <v>1043</v>
      </c>
      <c r="K2543" t="s">
        <v>3193</v>
      </c>
      <c r="L2543" t="s">
        <v>1043</v>
      </c>
      <c r="M2543" t="s">
        <v>980</v>
      </c>
      <c r="N2543" t="s">
        <v>1042</v>
      </c>
      <c r="O2543" t="s">
        <v>1042</v>
      </c>
      <c r="P2543" t="s">
        <v>1089</v>
      </c>
      <c r="Q2543" t="s">
        <v>3169</v>
      </c>
      <c r="R2543" t="s">
        <v>446</v>
      </c>
      <c r="S2543" t="s">
        <v>446</v>
      </c>
      <c r="T2543" t="s">
        <v>1965</v>
      </c>
      <c r="U2543" t="b">
        <v>0</v>
      </c>
      <c r="V2543" t="s">
        <v>446</v>
      </c>
    </row>
    <row r="2544" spans="1:22" x14ac:dyDescent="0.25">
      <c r="A2544" t="s">
        <v>42</v>
      </c>
      <c r="B2544">
        <v>310</v>
      </c>
      <c r="C2544" t="s">
        <v>1046</v>
      </c>
      <c r="D2544" t="s">
        <v>5897</v>
      </c>
      <c r="E2544" t="s">
        <v>1045</v>
      </c>
      <c r="F2544" t="s">
        <v>4133</v>
      </c>
      <c r="G2544" t="s">
        <v>24</v>
      </c>
      <c r="H2544" t="s">
        <v>26</v>
      </c>
      <c r="I2544" t="s">
        <v>3167</v>
      </c>
      <c r="J2544" t="s">
        <v>1048</v>
      </c>
      <c r="K2544" t="s">
        <v>3195</v>
      </c>
      <c r="L2544" t="s">
        <v>1048</v>
      </c>
      <c r="M2544" t="s">
        <v>1000</v>
      </c>
      <c r="N2544" t="s">
        <v>1047</v>
      </c>
      <c r="O2544" t="s">
        <v>1047</v>
      </c>
      <c r="P2544" t="s">
        <v>1089</v>
      </c>
      <c r="Q2544" t="s">
        <v>3169</v>
      </c>
      <c r="R2544" t="s">
        <v>446</v>
      </c>
      <c r="S2544" t="s">
        <v>446</v>
      </c>
      <c r="T2544" t="s">
        <v>1965</v>
      </c>
      <c r="U2544" t="b">
        <v>0</v>
      </c>
      <c r="V2544" t="s">
        <v>446</v>
      </c>
    </row>
    <row r="2545" spans="1:22" x14ac:dyDescent="0.25">
      <c r="A2545" t="s">
        <v>42</v>
      </c>
      <c r="B2545">
        <v>310</v>
      </c>
      <c r="C2545" t="s">
        <v>1050</v>
      </c>
      <c r="D2545" t="s">
        <v>5898</v>
      </c>
      <c r="E2545" t="s">
        <v>1032</v>
      </c>
      <c r="F2545" t="s">
        <v>4133</v>
      </c>
      <c r="G2545" t="s">
        <v>24</v>
      </c>
      <c r="H2545" t="s">
        <v>26</v>
      </c>
      <c r="I2545" t="s">
        <v>3167</v>
      </c>
      <c r="J2545" t="s">
        <v>1048</v>
      </c>
      <c r="K2545" t="s">
        <v>3195</v>
      </c>
      <c r="L2545" t="s">
        <v>1048</v>
      </c>
      <c r="M2545" t="s">
        <v>1000</v>
      </c>
      <c r="N2545" t="s">
        <v>1047</v>
      </c>
      <c r="O2545" t="s">
        <v>1047</v>
      </c>
      <c r="P2545" t="s">
        <v>1089</v>
      </c>
      <c r="Q2545" t="s">
        <v>3169</v>
      </c>
      <c r="R2545" t="s">
        <v>446</v>
      </c>
      <c r="S2545" t="s">
        <v>446</v>
      </c>
      <c r="T2545" t="s">
        <v>1965</v>
      </c>
      <c r="U2545" t="b">
        <v>0</v>
      </c>
      <c r="V2545" t="s">
        <v>446</v>
      </c>
    </row>
    <row r="2546" spans="1:22" x14ac:dyDescent="0.25">
      <c r="A2546" t="s">
        <v>42</v>
      </c>
      <c r="B2546">
        <v>310</v>
      </c>
      <c r="C2546" t="s">
        <v>1052</v>
      </c>
      <c r="D2546" t="s">
        <v>5899</v>
      </c>
      <c r="E2546" t="s">
        <v>1051</v>
      </c>
      <c r="F2546" t="s">
        <v>5900</v>
      </c>
      <c r="G2546" t="s">
        <v>24</v>
      </c>
      <c r="H2546" t="s">
        <v>26</v>
      </c>
      <c r="I2546" t="s">
        <v>3167</v>
      </c>
      <c r="J2546" t="s">
        <v>1055</v>
      </c>
      <c r="K2546" t="s">
        <v>3199</v>
      </c>
      <c r="L2546" t="s">
        <v>1055</v>
      </c>
      <c r="M2546" t="s">
        <v>980</v>
      </c>
      <c r="N2546" t="s">
        <v>1053</v>
      </c>
      <c r="O2546" t="s">
        <v>1053</v>
      </c>
      <c r="P2546" t="s">
        <v>1089</v>
      </c>
      <c r="Q2546" t="s">
        <v>3169</v>
      </c>
      <c r="R2546" t="s">
        <v>446</v>
      </c>
      <c r="S2546" t="s">
        <v>446</v>
      </c>
      <c r="T2546" t="s">
        <v>1965</v>
      </c>
      <c r="U2546" t="b">
        <v>0</v>
      </c>
      <c r="V2546" t="s">
        <v>446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Filing Period Map</vt:lpstr>
      <vt:lpstr>Mapping Audit</vt:lpstr>
      <vt:lpstr>Source Ledger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2026-06-09T21:06:15Z</dcterms:modified>
</cp:coreProperties>
</file>